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874AC550-3CAC-4C09-8074-9681F93CFEAD}" xr6:coauthVersionLast="47" xr6:coauthVersionMax="47" xr10:uidLastSave="{00000000-0000-0000-0000-000000000000}"/>
  <bookViews>
    <workbookView xWindow="-108" yWindow="-108" windowWidth="23256" windowHeight="12576" firstSheet="20" activeTab="20"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October MPI" sheetId="62" r:id="rId9"/>
    <sheet name="historical overrides" sheetId="50" r:id="rId10"/>
    <sheet name="PPP" sheetId="38" r:id="rId11"/>
    <sheet name="Provider Relief" sheetId="40" r:id="rId12"/>
    <sheet name="mpc" sheetId="56" r:id="rId13"/>
    <sheet name="Unemployment Insurance" sheetId="25" r:id="rId14"/>
    <sheet name="Grants" sheetId="26" r:id="rId15"/>
    <sheet name="Federal and State Purchases" sheetId="20" r:id="rId16"/>
    <sheet name="Subsidies" sheetId="30" r:id="rId17"/>
    <sheet name="Medicaid" sheetId="49" r:id="rId18"/>
    <sheet name="Medicare" sheetId="33" r:id="rId19"/>
    <sheet name="Rebate Checks" sheetId="29" r:id="rId20"/>
    <sheet name="Student loans" sheetId="67" r:id="rId21"/>
    <sheet name="Social Benefits" sheetId="59" r:id="rId22"/>
    <sheet name="Taxes" sheetId="48" r:id="rId23"/>
    <sheet name="Cares Act Scores" sheetId="36" r:id="rId24"/>
    <sheet name="IRA and CHIPS" sheetId="65" r:id="rId25"/>
    <sheet name="Response and Relief Act Score" sheetId="27" r:id="rId26"/>
    <sheet name="ARP Score" sheetId="5" r:id="rId27"/>
    <sheet name="ARP Timing" sheetId="6" r:id="rId28"/>
    <sheet name="ARP Quarterly" sheetId="21" r:id="rId29"/>
    <sheet name="deflators_raw" sheetId="68" r:id="rId30"/>
    <sheet name="deflators_adj" sheetId="69" r:id="rId31"/>
    <sheet name="Deflators_original" sheetId="63" state="hidden" r:id="rId32"/>
  </sheets>
  <externalReferences>
    <externalReference r:id="rId3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69" l="1"/>
  <c r="G2" i="69"/>
  <c r="F3" i="69"/>
  <c r="G3" i="69"/>
  <c r="F4" i="69"/>
  <c r="G4" i="69"/>
  <c r="F5" i="69"/>
  <c r="G5" i="69"/>
  <c r="F6" i="69"/>
  <c r="G6" i="69"/>
  <c r="F7" i="69"/>
  <c r="G7" i="69"/>
  <c r="F8" i="69"/>
  <c r="G8" i="69"/>
  <c r="F9" i="69"/>
  <c r="G9" i="69"/>
  <c r="F10" i="69"/>
  <c r="G10" i="69"/>
  <c r="F11" i="69"/>
  <c r="G11" i="69"/>
  <c r="F12" i="69"/>
  <c r="G12" i="69"/>
  <c r="F13" i="69"/>
  <c r="G13" i="69"/>
  <c r="F14" i="69"/>
  <c r="G14" i="69"/>
  <c r="F15" i="69"/>
  <c r="G15" i="69"/>
  <c r="F16" i="69"/>
  <c r="G16" i="69"/>
  <c r="F17" i="69"/>
  <c r="G17" i="69"/>
  <c r="F18" i="69"/>
  <c r="G18" i="69"/>
  <c r="F19" i="69"/>
  <c r="G19" i="69"/>
  <c r="F20" i="69"/>
  <c r="G20" i="69"/>
  <c r="F21" i="69"/>
  <c r="G21" i="69"/>
  <c r="F22" i="69"/>
  <c r="G22" i="69"/>
  <c r="F23" i="69"/>
  <c r="G23" i="69"/>
  <c r="F24" i="69"/>
  <c r="G24" i="69"/>
  <c r="F25" i="69"/>
  <c r="G25" i="69"/>
  <c r="F26" i="69"/>
  <c r="G26" i="69"/>
  <c r="F27" i="69"/>
  <c r="G27" i="69"/>
  <c r="F28" i="69"/>
  <c r="G28" i="69"/>
  <c r="F29" i="69"/>
  <c r="G29" i="69"/>
  <c r="F30" i="69"/>
  <c r="G30" i="69"/>
  <c r="F31" i="69"/>
  <c r="G31" i="69"/>
  <c r="F32" i="69"/>
  <c r="G32" i="69"/>
  <c r="F33" i="69"/>
  <c r="G33" i="69"/>
  <c r="F34" i="69"/>
  <c r="G34" i="69"/>
  <c r="F35" i="69"/>
  <c r="G35" i="69"/>
  <c r="F36" i="69"/>
  <c r="G36" i="69"/>
  <c r="F37" i="69"/>
  <c r="G37" i="69"/>
  <c r="F38" i="69"/>
  <c r="G38" i="69"/>
  <c r="F39" i="69"/>
  <c r="G39" i="69"/>
  <c r="F40" i="69"/>
  <c r="G40" i="69"/>
  <c r="F41" i="69"/>
  <c r="G41" i="69"/>
  <c r="F42" i="69"/>
  <c r="G42" i="69"/>
  <c r="F43" i="69"/>
  <c r="G43" i="69"/>
  <c r="F44" i="69"/>
  <c r="G44" i="69"/>
  <c r="F45" i="69"/>
  <c r="G45" i="69"/>
  <c r="F46" i="69"/>
  <c r="G46" i="69"/>
  <c r="F47" i="69"/>
  <c r="G47" i="69"/>
  <c r="F48" i="69"/>
  <c r="G48" i="69"/>
  <c r="F49" i="69"/>
  <c r="G49" i="69"/>
  <c r="F50" i="69"/>
  <c r="G50" i="69"/>
  <c r="F51" i="69"/>
  <c r="G51" i="69"/>
  <c r="F52" i="69"/>
  <c r="G52" i="69"/>
  <c r="F53" i="69"/>
  <c r="G53" i="69"/>
  <c r="F54" i="69"/>
  <c r="G54" i="69"/>
  <c r="F55" i="69"/>
  <c r="G55" i="69"/>
  <c r="F56" i="69"/>
  <c r="G56" i="69"/>
  <c r="F57" i="69"/>
  <c r="G57" i="69"/>
  <c r="F58" i="69"/>
  <c r="G58" i="69"/>
  <c r="F59" i="69"/>
  <c r="G59" i="69"/>
  <c r="F60" i="69"/>
  <c r="G60" i="69"/>
  <c r="F61" i="69"/>
  <c r="G61" i="69"/>
  <c r="F62" i="69"/>
  <c r="G62" i="69"/>
  <c r="F63" i="69"/>
  <c r="G63" i="69"/>
  <c r="F64" i="69"/>
  <c r="G64" i="69"/>
  <c r="F65" i="69"/>
  <c r="G65" i="69"/>
  <c r="F66" i="69"/>
  <c r="G66" i="69"/>
  <c r="F67" i="69"/>
  <c r="G67" i="69"/>
  <c r="F68" i="69"/>
  <c r="G68" i="69"/>
  <c r="F69" i="69"/>
  <c r="G69" i="69"/>
  <c r="F70" i="69"/>
  <c r="G70" i="69"/>
  <c r="F71" i="69"/>
  <c r="G71" i="69"/>
  <c r="F72" i="69"/>
  <c r="G72" i="69"/>
  <c r="F73" i="69"/>
  <c r="G73" i="69"/>
  <c r="F74" i="69"/>
  <c r="G74" i="69"/>
  <c r="F75" i="69"/>
  <c r="G75" i="69"/>
  <c r="F76" i="69"/>
  <c r="G76" i="69"/>
  <c r="F77" i="69"/>
  <c r="G77" i="69"/>
  <c r="F78" i="69"/>
  <c r="G78" i="69"/>
  <c r="F79" i="69"/>
  <c r="G79" i="69"/>
  <c r="F80" i="69"/>
  <c r="G80" i="69"/>
  <c r="F81" i="69"/>
  <c r="G81" i="69"/>
  <c r="F82" i="69"/>
  <c r="G82" i="69"/>
  <c r="F83" i="69"/>
  <c r="G83" i="69"/>
  <c r="F84" i="69"/>
  <c r="G84" i="69"/>
  <c r="F85" i="69"/>
  <c r="G85" i="69"/>
  <c r="F86" i="69"/>
  <c r="G86" i="69"/>
  <c r="F87" i="69"/>
  <c r="G87" i="69"/>
  <c r="F88" i="69"/>
  <c r="G88" i="69"/>
  <c r="F89" i="69"/>
  <c r="G89" i="69"/>
  <c r="F90" i="69"/>
  <c r="G90" i="69"/>
  <c r="F91" i="69"/>
  <c r="G91" i="69"/>
  <c r="F92" i="69"/>
  <c r="G92" i="69"/>
  <c r="F93" i="69"/>
  <c r="G93" i="69"/>
  <c r="F94" i="69"/>
  <c r="G94" i="69"/>
  <c r="F95" i="69"/>
  <c r="G95" i="69"/>
  <c r="F96" i="69"/>
  <c r="G96" i="69"/>
  <c r="F97" i="69"/>
  <c r="G97" i="69"/>
  <c r="F98" i="69"/>
  <c r="G98" i="69"/>
  <c r="F99" i="69"/>
  <c r="G99" i="69"/>
  <c r="F100" i="69"/>
  <c r="G100" i="69"/>
  <c r="F101" i="69"/>
  <c r="G101" i="69"/>
  <c r="F102" i="69"/>
  <c r="G102" i="69"/>
  <c r="F103" i="69"/>
  <c r="G103" i="69"/>
  <c r="F104" i="69"/>
  <c r="G104" i="69"/>
  <c r="F105" i="69"/>
  <c r="G105" i="69"/>
  <c r="F106" i="69"/>
  <c r="G106" i="69"/>
  <c r="F107" i="69"/>
  <c r="G107" i="69"/>
  <c r="F108" i="69"/>
  <c r="G108" i="69"/>
  <c r="F109" i="69"/>
  <c r="G109" i="69"/>
  <c r="F110" i="69"/>
  <c r="G110" i="69"/>
  <c r="F111" i="69"/>
  <c r="G111" i="69"/>
  <c r="F112" i="69"/>
  <c r="G112" i="69"/>
  <c r="F113" i="69"/>
  <c r="G113" i="69"/>
  <c r="F114" i="69"/>
  <c r="G114" i="69"/>
  <c r="F115" i="69"/>
  <c r="G115" i="69"/>
  <c r="F116" i="69"/>
  <c r="G116" i="69"/>
  <c r="F117" i="69"/>
  <c r="G117" i="69"/>
  <c r="F118" i="69"/>
  <c r="G118" i="69"/>
  <c r="F119" i="69"/>
  <c r="G119" i="69"/>
  <c r="F120" i="69"/>
  <c r="G120" i="69"/>
  <c r="F121" i="69"/>
  <c r="G121" i="69"/>
  <c r="F122" i="69"/>
  <c r="G122" i="69"/>
  <c r="F123" i="69"/>
  <c r="G123" i="69"/>
  <c r="F124" i="69"/>
  <c r="G124" i="69"/>
  <c r="F125" i="69"/>
  <c r="G125" i="69"/>
  <c r="F126" i="69"/>
  <c r="G126" i="69"/>
  <c r="F127" i="69"/>
  <c r="G127" i="69"/>
  <c r="F128" i="69"/>
  <c r="G128" i="69"/>
  <c r="F129" i="69"/>
  <c r="G129" i="69"/>
  <c r="F130" i="69"/>
  <c r="G130" i="69"/>
  <c r="F131" i="69"/>
  <c r="G131" i="69"/>
  <c r="F132" i="69"/>
  <c r="G132" i="69"/>
  <c r="F133" i="69"/>
  <c r="G133" i="69"/>
  <c r="F134" i="69"/>
  <c r="G134" i="69"/>
  <c r="F135" i="69"/>
  <c r="G135" i="69"/>
  <c r="F136" i="69"/>
  <c r="G136" i="69"/>
  <c r="F137" i="69"/>
  <c r="G137" i="69"/>
  <c r="F138" i="69"/>
  <c r="G138" i="69"/>
  <c r="F139" i="69"/>
  <c r="G139" i="69"/>
  <c r="F140" i="69"/>
  <c r="G140" i="69"/>
  <c r="F141" i="69"/>
  <c r="G141" i="69"/>
  <c r="F142" i="69"/>
  <c r="G142" i="69"/>
  <c r="F143" i="69"/>
  <c r="G143" i="69"/>
  <c r="F144" i="69"/>
  <c r="G144" i="69"/>
  <c r="F145" i="69"/>
  <c r="G145" i="69"/>
  <c r="F146" i="69"/>
  <c r="G146" i="69"/>
  <c r="F147" i="69"/>
  <c r="G147" i="69"/>
  <c r="F148" i="69"/>
  <c r="G148" i="69"/>
  <c r="F149" i="69"/>
  <c r="G149" i="69"/>
  <c r="F150" i="69"/>
  <c r="G150" i="69"/>
  <c r="F151" i="69"/>
  <c r="G151" i="69"/>
  <c r="F152" i="69"/>
  <c r="G152" i="69"/>
  <c r="F153" i="69"/>
  <c r="G153" i="69"/>
  <c r="F154" i="69"/>
  <c r="G154" i="69"/>
  <c r="F155" i="69"/>
  <c r="G155" i="69"/>
  <c r="F156" i="69"/>
  <c r="G156" i="69"/>
  <c r="F157" i="69"/>
  <c r="G157" i="69"/>
  <c r="F158" i="69"/>
  <c r="G158" i="69"/>
  <c r="F159" i="69"/>
  <c r="G159" i="69"/>
  <c r="F160" i="69"/>
  <c r="G160" i="69"/>
  <c r="F161" i="69"/>
  <c r="G161" i="69"/>
  <c r="F162" i="69"/>
  <c r="G162" i="69"/>
  <c r="F163" i="69"/>
  <c r="G163" i="69"/>
  <c r="F164" i="69"/>
  <c r="G164" i="69"/>
  <c r="F165" i="69"/>
  <c r="G165" i="69"/>
  <c r="F166" i="69"/>
  <c r="G166" i="69"/>
  <c r="F167" i="69"/>
  <c r="G167" i="69"/>
  <c r="F168" i="69"/>
  <c r="G168" i="69"/>
  <c r="F169" i="69"/>
  <c r="G169" i="69"/>
  <c r="F170" i="69"/>
  <c r="G170" i="69"/>
  <c r="F171" i="69"/>
  <c r="G171" i="69"/>
  <c r="F172" i="69"/>
  <c r="G172" i="69"/>
  <c r="F173" i="69"/>
  <c r="G173" i="69"/>
  <c r="F174" i="69"/>
  <c r="G174" i="69"/>
  <c r="F175" i="69"/>
  <c r="G175" i="69"/>
  <c r="F176" i="69"/>
  <c r="G176" i="69"/>
  <c r="F177" i="69"/>
  <c r="G177" i="69"/>
  <c r="F178" i="69"/>
  <c r="G178" i="69"/>
  <c r="F179" i="69"/>
  <c r="G179" i="69"/>
  <c r="F180" i="69"/>
  <c r="G180" i="69"/>
  <c r="F181" i="69"/>
  <c r="G181" i="69"/>
  <c r="F182" i="69"/>
  <c r="G182" i="69"/>
  <c r="F183" i="69"/>
  <c r="G183" i="69"/>
  <c r="F184" i="69"/>
  <c r="G184" i="69"/>
  <c r="F185" i="69"/>
  <c r="G185" i="69"/>
  <c r="F186" i="69"/>
  <c r="G186" i="69"/>
  <c r="F187" i="69"/>
  <c r="G187" i="69"/>
  <c r="F188" i="69"/>
  <c r="G188" i="69"/>
  <c r="F189" i="69"/>
  <c r="G189" i="69"/>
  <c r="F190" i="69"/>
  <c r="G190" i="69"/>
  <c r="F191" i="69"/>
  <c r="G191" i="69"/>
  <c r="F192" i="69"/>
  <c r="G192" i="69"/>
  <c r="F193" i="69"/>
  <c r="G193" i="69"/>
  <c r="F194" i="69"/>
  <c r="G194" i="69"/>
  <c r="F195" i="69"/>
  <c r="G195" i="69"/>
  <c r="F196" i="69"/>
  <c r="G196" i="69"/>
  <c r="F197" i="69"/>
  <c r="G197" i="69"/>
  <c r="F198" i="69"/>
  <c r="G198" i="69"/>
  <c r="F199" i="69"/>
  <c r="G199" i="69"/>
  <c r="F200" i="69"/>
  <c r="G200" i="69"/>
  <c r="F201" i="69"/>
  <c r="G201" i="69"/>
  <c r="F202" i="69"/>
  <c r="G202" i="69"/>
  <c r="F203" i="69"/>
  <c r="G203" i="69"/>
  <c r="F204" i="69"/>
  <c r="G204" i="69"/>
  <c r="F205" i="69"/>
  <c r="G205" i="69"/>
  <c r="F206" i="69"/>
  <c r="G206" i="69"/>
  <c r="F207" i="69"/>
  <c r="G207" i="69"/>
  <c r="F208" i="69"/>
  <c r="G208" i="69"/>
  <c r="F209" i="69"/>
  <c r="G209" i="69"/>
  <c r="F210" i="69"/>
  <c r="G210" i="69"/>
  <c r="F211" i="69"/>
  <c r="G211" i="69"/>
  <c r="F212" i="69"/>
  <c r="G212" i="69"/>
  <c r="F213" i="69"/>
  <c r="G213" i="69"/>
  <c r="F214" i="69"/>
  <c r="G214" i="69"/>
  <c r="F215" i="69"/>
  <c r="G215" i="69"/>
  <c r="F216" i="69"/>
  <c r="G216" i="69"/>
  <c r="F217" i="69"/>
  <c r="G217" i="69"/>
  <c r="F218" i="69"/>
  <c r="G218" i="69"/>
  <c r="F219" i="69"/>
  <c r="G219" i="69"/>
  <c r="F220" i="69"/>
  <c r="G220" i="69"/>
  <c r="F221" i="69"/>
  <c r="G221" i="69"/>
  <c r="F222" i="69"/>
  <c r="G222" i="69"/>
  <c r="F223" i="69"/>
  <c r="G223" i="69"/>
  <c r="F224" i="69"/>
  <c r="G224" i="69"/>
  <c r="F225" i="69"/>
  <c r="G225" i="69"/>
  <c r="F226" i="69"/>
  <c r="G226" i="69"/>
  <c r="F227" i="69"/>
  <c r="G227" i="69"/>
  <c r="F228" i="69"/>
  <c r="G228" i="69"/>
  <c r="F229" i="69"/>
  <c r="G229" i="69"/>
  <c r="F230" i="69"/>
  <c r="G230" i="69"/>
  <c r="F231" i="69"/>
  <c r="G231" i="69"/>
  <c r="F232" i="69"/>
  <c r="G232" i="69"/>
  <c r="F233" i="69"/>
  <c r="G233" i="69"/>
  <c r="F234" i="69"/>
  <c r="G234" i="69"/>
  <c r="F235" i="69"/>
  <c r="G235" i="69"/>
  <c r="F236" i="69"/>
  <c r="G236" i="69"/>
  <c r="F237" i="69"/>
  <c r="G237" i="69"/>
  <c r="F238" i="69"/>
  <c r="G238" i="69"/>
  <c r="F239" i="69"/>
  <c r="G239" i="69"/>
  <c r="F240" i="69"/>
  <c r="G240" i="69"/>
  <c r="F241" i="69"/>
  <c r="G241" i="69"/>
  <c r="F242" i="69"/>
  <c r="G242" i="69"/>
  <c r="F243" i="69"/>
  <c r="G243" i="69"/>
  <c r="F244" i="69"/>
  <c r="G244" i="69"/>
  <c r="F245" i="69"/>
  <c r="G245" i="69"/>
  <c r="F246" i="69"/>
  <c r="G246" i="69"/>
  <c r="F247" i="69"/>
  <c r="G247" i="69"/>
  <c r="F248" i="69"/>
  <c r="G248" i="69"/>
  <c r="F249" i="69"/>
  <c r="G249" i="69"/>
  <c r="F250" i="69"/>
  <c r="G250" i="69"/>
  <c r="F251" i="69"/>
  <c r="G251" i="69"/>
  <c r="F252" i="69"/>
  <c r="G252" i="69"/>
  <c r="G1" i="69"/>
  <c r="B1" i="69"/>
  <c r="C1" i="69"/>
  <c r="D1" i="69"/>
  <c r="E1" i="69"/>
  <c r="F1" i="69"/>
  <c r="B2" i="69"/>
  <c r="C2" i="69"/>
  <c r="D2" i="69"/>
  <c r="E2" i="69"/>
  <c r="B3" i="69"/>
  <c r="C3" i="69"/>
  <c r="D3" i="69"/>
  <c r="E3" i="69"/>
  <c r="B4" i="69"/>
  <c r="C4" i="69"/>
  <c r="D4" i="69"/>
  <c r="E4" i="69"/>
  <c r="B5" i="69"/>
  <c r="C5" i="69"/>
  <c r="D5" i="69"/>
  <c r="E5" i="69"/>
  <c r="B6" i="69"/>
  <c r="C6" i="69"/>
  <c r="D6" i="69"/>
  <c r="E6" i="69"/>
  <c r="B7" i="69"/>
  <c r="C7" i="69"/>
  <c r="D7" i="69"/>
  <c r="E7" i="69"/>
  <c r="B8" i="69"/>
  <c r="C8" i="69"/>
  <c r="D8" i="69"/>
  <c r="E8" i="69"/>
  <c r="B9" i="69"/>
  <c r="C9" i="69"/>
  <c r="D9" i="69"/>
  <c r="E9" i="69"/>
  <c r="B10" i="69"/>
  <c r="C10" i="69"/>
  <c r="D10" i="69"/>
  <c r="E10" i="69"/>
  <c r="B11" i="69"/>
  <c r="C11" i="69"/>
  <c r="D11" i="69"/>
  <c r="E11" i="69"/>
  <c r="B12" i="69"/>
  <c r="C12" i="69"/>
  <c r="D12" i="69"/>
  <c r="E12" i="69"/>
  <c r="B13" i="69"/>
  <c r="C13" i="69"/>
  <c r="D13" i="69"/>
  <c r="E13" i="69"/>
  <c r="B14" i="69"/>
  <c r="C14" i="69"/>
  <c r="D14" i="69"/>
  <c r="E14" i="69"/>
  <c r="B15" i="69"/>
  <c r="C15" i="69"/>
  <c r="D15" i="69"/>
  <c r="E15" i="69"/>
  <c r="B16" i="69"/>
  <c r="C16" i="69"/>
  <c r="D16" i="69"/>
  <c r="E16" i="69"/>
  <c r="B17" i="69"/>
  <c r="C17" i="69"/>
  <c r="D17" i="69"/>
  <c r="E17" i="69"/>
  <c r="B18" i="69"/>
  <c r="C18" i="69"/>
  <c r="D18" i="69"/>
  <c r="E18" i="69"/>
  <c r="B19" i="69"/>
  <c r="C19" i="69"/>
  <c r="D19" i="69"/>
  <c r="E19" i="69"/>
  <c r="B20" i="69"/>
  <c r="C20" i="69"/>
  <c r="D20" i="69"/>
  <c r="E20" i="69"/>
  <c r="B21" i="69"/>
  <c r="C21" i="69"/>
  <c r="D21" i="69"/>
  <c r="E21" i="69"/>
  <c r="B22" i="69"/>
  <c r="C22" i="69"/>
  <c r="D22" i="69"/>
  <c r="E22" i="69"/>
  <c r="B23" i="69"/>
  <c r="C23" i="69"/>
  <c r="D23" i="69"/>
  <c r="E23" i="69"/>
  <c r="B24" i="69"/>
  <c r="C24" i="69"/>
  <c r="D24" i="69"/>
  <c r="E24" i="69"/>
  <c r="B25" i="69"/>
  <c r="C25" i="69"/>
  <c r="D25" i="69"/>
  <c r="E25" i="69"/>
  <c r="B26" i="69"/>
  <c r="C26" i="69"/>
  <c r="D26" i="69"/>
  <c r="E26" i="69"/>
  <c r="B27" i="69"/>
  <c r="C27" i="69"/>
  <c r="D27" i="69"/>
  <c r="E27" i="69"/>
  <c r="B28" i="69"/>
  <c r="C28" i="69"/>
  <c r="D28" i="69"/>
  <c r="E28" i="69"/>
  <c r="B29" i="69"/>
  <c r="C29" i="69"/>
  <c r="D29" i="69"/>
  <c r="E29" i="69"/>
  <c r="B30" i="69"/>
  <c r="C30" i="69"/>
  <c r="D30" i="69"/>
  <c r="E30" i="69"/>
  <c r="B31" i="69"/>
  <c r="C31" i="69"/>
  <c r="D31" i="69"/>
  <c r="E31" i="69"/>
  <c r="B32" i="69"/>
  <c r="C32" i="69"/>
  <c r="D32" i="69"/>
  <c r="E32" i="69"/>
  <c r="B33" i="69"/>
  <c r="C33" i="69"/>
  <c r="D33" i="69"/>
  <c r="E33" i="69"/>
  <c r="B34" i="69"/>
  <c r="C34" i="69"/>
  <c r="D34" i="69"/>
  <c r="E34" i="69"/>
  <c r="B35" i="69"/>
  <c r="C35" i="69"/>
  <c r="D35" i="69"/>
  <c r="E35" i="69"/>
  <c r="B36" i="69"/>
  <c r="C36" i="69"/>
  <c r="D36" i="69"/>
  <c r="E36" i="69"/>
  <c r="B37" i="69"/>
  <c r="C37" i="69"/>
  <c r="D37" i="69"/>
  <c r="E37" i="69"/>
  <c r="B38" i="69"/>
  <c r="C38" i="69"/>
  <c r="D38" i="69"/>
  <c r="E38" i="69"/>
  <c r="B39" i="69"/>
  <c r="C39" i="69"/>
  <c r="D39" i="69"/>
  <c r="E39" i="69"/>
  <c r="B40" i="69"/>
  <c r="C40" i="69"/>
  <c r="D40" i="69"/>
  <c r="E40" i="69"/>
  <c r="B41" i="69"/>
  <c r="C41" i="69"/>
  <c r="D41" i="69"/>
  <c r="E41" i="69"/>
  <c r="B42" i="69"/>
  <c r="C42" i="69"/>
  <c r="D42" i="69"/>
  <c r="E42" i="69"/>
  <c r="B43" i="69"/>
  <c r="C43" i="69"/>
  <c r="D43" i="69"/>
  <c r="E43" i="69"/>
  <c r="B44" i="69"/>
  <c r="C44" i="69"/>
  <c r="D44" i="69"/>
  <c r="E44" i="69"/>
  <c r="B45" i="69"/>
  <c r="C45" i="69"/>
  <c r="D45" i="69"/>
  <c r="E45" i="69"/>
  <c r="B46" i="69"/>
  <c r="C46" i="69"/>
  <c r="D46" i="69"/>
  <c r="E46" i="69"/>
  <c r="B47" i="69"/>
  <c r="C47" i="69"/>
  <c r="D47" i="69"/>
  <c r="E47" i="69"/>
  <c r="B48" i="69"/>
  <c r="C48" i="69"/>
  <c r="D48" i="69"/>
  <c r="E48" i="69"/>
  <c r="B49" i="69"/>
  <c r="C49" i="69"/>
  <c r="D49" i="69"/>
  <c r="E49" i="69"/>
  <c r="B50" i="69"/>
  <c r="C50" i="69"/>
  <c r="D50" i="69"/>
  <c r="E50" i="69"/>
  <c r="B51" i="69"/>
  <c r="C51" i="69"/>
  <c r="D51" i="69"/>
  <c r="E51" i="69"/>
  <c r="B52" i="69"/>
  <c r="C52" i="69"/>
  <c r="D52" i="69"/>
  <c r="E52" i="69"/>
  <c r="B53" i="69"/>
  <c r="C53" i="69"/>
  <c r="D53" i="69"/>
  <c r="E53" i="69"/>
  <c r="B54" i="69"/>
  <c r="C54" i="69"/>
  <c r="D54" i="69"/>
  <c r="E54" i="69"/>
  <c r="B55" i="69"/>
  <c r="C55" i="69"/>
  <c r="D55" i="69"/>
  <c r="E55" i="69"/>
  <c r="B56" i="69"/>
  <c r="C56" i="69"/>
  <c r="D56" i="69"/>
  <c r="E56" i="69"/>
  <c r="B57" i="69"/>
  <c r="C57" i="69"/>
  <c r="D57" i="69"/>
  <c r="E57" i="69"/>
  <c r="B58" i="69"/>
  <c r="C58" i="69"/>
  <c r="D58" i="69"/>
  <c r="E58" i="69"/>
  <c r="B59" i="69"/>
  <c r="C59" i="69"/>
  <c r="D59" i="69"/>
  <c r="E59" i="69"/>
  <c r="B60" i="69"/>
  <c r="C60" i="69"/>
  <c r="D60" i="69"/>
  <c r="E60" i="69"/>
  <c r="B61" i="69"/>
  <c r="C61" i="69"/>
  <c r="D61" i="69"/>
  <c r="E61" i="69"/>
  <c r="B62" i="69"/>
  <c r="C62" i="69"/>
  <c r="D62" i="69"/>
  <c r="E62" i="69"/>
  <c r="B63" i="69"/>
  <c r="C63" i="69"/>
  <c r="D63" i="69"/>
  <c r="E63" i="69"/>
  <c r="B64" i="69"/>
  <c r="C64" i="69"/>
  <c r="D64" i="69"/>
  <c r="E64" i="69"/>
  <c r="B65" i="69"/>
  <c r="C65" i="69"/>
  <c r="D65" i="69"/>
  <c r="E65" i="69"/>
  <c r="B66" i="69"/>
  <c r="C66" i="69"/>
  <c r="D66" i="69"/>
  <c r="E66" i="69"/>
  <c r="B67" i="69"/>
  <c r="C67" i="69"/>
  <c r="D67" i="69"/>
  <c r="E67" i="69"/>
  <c r="B68" i="69"/>
  <c r="C68" i="69"/>
  <c r="D68" i="69"/>
  <c r="E68" i="69"/>
  <c r="B69" i="69"/>
  <c r="C69" i="69"/>
  <c r="D69" i="69"/>
  <c r="E69" i="69"/>
  <c r="B70" i="69"/>
  <c r="C70" i="69"/>
  <c r="D70" i="69"/>
  <c r="E70" i="69"/>
  <c r="B71" i="69"/>
  <c r="C71" i="69"/>
  <c r="D71" i="69"/>
  <c r="E71" i="69"/>
  <c r="B72" i="69"/>
  <c r="C72" i="69"/>
  <c r="D72" i="69"/>
  <c r="E72" i="69"/>
  <c r="B73" i="69"/>
  <c r="C73" i="69"/>
  <c r="D73" i="69"/>
  <c r="E73" i="69"/>
  <c r="B74" i="69"/>
  <c r="C74" i="69"/>
  <c r="D74" i="69"/>
  <c r="E74" i="69"/>
  <c r="B75" i="69"/>
  <c r="C75" i="69"/>
  <c r="D75" i="69"/>
  <c r="E75" i="69"/>
  <c r="B76" i="69"/>
  <c r="C76" i="69"/>
  <c r="D76" i="69"/>
  <c r="E76" i="69"/>
  <c r="B77" i="69"/>
  <c r="C77" i="69"/>
  <c r="D77" i="69"/>
  <c r="E77" i="69"/>
  <c r="B78" i="69"/>
  <c r="C78" i="69"/>
  <c r="D78" i="69"/>
  <c r="E78" i="69"/>
  <c r="B79" i="69"/>
  <c r="C79" i="69"/>
  <c r="D79" i="69"/>
  <c r="E79" i="69"/>
  <c r="B80" i="69"/>
  <c r="C80" i="69"/>
  <c r="D80" i="69"/>
  <c r="E80" i="69"/>
  <c r="B81" i="69"/>
  <c r="C81" i="69"/>
  <c r="D81" i="69"/>
  <c r="E81" i="69"/>
  <c r="B82" i="69"/>
  <c r="C82" i="69"/>
  <c r="D82" i="69"/>
  <c r="E82" i="69"/>
  <c r="B83" i="69"/>
  <c r="C83" i="69"/>
  <c r="D83" i="69"/>
  <c r="E83" i="69"/>
  <c r="B84" i="69"/>
  <c r="C84" i="69"/>
  <c r="D84" i="69"/>
  <c r="E84" i="69"/>
  <c r="B85" i="69"/>
  <c r="C85" i="69"/>
  <c r="D85" i="69"/>
  <c r="E85" i="69"/>
  <c r="B86" i="69"/>
  <c r="C86" i="69"/>
  <c r="D86" i="69"/>
  <c r="E86" i="69"/>
  <c r="B87" i="69"/>
  <c r="C87" i="69"/>
  <c r="D87" i="69"/>
  <c r="E87" i="69"/>
  <c r="B88" i="69"/>
  <c r="C88" i="69"/>
  <c r="D88" i="69"/>
  <c r="E88" i="69"/>
  <c r="B89" i="69"/>
  <c r="C89" i="69"/>
  <c r="D89" i="69"/>
  <c r="E89" i="69"/>
  <c r="B90" i="69"/>
  <c r="C90" i="69"/>
  <c r="D90" i="69"/>
  <c r="E90" i="69"/>
  <c r="B91" i="69"/>
  <c r="C91" i="69"/>
  <c r="D91" i="69"/>
  <c r="E91" i="69"/>
  <c r="B92" i="69"/>
  <c r="C92" i="69"/>
  <c r="D92" i="69"/>
  <c r="E92" i="69"/>
  <c r="B93" i="69"/>
  <c r="C93" i="69"/>
  <c r="D93" i="69"/>
  <c r="E93" i="69"/>
  <c r="B94" i="69"/>
  <c r="C94" i="69"/>
  <c r="D94" i="69"/>
  <c r="E94" i="69"/>
  <c r="B95" i="69"/>
  <c r="C95" i="69"/>
  <c r="D95" i="69"/>
  <c r="E95" i="69"/>
  <c r="B96" i="69"/>
  <c r="C96" i="69"/>
  <c r="D96" i="69"/>
  <c r="E96" i="69"/>
  <c r="B97" i="69"/>
  <c r="C97" i="69"/>
  <c r="D97" i="69"/>
  <c r="E97" i="69"/>
  <c r="B98" i="69"/>
  <c r="C98" i="69"/>
  <c r="D98" i="69"/>
  <c r="E98" i="69"/>
  <c r="B99" i="69"/>
  <c r="C99" i="69"/>
  <c r="D99" i="69"/>
  <c r="E99" i="69"/>
  <c r="B100" i="69"/>
  <c r="C100" i="69"/>
  <c r="D100" i="69"/>
  <c r="E100" i="69"/>
  <c r="B101" i="69"/>
  <c r="C101" i="69"/>
  <c r="D101" i="69"/>
  <c r="E101" i="69"/>
  <c r="B102" i="69"/>
  <c r="C102" i="69"/>
  <c r="D102" i="69"/>
  <c r="E102" i="69"/>
  <c r="B103" i="69"/>
  <c r="C103" i="69"/>
  <c r="D103" i="69"/>
  <c r="E103" i="69"/>
  <c r="B104" i="69"/>
  <c r="C104" i="69"/>
  <c r="D104" i="69"/>
  <c r="E104" i="69"/>
  <c r="B105" i="69"/>
  <c r="C105" i="69"/>
  <c r="D105" i="69"/>
  <c r="E105" i="69"/>
  <c r="B106" i="69"/>
  <c r="C106" i="69"/>
  <c r="D106" i="69"/>
  <c r="E106" i="69"/>
  <c r="B107" i="69"/>
  <c r="C107" i="69"/>
  <c r="D107" i="69"/>
  <c r="E107" i="69"/>
  <c r="B108" i="69"/>
  <c r="C108" i="69"/>
  <c r="D108" i="69"/>
  <c r="E108" i="69"/>
  <c r="B109" i="69"/>
  <c r="C109" i="69"/>
  <c r="D109" i="69"/>
  <c r="E109" i="69"/>
  <c r="B110" i="69"/>
  <c r="C110" i="69"/>
  <c r="D110" i="69"/>
  <c r="E110" i="69"/>
  <c r="B111" i="69"/>
  <c r="C111" i="69"/>
  <c r="D111" i="69"/>
  <c r="E111" i="69"/>
  <c r="B112" i="69"/>
  <c r="C112" i="69"/>
  <c r="D112" i="69"/>
  <c r="E112" i="69"/>
  <c r="B113" i="69"/>
  <c r="C113" i="69"/>
  <c r="D113" i="69"/>
  <c r="E113" i="69"/>
  <c r="B114" i="69"/>
  <c r="C114" i="69"/>
  <c r="D114" i="69"/>
  <c r="E114" i="69"/>
  <c r="B115" i="69"/>
  <c r="C115" i="69"/>
  <c r="D115" i="69"/>
  <c r="E115" i="69"/>
  <c r="B116" i="69"/>
  <c r="C116" i="69"/>
  <c r="D116" i="69"/>
  <c r="E116" i="69"/>
  <c r="B117" i="69"/>
  <c r="C117" i="69"/>
  <c r="D117" i="69"/>
  <c r="E117" i="69"/>
  <c r="B118" i="69"/>
  <c r="C118" i="69"/>
  <c r="D118" i="69"/>
  <c r="E118" i="69"/>
  <c r="B119" i="69"/>
  <c r="C119" i="69"/>
  <c r="D119" i="69"/>
  <c r="E119" i="69"/>
  <c r="B120" i="69"/>
  <c r="C120" i="69"/>
  <c r="D120" i="69"/>
  <c r="E120" i="69"/>
  <c r="B121" i="69"/>
  <c r="C121" i="69"/>
  <c r="D121" i="69"/>
  <c r="E121" i="69"/>
  <c r="B122" i="69"/>
  <c r="C122" i="69"/>
  <c r="D122" i="69"/>
  <c r="E122" i="69"/>
  <c r="B123" i="69"/>
  <c r="C123" i="69"/>
  <c r="D123" i="69"/>
  <c r="E123" i="69"/>
  <c r="B124" i="69"/>
  <c r="C124" i="69"/>
  <c r="D124" i="69"/>
  <c r="E124" i="69"/>
  <c r="B125" i="69"/>
  <c r="C125" i="69"/>
  <c r="D125" i="69"/>
  <c r="E125" i="69"/>
  <c r="B126" i="69"/>
  <c r="C126" i="69"/>
  <c r="D126" i="69"/>
  <c r="E126" i="69"/>
  <c r="B127" i="69"/>
  <c r="C127" i="69"/>
  <c r="D127" i="69"/>
  <c r="E127" i="69"/>
  <c r="B128" i="69"/>
  <c r="C128" i="69"/>
  <c r="D128" i="69"/>
  <c r="E128" i="69"/>
  <c r="B129" i="69"/>
  <c r="C129" i="69"/>
  <c r="D129" i="69"/>
  <c r="E129" i="69"/>
  <c r="B130" i="69"/>
  <c r="C130" i="69"/>
  <c r="D130" i="69"/>
  <c r="E130" i="69"/>
  <c r="B131" i="69"/>
  <c r="C131" i="69"/>
  <c r="D131" i="69"/>
  <c r="E131" i="69"/>
  <c r="B132" i="69"/>
  <c r="C132" i="69"/>
  <c r="D132" i="69"/>
  <c r="E132" i="69"/>
  <c r="B133" i="69"/>
  <c r="C133" i="69"/>
  <c r="D133" i="69"/>
  <c r="E133" i="69"/>
  <c r="B134" i="69"/>
  <c r="C134" i="69"/>
  <c r="D134" i="69"/>
  <c r="E134" i="69"/>
  <c r="B135" i="69"/>
  <c r="C135" i="69"/>
  <c r="D135" i="69"/>
  <c r="E135" i="69"/>
  <c r="B136" i="69"/>
  <c r="C136" i="69"/>
  <c r="D136" i="69"/>
  <c r="E136" i="69"/>
  <c r="B137" i="69"/>
  <c r="C137" i="69"/>
  <c r="D137" i="69"/>
  <c r="E137" i="69"/>
  <c r="B138" i="69"/>
  <c r="C138" i="69"/>
  <c r="D138" i="69"/>
  <c r="E138" i="69"/>
  <c r="B139" i="69"/>
  <c r="C139" i="69"/>
  <c r="D139" i="69"/>
  <c r="E139" i="69"/>
  <c r="B140" i="69"/>
  <c r="C140" i="69"/>
  <c r="D140" i="69"/>
  <c r="E140" i="69"/>
  <c r="B141" i="69"/>
  <c r="C141" i="69"/>
  <c r="D141" i="69"/>
  <c r="E141" i="69"/>
  <c r="B142" i="69"/>
  <c r="C142" i="69"/>
  <c r="D142" i="69"/>
  <c r="E142" i="69"/>
  <c r="B143" i="69"/>
  <c r="C143" i="69"/>
  <c r="D143" i="69"/>
  <c r="E143" i="69"/>
  <c r="B144" i="69"/>
  <c r="C144" i="69"/>
  <c r="D144" i="69"/>
  <c r="E144" i="69"/>
  <c r="B145" i="69"/>
  <c r="C145" i="69"/>
  <c r="D145" i="69"/>
  <c r="E145" i="69"/>
  <c r="B146" i="69"/>
  <c r="C146" i="69"/>
  <c r="D146" i="69"/>
  <c r="E146" i="69"/>
  <c r="B147" i="69"/>
  <c r="C147" i="69"/>
  <c r="D147" i="69"/>
  <c r="E147" i="69"/>
  <c r="B148" i="69"/>
  <c r="C148" i="69"/>
  <c r="D148" i="69"/>
  <c r="E148" i="69"/>
  <c r="B149" i="69"/>
  <c r="C149" i="69"/>
  <c r="D149" i="69"/>
  <c r="E149" i="69"/>
  <c r="B150" i="69"/>
  <c r="C150" i="69"/>
  <c r="D150" i="69"/>
  <c r="E150" i="69"/>
  <c r="B151" i="69"/>
  <c r="C151" i="69"/>
  <c r="D151" i="69"/>
  <c r="E151" i="69"/>
  <c r="B152" i="69"/>
  <c r="C152" i="69"/>
  <c r="D152" i="69"/>
  <c r="E152" i="69"/>
  <c r="B153" i="69"/>
  <c r="C153" i="69"/>
  <c r="D153" i="69"/>
  <c r="E153" i="69"/>
  <c r="B154" i="69"/>
  <c r="C154" i="69"/>
  <c r="D154" i="69"/>
  <c r="E154" i="69"/>
  <c r="B155" i="69"/>
  <c r="C155" i="69"/>
  <c r="D155" i="69"/>
  <c r="E155" i="69"/>
  <c r="B156" i="69"/>
  <c r="C156" i="69"/>
  <c r="D156" i="69"/>
  <c r="E156" i="69"/>
  <c r="B157" i="69"/>
  <c r="C157" i="69"/>
  <c r="D157" i="69"/>
  <c r="E157" i="69"/>
  <c r="B158" i="69"/>
  <c r="C158" i="69"/>
  <c r="D158" i="69"/>
  <c r="E158" i="69"/>
  <c r="B159" i="69"/>
  <c r="C159" i="69"/>
  <c r="D159" i="69"/>
  <c r="E159" i="69"/>
  <c r="B160" i="69"/>
  <c r="C160" i="69"/>
  <c r="D160" i="69"/>
  <c r="E160" i="69"/>
  <c r="B161" i="69"/>
  <c r="C161" i="69"/>
  <c r="D161" i="69"/>
  <c r="E161" i="69"/>
  <c r="B162" i="69"/>
  <c r="C162" i="69"/>
  <c r="D162" i="69"/>
  <c r="E162" i="69"/>
  <c r="B163" i="69"/>
  <c r="C163" i="69"/>
  <c r="D163" i="69"/>
  <c r="E163" i="69"/>
  <c r="B164" i="69"/>
  <c r="C164" i="69"/>
  <c r="D164" i="69"/>
  <c r="E164" i="69"/>
  <c r="B165" i="69"/>
  <c r="C165" i="69"/>
  <c r="D165" i="69"/>
  <c r="E165" i="69"/>
  <c r="B166" i="69"/>
  <c r="C166" i="69"/>
  <c r="D166" i="69"/>
  <c r="E166" i="69"/>
  <c r="B167" i="69"/>
  <c r="C167" i="69"/>
  <c r="D167" i="69"/>
  <c r="E167" i="69"/>
  <c r="B168" i="69"/>
  <c r="C168" i="69"/>
  <c r="D168" i="69"/>
  <c r="E168" i="69"/>
  <c r="B169" i="69"/>
  <c r="C169" i="69"/>
  <c r="D169" i="69"/>
  <c r="E169" i="69"/>
  <c r="B170" i="69"/>
  <c r="C170" i="69"/>
  <c r="D170" i="69"/>
  <c r="E170" i="69"/>
  <c r="B171" i="69"/>
  <c r="C171" i="69"/>
  <c r="D171" i="69"/>
  <c r="E171" i="69"/>
  <c r="B172" i="69"/>
  <c r="C172" i="69"/>
  <c r="D172" i="69"/>
  <c r="E172" i="69"/>
  <c r="B173" i="69"/>
  <c r="C173" i="69"/>
  <c r="D173" i="69"/>
  <c r="E173" i="69"/>
  <c r="B174" i="69"/>
  <c r="C174" i="69"/>
  <c r="D174" i="69"/>
  <c r="E174" i="69"/>
  <c r="B175" i="69"/>
  <c r="C175" i="69"/>
  <c r="D175" i="69"/>
  <c r="E175" i="69"/>
  <c r="B176" i="69"/>
  <c r="C176" i="69"/>
  <c r="D176" i="69"/>
  <c r="E176" i="69"/>
  <c r="B177" i="69"/>
  <c r="C177" i="69"/>
  <c r="D177" i="69"/>
  <c r="E177" i="69"/>
  <c r="B178" i="69"/>
  <c r="C178" i="69"/>
  <c r="D178" i="69"/>
  <c r="E178" i="69"/>
  <c r="B179" i="69"/>
  <c r="C179" i="69"/>
  <c r="D179" i="69"/>
  <c r="E179" i="69"/>
  <c r="B180" i="69"/>
  <c r="C180" i="69"/>
  <c r="D180" i="69"/>
  <c r="E180" i="69"/>
  <c r="B181" i="69"/>
  <c r="C181" i="69"/>
  <c r="D181" i="69"/>
  <c r="E181" i="69"/>
  <c r="B182" i="69"/>
  <c r="C182" i="69"/>
  <c r="D182" i="69"/>
  <c r="E182" i="69"/>
  <c r="B183" i="69"/>
  <c r="C183" i="69"/>
  <c r="D183" i="69"/>
  <c r="E183" i="69"/>
  <c r="B184" i="69"/>
  <c r="C184" i="69"/>
  <c r="D184" i="69"/>
  <c r="E184" i="69"/>
  <c r="B185" i="69"/>
  <c r="C185" i="69"/>
  <c r="D185" i="69"/>
  <c r="E185" i="69"/>
  <c r="B186" i="69"/>
  <c r="C186" i="69"/>
  <c r="D186" i="69"/>
  <c r="E186" i="69"/>
  <c r="B187" i="69"/>
  <c r="C187" i="69"/>
  <c r="D187" i="69"/>
  <c r="E187" i="69"/>
  <c r="B188" i="69"/>
  <c r="C188" i="69"/>
  <c r="D188" i="69"/>
  <c r="E188" i="69"/>
  <c r="B189" i="69"/>
  <c r="C189" i="69"/>
  <c r="D189" i="69"/>
  <c r="E189" i="69"/>
  <c r="B190" i="69"/>
  <c r="C190" i="69"/>
  <c r="D190" i="69"/>
  <c r="E190" i="69"/>
  <c r="B191" i="69"/>
  <c r="C191" i="69"/>
  <c r="D191" i="69"/>
  <c r="E191" i="69"/>
  <c r="B192" i="69"/>
  <c r="C192" i="69"/>
  <c r="D192" i="69"/>
  <c r="E192" i="69"/>
  <c r="B193" i="69"/>
  <c r="C193" i="69"/>
  <c r="D193" i="69"/>
  <c r="E193" i="69"/>
  <c r="B194" i="69"/>
  <c r="C194" i="69"/>
  <c r="D194" i="69"/>
  <c r="E194" i="69"/>
  <c r="B195" i="69"/>
  <c r="C195" i="69"/>
  <c r="D195" i="69"/>
  <c r="E195" i="69"/>
  <c r="B196" i="69"/>
  <c r="C196" i="69"/>
  <c r="D196" i="69"/>
  <c r="E196" i="69"/>
  <c r="B197" i="69"/>
  <c r="C197" i="69"/>
  <c r="D197" i="69"/>
  <c r="E197" i="69"/>
  <c r="B198" i="69"/>
  <c r="C198" i="69"/>
  <c r="D198" i="69"/>
  <c r="E198" i="69"/>
  <c r="B199" i="69"/>
  <c r="C199" i="69"/>
  <c r="D199" i="69"/>
  <c r="E199" i="69"/>
  <c r="B200" i="69"/>
  <c r="C200" i="69"/>
  <c r="D200" i="69"/>
  <c r="E200" i="69"/>
  <c r="B201" i="69"/>
  <c r="C201" i="69"/>
  <c r="D201" i="69"/>
  <c r="E201" i="69"/>
  <c r="B202" i="69"/>
  <c r="C202" i="69"/>
  <c r="D202" i="69"/>
  <c r="E202" i="69"/>
  <c r="B203" i="69"/>
  <c r="C203" i="69"/>
  <c r="D203" i="69"/>
  <c r="E203" i="69"/>
  <c r="B204" i="69"/>
  <c r="C204" i="69"/>
  <c r="D204" i="69"/>
  <c r="E204" i="69"/>
  <c r="B205" i="69"/>
  <c r="C205" i="69"/>
  <c r="D205" i="69"/>
  <c r="E205" i="69"/>
  <c r="B206" i="69"/>
  <c r="C206" i="69"/>
  <c r="D206" i="69"/>
  <c r="E206" i="69"/>
  <c r="B207" i="69"/>
  <c r="C207" i="69"/>
  <c r="D207" i="69"/>
  <c r="E207" i="69"/>
  <c r="B208" i="69"/>
  <c r="C208" i="69"/>
  <c r="D208" i="69"/>
  <c r="E208" i="69"/>
  <c r="B209" i="69"/>
  <c r="C209" i="69"/>
  <c r="D209" i="69"/>
  <c r="E209" i="69"/>
  <c r="B210" i="69"/>
  <c r="C210" i="69"/>
  <c r="D210" i="69"/>
  <c r="E210" i="69"/>
  <c r="B211" i="69"/>
  <c r="C211" i="69"/>
  <c r="D211" i="69"/>
  <c r="E211" i="69"/>
  <c r="B212" i="69"/>
  <c r="C212" i="69"/>
  <c r="D212" i="69"/>
  <c r="E212" i="69"/>
  <c r="B213" i="69"/>
  <c r="C213" i="69"/>
  <c r="D213" i="69"/>
  <c r="E213" i="69"/>
  <c r="B214" i="69"/>
  <c r="C214" i="69"/>
  <c r="D214" i="69"/>
  <c r="E214" i="69"/>
  <c r="B215" i="69"/>
  <c r="C215" i="69"/>
  <c r="D215" i="69"/>
  <c r="E215" i="69"/>
  <c r="B216" i="69"/>
  <c r="C216" i="69"/>
  <c r="D216" i="69"/>
  <c r="E216" i="69"/>
  <c r="B217" i="69"/>
  <c r="C217" i="69"/>
  <c r="D217" i="69"/>
  <c r="E217" i="69"/>
  <c r="B218" i="69"/>
  <c r="C218" i="69"/>
  <c r="D218" i="69"/>
  <c r="E218" i="69"/>
  <c r="B219" i="69"/>
  <c r="C219" i="69"/>
  <c r="D219" i="69"/>
  <c r="E219" i="69"/>
  <c r="B220" i="69"/>
  <c r="C220" i="69"/>
  <c r="D220" i="69"/>
  <c r="E220" i="69"/>
  <c r="B221" i="69"/>
  <c r="C221" i="69"/>
  <c r="D221" i="69"/>
  <c r="E221" i="69"/>
  <c r="B222" i="69"/>
  <c r="C222" i="69"/>
  <c r="D222" i="69"/>
  <c r="E222" i="69"/>
  <c r="B223" i="69"/>
  <c r="C223" i="69"/>
  <c r="D223" i="69"/>
  <c r="E223" i="69"/>
  <c r="B224" i="69"/>
  <c r="C224" i="69"/>
  <c r="D224" i="69"/>
  <c r="E224" i="69"/>
  <c r="B225" i="69"/>
  <c r="C225" i="69"/>
  <c r="D225" i="69"/>
  <c r="E225" i="69"/>
  <c r="B226" i="69"/>
  <c r="C226" i="69"/>
  <c r="D226" i="69"/>
  <c r="E226" i="69"/>
  <c r="B227" i="69"/>
  <c r="C227" i="69"/>
  <c r="D227" i="69"/>
  <c r="E227" i="69"/>
  <c r="B228" i="69"/>
  <c r="C228" i="69"/>
  <c r="D228" i="69"/>
  <c r="E228" i="69"/>
  <c r="B229" i="69"/>
  <c r="C229" i="69"/>
  <c r="D229" i="69"/>
  <c r="E229" i="69"/>
  <c r="B230" i="69"/>
  <c r="C230" i="69"/>
  <c r="D230" i="69"/>
  <c r="E230" i="69"/>
  <c r="B231" i="69"/>
  <c r="C231" i="69"/>
  <c r="D231" i="69"/>
  <c r="E231" i="69"/>
  <c r="B232" i="69"/>
  <c r="C232" i="69"/>
  <c r="D232" i="69"/>
  <c r="E232" i="69"/>
  <c r="B233" i="69"/>
  <c r="C233" i="69"/>
  <c r="D233" i="69"/>
  <c r="E233" i="69"/>
  <c r="B234" i="69"/>
  <c r="C234" i="69"/>
  <c r="D234" i="69"/>
  <c r="E234" i="69"/>
  <c r="B235" i="69"/>
  <c r="C235" i="69"/>
  <c r="D235" i="69"/>
  <c r="E235" i="69"/>
  <c r="B236" i="69"/>
  <c r="C236" i="69"/>
  <c r="D236" i="69"/>
  <c r="E236" i="69"/>
  <c r="B237" i="69"/>
  <c r="C237" i="69"/>
  <c r="D237" i="69"/>
  <c r="E237" i="69"/>
  <c r="B238" i="69"/>
  <c r="C238" i="69"/>
  <c r="D238" i="69"/>
  <c r="E238" i="69"/>
  <c r="B239" i="69"/>
  <c r="C239" i="69"/>
  <c r="D239" i="69"/>
  <c r="E239" i="69"/>
  <c r="B240" i="69"/>
  <c r="C240" i="69"/>
  <c r="D240" i="69"/>
  <c r="E240" i="69"/>
  <c r="B241" i="69"/>
  <c r="C241" i="69"/>
  <c r="D241" i="69"/>
  <c r="E241" i="69"/>
  <c r="B242" i="69"/>
  <c r="C242" i="69"/>
  <c r="D242" i="69"/>
  <c r="E242" i="69"/>
  <c r="B243" i="69"/>
  <c r="C243" i="69"/>
  <c r="D243" i="69"/>
  <c r="E243" i="69"/>
  <c r="B244" i="69"/>
  <c r="C244" i="69"/>
  <c r="D244" i="69"/>
  <c r="E244" i="69"/>
  <c r="B245" i="69"/>
  <c r="C245" i="69"/>
  <c r="D245" i="69"/>
  <c r="E245" i="69"/>
  <c r="B246" i="69"/>
  <c r="C246" i="69"/>
  <c r="D246" i="69"/>
  <c r="E246" i="69"/>
  <c r="B247" i="69"/>
  <c r="C247" i="69"/>
  <c r="D247" i="69"/>
  <c r="E247" i="69"/>
  <c r="B248" i="69"/>
  <c r="C248" i="69"/>
  <c r="D248" i="69"/>
  <c r="E248" i="69"/>
  <c r="B249" i="69"/>
  <c r="C249" i="69"/>
  <c r="D249" i="69"/>
  <c r="E249" i="69"/>
  <c r="B250" i="69"/>
  <c r="C250" i="69"/>
  <c r="D250" i="69"/>
  <c r="E250" i="69"/>
  <c r="B251" i="69"/>
  <c r="C251" i="69"/>
  <c r="D251" i="69"/>
  <c r="E251" i="69"/>
  <c r="B252" i="69"/>
  <c r="C252" i="69"/>
  <c r="D252" i="69"/>
  <c r="E252" i="69"/>
  <c r="A156" i="69"/>
  <c r="A157" i="69"/>
  <c r="A158" i="69"/>
  <c r="A159" i="69"/>
  <c r="A160" i="69"/>
  <c r="A161" i="69"/>
  <c r="A162" i="69"/>
  <c r="A163" i="69"/>
  <c r="A164" i="69"/>
  <c r="A165" i="69"/>
  <c r="A166" i="69"/>
  <c r="A167" i="69"/>
  <c r="A168" i="69"/>
  <c r="A169" i="69"/>
  <c r="A170" i="69"/>
  <c r="A171" i="69"/>
  <c r="A172" i="69"/>
  <c r="A173" i="69"/>
  <c r="A174" i="69"/>
  <c r="A175" i="69"/>
  <c r="A176" i="69"/>
  <c r="A177" i="69"/>
  <c r="A178" i="69"/>
  <c r="A179" i="69"/>
  <c r="A180" i="69"/>
  <c r="A181" i="69"/>
  <c r="A182" i="69"/>
  <c r="A183" i="69"/>
  <c r="A184" i="69"/>
  <c r="A185" i="69"/>
  <c r="A186" i="69"/>
  <c r="A187" i="69"/>
  <c r="A188" i="69"/>
  <c r="A189" i="69"/>
  <c r="A190" i="69"/>
  <c r="A191" i="69"/>
  <c r="A192" i="69"/>
  <c r="A193" i="69"/>
  <c r="A194" i="69"/>
  <c r="A195" i="69"/>
  <c r="A196" i="69"/>
  <c r="A197" i="69"/>
  <c r="A198" i="69"/>
  <c r="A199" i="69"/>
  <c r="A200" i="69"/>
  <c r="A201" i="69"/>
  <c r="A202" i="69"/>
  <c r="A203" i="69"/>
  <c r="A204" i="69"/>
  <c r="A205" i="69"/>
  <c r="A206" i="69"/>
  <c r="A207" i="69"/>
  <c r="A208" i="69"/>
  <c r="A209" i="69"/>
  <c r="A210" i="69"/>
  <c r="A211" i="69"/>
  <c r="A212" i="69"/>
  <c r="A213" i="69"/>
  <c r="A214" i="69"/>
  <c r="A215" i="69"/>
  <c r="A216" i="69"/>
  <c r="A217" i="69"/>
  <c r="A218" i="69"/>
  <c r="A219" i="69"/>
  <c r="A220" i="69"/>
  <c r="A221" i="69"/>
  <c r="A222" i="69"/>
  <c r="A223" i="69"/>
  <c r="A224" i="69"/>
  <c r="A225" i="69"/>
  <c r="A226" i="69"/>
  <c r="A227" i="69"/>
  <c r="A228" i="69"/>
  <c r="A229" i="69"/>
  <c r="A230" i="69"/>
  <c r="A231" i="69"/>
  <c r="A232" i="69"/>
  <c r="A233" i="69"/>
  <c r="A234" i="69"/>
  <c r="A235" i="69"/>
  <c r="A236" i="69"/>
  <c r="A237" i="69"/>
  <c r="A238" i="69"/>
  <c r="A239" i="69"/>
  <c r="A240" i="69"/>
  <c r="A241" i="69"/>
  <c r="A242" i="69"/>
  <c r="A243" i="69"/>
  <c r="A244" i="69"/>
  <c r="A245" i="69"/>
  <c r="A246" i="69"/>
  <c r="A247" i="69"/>
  <c r="A248" i="69"/>
  <c r="A249" i="69"/>
  <c r="A250" i="69"/>
  <c r="A251" i="69"/>
  <c r="A252" i="69"/>
  <c r="A146" i="69"/>
  <c r="A147" i="69"/>
  <c r="A148" i="69"/>
  <c r="A149" i="69"/>
  <c r="A150" i="69"/>
  <c r="A151" i="69"/>
  <c r="A152" i="69"/>
  <c r="A153" i="69"/>
  <c r="A154" i="69"/>
  <c r="A155" i="69"/>
  <c r="A57" i="69"/>
  <c r="A58" i="69"/>
  <c r="A59" i="69"/>
  <c r="A60" i="69"/>
  <c r="A61" i="69"/>
  <c r="A62" i="69"/>
  <c r="A63" i="69"/>
  <c r="A64" i="69"/>
  <c r="A65" i="69"/>
  <c r="A66" i="69"/>
  <c r="A67" i="69"/>
  <c r="A68" i="69"/>
  <c r="A69" i="69"/>
  <c r="A70" i="69"/>
  <c r="A71" i="69"/>
  <c r="A72" i="69"/>
  <c r="A73" i="69"/>
  <c r="A74" i="69"/>
  <c r="A75" i="69"/>
  <c r="A76" i="69"/>
  <c r="A77" i="69"/>
  <c r="A78" i="69"/>
  <c r="A79" i="69"/>
  <c r="A80" i="69"/>
  <c r="A81" i="69"/>
  <c r="A82" i="69"/>
  <c r="A83" i="69"/>
  <c r="A84" i="69"/>
  <c r="A85" i="69"/>
  <c r="A86" i="69"/>
  <c r="A87" i="69"/>
  <c r="A88" i="69"/>
  <c r="A89" i="69"/>
  <c r="A90" i="69"/>
  <c r="A91" i="69"/>
  <c r="A92" i="69"/>
  <c r="A93" i="69"/>
  <c r="A94" i="69"/>
  <c r="A95" i="69"/>
  <c r="A96" i="69"/>
  <c r="A97" i="69"/>
  <c r="A98" i="69"/>
  <c r="A99" i="69"/>
  <c r="A100" i="69"/>
  <c r="A101" i="69"/>
  <c r="A102" i="69"/>
  <c r="A103" i="69"/>
  <c r="A104" i="69"/>
  <c r="A105" i="69"/>
  <c r="A106" i="69"/>
  <c r="A107" i="69"/>
  <c r="A108" i="69"/>
  <c r="A109" i="69"/>
  <c r="A110" i="69"/>
  <c r="A111" i="69"/>
  <c r="A112" i="69"/>
  <c r="A113" i="69"/>
  <c r="A114" i="69"/>
  <c r="A115" i="69"/>
  <c r="A116" i="69"/>
  <c r="A117" i="69"/>
  <c r="A118" i="69"/>
  <c r="A119" i="69"/>
  <c r="A120" i="69"/>
  <c r="A121" i="69"/>
  <c r="A122" i="69"/>
  <c r="A123" i="69"/>
  <c r="A124" i="69"/>
  <c r="A125" i="69"/>
  <c r="A126" i="69"/>
  <c r="A127" i="69"/>
  <c r="A128" i="69"/>
  <c r="A129" i="69"/>
  <c r="A130" i="69"/>
  <c r="A131" i="69"/>
  <c r="A132" i="69"/>
  <c r="A133" i="69"/>
  <c r="A134" i="69"/>
  <c r="A135" i="69"/>
  <c r="A136" i="69"/>
  <c r="A137" i="69"/>
  <c r="A138" i="69"/>
  <c r="A139" i="69"/>
  <c r="A140" i="69"/>
  <c r="A141" i="69"/>
  <c r="A142" i="69"/>
  <c r="A143" i="69"/>
  <c r="A144" i="69"/>
  <c r="A145" i="69"/>
  <c r="A2" i="69"/>
  <c r="A3" i="69"/>
  <c r="A4" i="69"/>
  <c r="A5" i="69"/>
  <c r="A6" i="69"/>
  <c r="A7" i="69"/>
  <c r="A8" i="69"/>
  <c r="A9" i="69"/>
  <c r="A10" i="69"/>
  <c r="A11" i="69"/>
  <c r="A12" i="69"/>
  <c r="A13" i="69"/>
  <c r="A14" i="69"/>
  <c r="A15" i="69"/>
  <c r="A16" i="69"/>
  <c r="A17" i="69"/>
  <c r="A18" i="69"/>
  <c r="A19" i="69"/>
  <c r="A20" i="69"/>
  <c r="A21" i="69"/>
  <c r="A22" i="69"/>
  <c r="A23" i="69"/>
  <c r="A24" i="69"/>
  <c r="A25" i="69"/>
  <c r="A26" i="69"/>
  <c r="A27" i="69"/>
  <c r="A28" i="69"/>
  <c r="A29" i="69"/>
  <c r="A30" i="69"/>
  <c r="A31" i="69"/>
  <c r="A32" i="69"/>
  <c r="A33" i="69"/>
  <c r="A34" i="69"/>
  <c r="A35" i="69"/>
  <c r="A36" i="69"/>
  <c r="A37" i="69"/>
  <c r="A38" i="69"/>
  <c r="A39" i="69"/>
  <c r="A40" i="69"/>
  <c r="A41" i="69"/>
  <c r="A42" i="69"/>
  <c r="A43" i="69"/>
  <c r="A44" i="69"/>
  <c r="A45" i="69"/>
  <c r="A46" i="69"/>
  <c r="A47" i="69"/>
  <c r="A48" i="69"/>
  <c r="A49" i="69"/>
  <c r="A50" i="69"/>
  <c r="A51" i="69"/>
  <c r="A52" i="69"/>
  <c r="A53" i="69"/>
  <c r="A54" i="69"/>
  <c r="A55" i="69"/>
  <c r="A56" i="69"/>
  <c r="A1" i="69"/>
  <c r="T12" i="48"/>
  <c r="V117" i="48"/>
  <c r="W117" i="48" s="1"/>
  <c r="X117" i="48" s="1"/>
  <c r="Y117" i="48" s="1"/>
  <c r="Z117" i="48" s="1"/>
  <c r="AA117" i="48" s="1"/>
  <c r="AB117" i="48" s="1"/>
  <c r="AC117" i="48" s="1"/>
  <c r="U117" i="48"/>
  <c r="V113" i="48"/>
  <c r="W113" i="48" s="1"/>
  <c r="X113" i="48" s="1"/>
  <c r="Y113" i="48" s="1"/>
  <c r="Z113" i="48" s="1"/>
  <c r="AA113" i="48" s="1"/>
  <c r="AB113" i="48" s="1"/>
  <c r="AC113" i="48" s="1"/>
  <c r="U113" i="48"/>
  <c r="G137" i="48"/>
  <c r="H137" i="48"/>
  <c r="I137" i="48"/>
  <c r="J137" i="48"/>
  <c r="K137" i="48"/>
  <c r="L137" i="48"/>
  <c r="M137" i="48"/>
  <c r="N137" i="48"/>
  <c r="O137" i="48"/>
  <c r="P137" i="48"/>
  <c r="Q137" i="48"/>
  <c r="R137" i="48"/>
  <c r="S137" i="48"/>
  <c r="G138" i="48"/>
  <c r="H138" i="48"/>
  <c r="I138" i="48"/>
  <c r="J138" i="48"/>
  <c r="K138" i="48"/>
  <c r="L138" i="48"/>
  <c r="M138" i="48"/>
  <c r="N138" i="48"/>
  <c r="O138" i="48"/>
  <c r="P138" i="48"/>
  <c r="Q138" i="48"/>
  <c r="R138" i="48"/>
  <c r="S138" i="48"/>
  <c r="G139" i="48"/>
  <c r="H139" i="48"/>
  <c r="I139" i="48"/>
  <c r="J139" i="48"/>
  <c r="K139" i="48"/>
  <c r="L139" i="48"/>
  <c r="M139" i="48"/>
  <c r="N139" i="48"/>
  <c r="O139" i="48"/>
  <c r="P139" i="48"/>
  <c r="Q139" i="48"/>
  <c r="R139" i="48"/>
  <c r="S139" i="48"/>
  <c r="G140" i="48"/>
  <c r="H140" i="48"/>
  <c r="I140" i="48"/>
  <c r="J140" i="48"/>
  <c r="K140" i="48"/>
  <c r="L140" i="48"/>
  <c r="M140" i="48"/>
  <c r="N140" i="48"/>
  <c r="O140" i="48"/>
  <c r="P140" i="48"/>
  <c r="Q140" i="48"/>
  <c r="R140" i="48"/>
  <c r="S140" i="48"/>
  <c r="G141" i="48"/>
  <c r="H141" i="48"/>
  <c r="I141" i="48"/>
  <c r="J141" i="48"/>
  <c r="K141" i="48"/>
  <c r="L141" i="48"/>
  <c r="M141" i="48"/>
  <c r="N141" i="48"/>
  <c r="O141" i="48"/>
  <c r="P141" i="48"/>
  <c r="Q141" i="48"/>
  <c r="R141" i="48"/>
  <c r="S141" i="48"/>
  <c r="G142" i="48"/>
  <c r="H142" i="48"/>
  <c r="I142" i="48"/>
  <c r="J142" i="48"/>
  <c r="K142" i="48"/>
  <c r="L142" i="48"/>
  <c r="M142" i="48"/>
  <c r="N142" i="48"/>
  <c r="O142" i="48"/>
  <c r="P142" i="48"/>
  <c r="Q142" i="48"/>
  <c r="R142" i="48"/>
  <c r="S142" i="48"/>
  <c r="G143" i="48"/>
  <c r="H143" i="48"/>
  <c r="I143" i="48"/>
  <c r="J143" i="48"/>
  <c r="K143" i="48"/>
  <c r="L143" i="48"/>
  <c r="M143" i="48"/>
  <c r="N143" i="48"/>
  <c r="O143" i="48"/>
  <c r="P143" i="48"/>
  <c r="Q143" i="48"/>
  <c r="R143" i="48"/>
  <c r="S143" i="48"/>
  <c r="H136" i="48"/>
  <c r="I136" i="48"/>
  <c r="J136" i="48"/>
  <c r="K136" i="48"/>
  <c r="L136" i="48"/>
  <c r="M136" i="48"/>
  <c r="N136" i="48"/>
  <c r="O136" i="48"/>
  <c r="P136" i="48"/>
  <c r="Q136" i="48"/>
  <c r="R136" i="48"/>
  <c r="S136" i="48"/>
  <c r="G136" i="48"/>
  <c r="F137" i="48"/>
  <c r="F138" i="48"/>
  <c r="F139" i="48"/>
  <c r="F140" i="48"/>
  <c r="F141" i="48"/>
  <c r="F142" i="48"/>
  <c r="F143" i="48"/>
  <c r="F136" i="48"/>
  <c r="F26" i="49"/>
  <c r="AF19" i="67"/>
  <c r="AE19" i="67"/>
  <c r="AD19" i="67"/>
  <c r="AC19" i="67"/>
  <c r="AB19" i="67"/>
  <c r="AA19" i="67"/>
  <c r="Z19" i="67"/>
  <c r="Y19" i="67"/>
  <c r="X19" i="67"/>
  <c r="W19" i="67"/>
  <c r="V19" i="67"/>
  <c r="U19" i="67"/>
  <c r="T19" i="67"/>
  <c r="S19" i="67"/>
  <c r="R19" i="67"/>
  <c r="S93" i="48"/>
  <c r="R93" i="48"/>
  <c r="Q93" i="48"/>
  <c r="P93" i="48"/>
  <c r="O93" i="48"/>
  <c r="N93" i="48"/>
  <c r="M93" i="48"/>
  <c r="L93" i="48"/>
  <c r="K93" i="48"/>
  <c r="J93" i="48"/>
  <c r="I93" i="48"/>
  <c r="H93" i="48"/>
  <c r="G93" i="48"/>
  <c r="F93" i="48"/>
  <c r="G102" i="48"/>
  <c r="H102" i="48"/>
  <c r="I102" i="48"/>
  <c r="J102" i="48"/>
  <c r="K102" i="48"/>
  <c r="L102" i="48"/>
  <c r="M102" i="48"/>
  <c r="N102" i="48"/>
  <c r="O102" i="48"/>
  <c r="P102" i="48"/>
  <c r="Q102" i="48"/>
  <c r="R102" i="48"/>
  <c r="S102" i="48"/>
  <c r="T102" i="48"/>
  <c r="T94" i="48" s="1"/>
  <c r="U102" i="48"/>
  <c r="V102" i="48"/>
  <c r="W102" i="48"/>
  <c r="X102" i="48"/>
  <c r="Y102" i="48"/>
  <c r="Z102" i="48"/>
  <c r="AA102" i="48"/>
  <c r="AB102" i="48"/>
  <c r="AC102" i="48"/>
  <c r="G103" i="48"/>
  <c r="H103" i="48"/>
  <c r="I103" i="48"/>
  <c r="J103" i="48"/>
  <c r="K103" i="48"/>
  <c r="L103" i="48"/>
  <c r="M103" i="48"/>
  <c r="N103" i="48"/>
  <c r="O103" i="48"/>
  <c r="P103" i="48"/>
  <c r="Q103" i="48"/>
  <c r="R103" i="48"/>
  <c r="S103" i="48"/>
  <c r="T103" i="48"/>
  <c r="T95" i="48" s="1"/>
  <c r="U103" i="48"/>
  <c r="V103" i="48"/>
  <c r="W103" i="48"/>
  <c r="X103" i="48"/>
  <c r="Y103" i="48"/>
  <c r="Z103" i="48"/>
  <c r="AA103" i="48"/>
  <c r="AB103" i="48"/>
  <c r="AC103" i="48"/>
  <c r="G104" i="48"/>
  <c r="H104" i="48"/>
  <c r="I104" i="48"/>
  <c r="J104" i="48"/>
  <c r="K104" i="48"/>
  <c r="L104" i="48"/>
  <c r="M104" i="48"/>
  <c r="N104" i="48"/>
  <c r="O104" i="48"/>
  <c r="P104" i="48"/>
  <c r="Q104" i="48"/>
  <c r="R104" i="48"/>
  <c r="S104" i="48"/>
  <c r="T104" i="48"/>
  <c r="T96" i="48" s="1"/>
  <c r="U104" i="48"/>
  <c r="V104" i="48"/>
  <c r="W104" i="48"/>
  <c r="X104" i="48"/>
  <c r="Y104" i="48"/>
  <c r="Z104" i="48"/>
  <c r="AA104" i="48"/>
  <c r="AB104" i="48"/>
  <c r="AC104" i="48"/>
  <c r="G105" i="48"/>
  <c r="H105" i="48"/>
  <c r="I105" i="48"/>
  <c r="J105" i="48"/>
  <c r="K105" i="48"/>
  <c r="L105" i="48"/>
  <c r="F121" i="48"/>
  <c r="F125" i="48" s="1"/>
  <c r="G121" i="48"/>
  <c r="G125" i="48" s="1"/>
  <c r="H121" i="48"/>
  <c r="I121" i="48"/>
  <c r="J121" i="48"/>
  <c r="J125" i="48" s="1"/>
  <c r="K121" i="48"/>
  <c r="L121" i="48"/>
  <c r="L125" i="48" s="1"/>
  <c r="F122" i="48"/>
  <c r="G122" i="48"/>
  <c r="H122" i="48"/>
  <c r="I122" i="48"/>
  <c r="J122" i="48"/>
  <c r="K122" i="48"/>
  <c r="L122" i="48"/>
  <c r="F123" i="48"/>
  <c r="G123" i="48"/>
  <c r="H123" i="48"/>
  <c r="I123" i="48"/>
  <c r="J123" i="48"/>
  <c r="K123" i="48"/>
  <c r="L123" i="48"/>
  <c r="F124" i="48"/>
  <c r="G124" i="48"/>
  <c r="H124" i="48"/>
  <c r="I124" i="48"/>
  <c r="J124" i="48"/>
  <c r="K124" i="48"/>
  <c r="L124" i="48"/>
  <c r="I125" i="48"/>
  <c r="K125" i="48"/>
  <c r="M105" i="48"/>
  <c r="N105" i="48"/>
  <c r="O105" i="48"/>
  <c r="P105" i="48"/>
  <c r="Q105" i="48"/>
  <c r="R105" i="48"/>
  <c r="S105" i="48"/>
  <c r="T105" i="48"/>
  <c r="T97" i="48" s="1"/>
  <c r="U105" i="48"/>
  <c r="V105" i="48"/>
  <c r="W105" i="48"/>
  <c r="X105" i="48"/>
  <c r="Y105" i="48"/>
  <c r="Z105" i="48"/>
  <c r="AA105" i="48"/>
  <c r="AB105" i="48"/>
  <c r="AC105" i="48"/>
  <c r="T32" i="59"/>
  <c r="U95" i="48" l="1"/>
  <c r="V95" i="48" s="1"/>
  <c r="L120" i="48"/>
  <c r="W95" i="48"/>
  <c r="X95" i="48" s="1"/>
  <c r="Y95" i="48" s="1"/>
  <c r="Z95" i="48" s="1"/>
  <c r="AA95" i="48" s="1"/>
  <c r="AB95" i="48" s="1"/>
  <c r="AC95" i="48" s="1"/>
  <c r="U94" i="48"/>
  <c r="V94" i="48" s="1"/>
  <c r="W94" i="48" s="1"/>
  <c r="X94" i="48" s="1"/>
  <c r="Y94" i="48" s="1"/>
  <c r="Z94" i="48" s="1"/>
  <c r="AA94" i="48" s="1"/>
  <c r="AB94" i="48" s="1"/>
  <c r="AC94" i="48" s="1"/>
  <c r="U96" i="48"/>
  <c r="V96" i="48" s="1"/>
  <c r="W96" i="48" s="1"/>
  <c r="X96" i="48" s="1"/>
  <c r="Y96" i="48" s="1"/>
  <c r="Z96" i="48" s="1"/>
  <c r="AA96" i="48" s="1"/>
  <c r="AB96" i="48" s="1"/>
  <c r="AC96" i="48" s="1"/>
  <c r="G120" i="48"/>
  <c r="U97" i="48"/>
  <c r="V97" i="48" s="1"/>
  <c r="W97" i="48" s="1"/>
  <c r="X97" i="48" s="1"/>
  <c r="Y97" i="48" s="1"/>
  <c r="Z97" i="48" s="1"/>
  <c r="AA97" i="48" s="1"/>
  <c r="AB97" i="48" s="1"/>
  <c r="AC97" i="48" s="1"/>
  <c r="K120" i="48"/>
  <c r="F120" i="48"/>
  <c r="J120" i="48"/>
  <c r="I120" i="48"/>
  <c r="H120" i="48"/>
  <c r="H125" i="48"/>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R49" i="21"/>
  <c r="P49" i="21"/>
  <c r="O49" i="21"/>
  <c r="N49" i="21"/>
  <c r="M49" i="21"/>
  <c r="L49" i="21"/>
  <c r="K49" i="21"/>
  <c r="J49" i="21"/>
  <c r="I49" i="21"/>
  <c r="H49" i="21"/>
  <c r="G49" i="21"/>
  <c r="F49" i="21"/>
  <c r="E49" i="21"/>
  <c r="I19" i="21"/>
  <c r="C13" i="21"/>
  <c r="H12" i="21"/>
  <c r="V11" i="21"/>
  <c r="U11" i="21"/>
  <c r="T11" i="21"/>
  <c r="S11" i="21"/>
  <c r="R11" i="21"/>
  <c r="Q11" i="21"/>
  <c r="P11" i="21"/>
  <c r="O11" i="21"/>
  <c r="N11" i="21"/>
  <c r="M11" i="21"/>
  <c r="E81" i="21" s="1"/>
  <c r="L11" i="21"/>
  <c r="K11" i="21"/>
  <c r="J11" i="21"/>
  <c r="I11" i="21"/>
  <c r="H11" i="21"/>
  <c r="G11" i="21"/>
  <c r="F11" i="21"/>
  <c r="E11" i="21"/>
  <c r="T7" i="21"/>
  <c r="H7" i="21"/>
  <c r="I6" i="21"/>
  <c r="G4" i="21"/>
  <c r="R3" i="21"/>
  <c r="M3" i="21"/>
  <c r="J3" i="21"/>
  <c r="E1" i="21"/>
  <c r="D1" i="21"/>
  <c r="D11" i="21" s="1"/>
  <c r="C19" i="6"/>
  <c r="B19" i="6"/>
  <c r="S17" i="6"/>
  <c r="U16" i="6"/>
  <c r="T16" i="6"/>
  <c r="T17" i="6" s="1"/>
  <c r="S16" i="6"/>
  <c r="V49" i="21" s="1"/>
  <c r="R16" i="6"/>
  <c r="U49" i="21" s="1"/>
  <c r="Q16" i="6"/>
  <c r="T49" i="21" s="1"/>
  <c r="P16" i="6"/>
  <c r="S49" i="21" s="1"/>
  <c r="O16" i="6"/>
  <c r="N16" i="6"/>
  <c r="D9" i="6"/>
  <c r="C9" i="6"/>
  <c r="U6" i="6"/>
  <c r="T6" i="6"/>
  <c r="U3" i="21" s="1"/>
  <c r="S6" i="6"/>
  <c r="T3" i="21" s="1"/>
  <c r="R6" i="6"/>
  <c r="S3" i="21" s="1"/>
  <c r="Q6" i="6"/>
  <c r="P6" i="6"/>
  <c r="O6" i="6"/>
  <c r="P3" i="21" s="1"/>
  <c r="N6" i="6"/>
  <c r="M6" i="6"/>
  <c r="L6" i="6"/>
  <c r="K6" i="6"/>
  <c r="L3" i="21" s="1"/>
  <c r="J6" i="6"/>
  <c r="K3" i="21" s="1"/>
  <c r="I6" i="6"/>
  <c r="H6" i="6"/>
  <c r="G6" i="6"/>
  <c r="H3" i="21" s="1"/>
  <c r="F6" i="6"/>
  <c r="G13" i="21" s="1"/>
  <c r="G14" i="21" s="1"/>
  <c r="G15" i="21" s="1"/>
  <c r="E6" i="6"/>
  <c r="F3" i="21" s="1"/>
  <c r="D6" i="6"/>
  <c r="C6" i="6"/>
  <c r="B6" i="6"/>
  <c r="BJ16" i="5"/>
  <c r="BI16" i="5"/>
  <c r="BH16" i="5"/>
  <c r="BG16" i="5"/>
  <c r="BF16" i="5"/>
  <c r="BE16" i="5"/>
  <c r="BD16" i="5"/>
  <c r="BC16" i="5"/>
  <c r="BB16" i="5"/>
  <c r="AZ16" i="5"/>
  <c r="AY16" i="5"/>
  <c r="AX16" i="5"/>
  <c r="AW16" i="5"/>
  <c r="AV16" i="5"/>
  <c r="AU16" i="5"/>
  <c r="M16" i="5" s="1"/>
  <c r="AT16" i="5"/>
  <c r="AS16" i="5"/>
  <c r="AR16" i="5"/>
  <c r="AQ16" i="5"/>
  <c r="AP16" i="5"/>
  <c r="K16" i="5" s="1"/>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D15" i="5"/>
  <c r="C15" i="5"/>
  <c r="B15" i="5"/>
  <c r="E15" i="5" s="1"/>
  <c r="N14" i="5"/>
  <c r="M14" i="5"/>
  <c r="K14" i="5"/>
  <c r="J14" i="5"/>
  <c r="I14" i="5"/>
  <c r="H14" i="5"/>
  <c r="G14" i="5"/>
  <c r="F14" i="5"/>
  <c r="D14" i="5"/>
  <c r="C14" i="5"/>
  <c r="B14" i="5"/>
  <c r="E14" i="5" s="1"/>
  <c r="N13" i="5"/>
  <c r="M13" i="5"/>
  <c r="K13" i="5"/>
  <c r="J13" i="5"/>
  <c r="I13" i="5"/>
  <c r="H13" i="5"/>
  <c r="G13" i="5"/>
  <c r="F13" i="5"/>
  <c r="D13" i="5"/>
  <c r="C13" i="5"/>
  <c r="B13" i="5"/>
  <c r="E13" i="5" s="1"/>
  <c r="N12" i="5"/>
  <c r="M12" i="5"/>
  <c r="K12" i="5"/>
  <c r="J12" i="5"/>
  <c r="I12" i="5"/>
  <c r="H12" i="5"/>
  <c r="G12" i="5"/>
  <c r="F12" i="5"/>
  <c r="D12" i="5"/>
  <c r="C12" i="5"/>
  <c r="B12" i="5"/>
  <c r="E12" i="5" s="1"/>
  <c r="N11" i="5"/>
  <c r="M11" i="5"/>
  <c r="K11" i="5"/>
  <c r="J11" i="5"/>
  <c r="I11" i="5"/>
  <c r="H11" i="5"/>
  <c r="G11" i="5"/>
  <c r="F11" i="5"/>
  <c r="D11" i="5"/>
  <c r="C11" i="5"/>
  <c r="B11" i="5"/>
  <c r="E11" i="5" s="1"/>
  <c r="N10" i="5"/>
  <c r="M10" i="5"/>
  <c r="V12" i="21" s="1"/>
  <c r="K10" i="5"/>
  <c r="V10" i="21" s="1"/>
  <c r="J10" i="5"/>
  <c r="V9" i="21" s="1"/>
  <c r="I10" i="5"/>
  <c r="H10" i="5"/>
  <c r="V7" i="21" s="1"/>
  <c r="G10" i="5"/>
  <c r="V6" i="21" s="1"/>
  <c r="D10" i="5"/>
  <c r="C10" i="5"/>
  <c r="F10" i="5" s="1"/>
  <c r="V5" i="21" s="1"/>
  <c r="B10" i="5"/>
  <c r="E10" i="5" s="1"/>
  <c r="V4" i="21" s="1"/>
  <c r="N9" i="5"/>
  <c r="M9" i="5"/>
  <c r="K9" i="5"/>
  <c r="J9" i="5"/>
  <c r="I9" i="5"/>
  <c r="H9" i="5"/>
  <c r="G9" i="5"/>
  <c r="F9" i="5"/>
  <c r="D9" i="5"/>
  <c r="C9" i="5"/>
  <c r="B9" i="5"/>
  <c r="E9" i="5" s="1"/>
  <c r="S4" i="21" s="1"/>
  <c r="AC18" i="59" s="1"/>
  <c r="N8" i="5"/>
  <c r="M8" i="5"/>
  <c r="K8" i="5"/>
  <c r="J8" i="5"/>
  <c r="I8" i="5"/>
  <c r="H8" i="5"/>
  <c r="P7" i="21" s="1"/>
  <c r="G8" i="5"/>
  <c r="D8" i="5"/>
  <c r="C8" i="5"/>
  <c r="F8" i="5" s="1"/>
  <c r="B8" i="5"/>
  <c r="N7" i="5"/>
  <c r="O13" i="21" s="1"/>
  <c r="O14" i="21" s="1"/>
  <c r="O15" i="21" s="1"/>
  <c r="M7" i="5"/>
  <c r="L12" i="21" s="1"/>
  <c r="K7" i="5"/>
  <c r="J7" i="5"/>
  <c r="K9" i="21" s="1"/>
  <c r="I7" i="5"/>
  <c r="H7" i="5"/>
  <c r="G7" i="5"/>
  <c r="F7" i="5"/>
  <c r="D7" i="5"/>
  <c r="C7" i="5"/>
  <c r="B7" i="5"/>
  <c r="N6" i="5"/>
  <c r="M6" i="5"/>
  <c r="K6" i="5"/>
  <c r="J6" i="5"/>
  <c r="I6" i="5"/>
  <c r="H6" i="5"/>
  <c r="G6" i="5"/>
  <c r="F6" i="5"/>
  <c r="D6" i="5"/>
  <c r="C6" i="5"/>
  <c r="B6" i="5"/>
  <c r="E6" i="5" s="1"/>
  <c r="H4" i="21" s="1"/>
  <c r="N5" i="5"/>
  <c r="M5" i="5"/>
  <c r="C12" i="21" s="1"/>
  <c r="L5" i="5"/>
  <c r="C11" i="21" s="1"/>
  <c r="K5" i="5"/>
  <c r="C10" i="21" s="1"/>
  <c r="J5" i="5"/>
  <c r="C9" i="21" s="1"/>
  <c r="I5" i="5"/>
  <c r="I16" i="5" s="1"/>
  <c r="H5" i="5"/>
  <c r="G5" i="5"/>
  <c r="E5" i="5"/>
  <c r="E4" i="21" s="1"/>
  <c r="D5" i="5"/>
  <c r="D16" i="5" s="1"/>
  <c r="C5" i="5"/>
  <c r="B5" i="5"/>
  <c r="F17" i="27"/>
  <c r="F16" i="27"/>
  <c r="F15" i="27"/>
  <c r="F14" i="27"/>
  <c r="F13" i="27"/>
  <c r="F12" i="27"/>
  <c r="F11" i="27"/>
  <c r="F9" i="27"/>
  <c r="F8" i="27"/>
  <c r="F7" i="27"/>
  <c r="F6" i="27"/>
  <c r="F5" i="27"/>
  <c r="B3" i="27"/>
  <c r="J194" i="65"/>
  <c r="X19" i="48" s="1"/>
  <c r="N192" i="65"/>
  <c r="O192" i="65" s="1"/>
  <c r="K192" i="65"/>
  <c r="N191" i="65"/>
  <c r="O191" i="65" s="1"/>
  <c r="N190" i="65"/>
  <c r="O190" i="65" s="1"/>
  <c r="N188" i="65"/>
  <c r="O188" i="65" s="1"/>
  <c r="K188" i="65"/>
  <c r="L188" i="65" s="1"/>
  <c r="M188" i="65" s="1"/>
  <c r="J188" i="65"/>
  <c r="F188" i="65"/>
  <c r="G188" i="65" s="1"/>
  <c r="H188" i="65" s="1"/>
  <c r="I188" i="65" s="1"/>
  <c r="D188" i="65"/>
  <c r="E188" i="65" s="1"/>
  <c r="N187" i="65"/>
  <c r="O187" i="65" s="1"/>
  <c r="J187" i="65"/>
  <c r="K187" i="65" s="1"/>
  <c r="L187" i="65" s="1"/>
  <c r="M187" i="65" s="1"/>
  <c r="N185" i="65"/>
  <c r="O185" i="65" s="1"/>
  <c r="N184" i="65"/>
  <c r="O184" i="65" s="1"/>
  <c r="K184" i="65"/>
  <c r="L184" i="65" s="1"/>
  <c r="M184" i="65" s="1"/>
  <c r="J184" i="65"/>
  <c r="F184" i="65"/>
  <c r="G184" i="65" s="1"/>
  <c r="H184" i="65" s="1"/>
  <c r="I184" i="65" s="1"/>
  <c r="O179" i="65"/>
  <c r="F179" i="65"/>
  <c r="K178" i="65"/>
  <c r="J178" i="65"/>
  <c r="F178" i="65"/>
  <c r="J193" i="65" s="1"/>
  <c r="K193" i="65" s="1"/>
  <c r="O177" i="65"/>
  <c r="G177" i="65"/>
  <c r="F177" i="65"/>
  <c r="J192" i="65" s="1"/>
  <c r="K176" i="65"/>
  <c r="J176" i="65"/>
  <c r="O175" i="65"/>
  <c r="J175" i="65"/>
  <c r="G175" i="65"/>
  <c r="N174" i="65"/>
  <c r="K174" i="65"/>
  <c r="O172" i="65"/>
  <c r="N172" i="65"/>
  <c r="G172" i="65"/>
  <c r="F172" i="65"/>
  <c r="N171" i="65"/>
  <c r="K171" i="65"/>
  <c r="O170" i="65"/>
  <c r="G170" i="65"/>
  <c r="F170" i="65"/>
  <c r="J185" i="65" s="1"/>
  <c r="K185" i="65" s="1"/>
  <c r="L185" i="65" s="1"/>
  <c r="M185" i="65" s="1"/>
  <c r="O169" i="65"/>
  <c r="N169" i="65"/>
  <c r="M169" i="65"/>
  <c r="L169" i="65"/>
  <c r="K169" i="65"/>
  <c r="J169" i="65"/>
  <c r="I169" i="65"/>
  <c r="H169" i="65"/>
  <c r="G169" i="65"/>
  <c r="F169" i="65"/>
  <c r="E169" i="65"/>
  <c r="D169" i="65"/>
  <c r="D184" i="65" s="1"/>
  <c r="E184" i="65" s="1"/>
  <c r="O85" i="65"/>
  <c r="O178" i="65" s="1"/>
  <c r="N85" i="65"/>
  <c r="N178" i="65" s="1"/>
  <c r="M85" i="65"/>
  <c r="M178" i="65" s="1"/>
  <c r="L85" i="65"/>
  <c r="L178" i="65" s="1"/>
  <c r="K85" i="65"/>
  <c r="J85" i="65"/>
  <c r="I85" i="65"/>
  <c r="I178" i="65" s="1"/>
  <c r="H85" i="65"/>
  <c r="H178" i="65" s="1"/>
  <c r="G85" i="65"/>
  <c r="G178" i="65" s="1"/>
  <c r="N193" i="65" s="1"/>
  <c r="F85" i="65"/>
  <c r="E85" i="65"/>
  <c r="E178" i="65" s="1"/>
  <c r="F193" i="65" s="1"/>
  <c r="D85" i="65"/>
  <c r="D178" i="65" s="1"/>
  <c r="D193" i="65" s="1"/>
  <c r="E193" i="65" s="1"/>
  <c r="O84" i="65"/>
  <c r="N84" i="65"/>
  <c r="N177" i="65" s="1"/>
  <c r="M84" i="65"/>
  <c r="M177" i="65" s="1"/>
  <c r="L84" i="65"/>
  <c r="L177" i="65" s="1"/>
  <c r="K84" i="65"/>
  <c r="K177" i="65" s="1"/>
  <c r="J84" i="65"/>
  <c r="J177" i="65" s="1"/>
  <c r="I84" i="65"/>
  <c r="I177" i="65" s="1"/>
  <c r="H84" i="65"/>
  <c r="H177" i="65" s="1"/>
  <c r="G84" i="65"/>
  <c r="F84" i="65"/>
  <c r="E84" i="65"/>
  <c r="E177" i="65" s="1"/>
  <c r="F192" i="65" s="1"/>
  <c r="G192" i="65" s="1"/>
  <c r="H192" i="65" s="1"/>
  <c r="D84" i="65"/>
  <c r="D177" i="65" s="1"/>
  <c r="D192" i="65" s="1"/>
  <c r="E192" i="65" s="1"/>
  <c r="S12" i="48" s="1"/>
  <c r="O83" i="65"/>
  <c r="N83" i="65"/>
  <c r="N179" i="65" s="1"/>
  <c r="M83" i="65"/>
  <c r="M179" i="65" s="1"/>
  <c r="L83" i="65"/>
  <c r="L179" i="65" s="1"/>
  <c r="K83" i="65"/>
  <c r="K179" i="65" s="1"/>
  <c r="J83" i="65"/>
  <c r="J179" i="65" s="1"/>
  <c r="I83" i="65"/>
  <c r="I179" i="65" s="1"/>
  <c r="H83" i="65"/>
  <c r="H179" i="65" s="1"/>
  <c r="G83" i="65"/>
  <c r="G179" i="65" s="1"/>
  <c r="N194" i="65" s="1"/>
  <c r="F83" i="65"/>
  <c r="E83" i="65"/>
  <c r="E179" i="65" s="1"/>
  <c r="F194" i="65" s="1"/>
  <c r="D83" i="65"/>
  <c r="D179" i="65" s="1"/>
  <c r="D194" i="65" s="1"/>
  <c r="E194" i="65" s="1"/>
  <c r="O74" i="65"/>
  <c r="N74" i="65"/>
  <c r="M74" i="65"/>
  <c r="M172" i="65" s="1"/>
  <c r="L74" i="65"/>
  <c r="L172" i="65" s="1"/>
  <c r="K74" i="65"/>
  <c r="K172" i="65" s="1"/>
  <c r="J74" i="65"/>
  <c r="J172" i="65" s="1"/>
  <c r="I74" i="65"/>
  <c r="I172" i="65" s="1"/>
  <c r="H74" i="65"/>
  <c r="H172" i="65" s="1"/>
  <c r="G74" i="65"/>
  <c r="F74" i="65"/>
  <c r="E74" i="65"/>
  <c r="E172" i="65" s="1"/>
  <c r="F187" i="65" s="1"/>
  <c r="G187" i="65" s="1"/>
  <c r="H187" i="65" s="1"/>
  <c r="I187" i="65" s="1"/>
  <c r="D74" i="65"/>
  <c r="D172" i="65" s="1"/>
  <c r="D187" i="65" s="1"/>
  <c r="E187" i="65" s="1"/>
  <c r="O73" i="65"/>
  <c r="O176" i="65" s="1"/>
  <c r="N73" i="65"/>
  <c r="N176" i="65" s="1"/>
  <c r="M73" i="65"/>
  <c r="M176" i="65" s="1"/>
  <c r="L73" i="65"/>
  <c r="L176" i="65" s="1"/>
  <c r="K73" i="65"/>
  <c r="J73" i="65"/>
  <c r="I73" i="65"/>
  <c r="I176" i="65" s="1"/>
  <c r="H73" i="65"/>
  <c r="H176" i="65" s="1"/>
  <c r="G73" i="65"/>
  <c r="G176" i="65" s="1"/>
  <c r="F73" i="65"/>
  <c r="F176" i="65" s="1"/>
  <c r="J191" i="65" s="1"/>
  <c r="K191" i="65" s="1"/>
  <c r="L191" i="65" s="1"/>
  <c r="M191" i="65" s="1"/>
  <c r="E73" i="65"/>
  <c r="E176" i="65" s="1"/>
  <c r="F191" i="65" s="1"/>
  <c r="D73" i="65"/>
  <c r="D176" i="65" s="1"/>
  <c r="D191" i="65" s="1"/>
  <c r="E191" i="65" s="1"/>
  <c r="O72" i="65"/>
  <c r="N72" i="65"/>
  <c r="N175" i="65" s="1"/>
  <c r="M72" i="65"/>
  <c r="M175" i="65" s="1"/>
  <c r="L72" i="65"/>
  <c r="L175" i="65" s="1"/>
  <c r="K72" i="65"/>
  <c r="K175" i="65" s="1"/>
  <c r="J72" i="65"/>
  <c r="I72" i="65"/>
  <c r="I175" i="65" s="1"/>
  <c r="H72" i="65"/>
  <c r="H175" i="65" s="1"/>
  <c r="G72" i="65"/>
  <c r="F72" i="65"/>
  <c r="F175" i="65" s="1"/>
  <c r="E72" i="65"/>
  <c r="E175" i="65" s="1"/>
  <c r="F190" i="65" s="1"/>
  <c r="G190" i="65" s="1"/>
  <c r="H190" i="65" s="1"/>
  <c r="I190" i="65" s="1"/>
  <c r="D72" i="65"/>
  <c r="D175" i="65" s="1"/>
  <c r="D190" i="65" s="1"/>
  <c r="E190" i="65" s="1"/>
  <c r="O71" i="65"/>
  <c r="O174" i="65" s="1"/>
  <c r="N71" i="65"/>
  <c r="M71" i="65"/>
  <c r="M174" i="65" s="1"/>
  <c r="L71" i="65"/>
  <c r="L174" i="65" s="1"/>
  <c r="K71" i="65"/>
  <c r="J71" i="65"/>
  <c r="J174" i="65" s="1"/>
  <c r="I71" i="65"/>
  <c r="I174" i="65" s="1"/>
  <c r="H71" i="65"/>
  <c r="H174" i="65" s="1"/>
  <c r="G71" i="65"/>
  <c r="G174" i="65" s="1"/>
  <c r="N189" i="65" s="1"/>
  <c r="O189" i="65" s="1"/>
  <c r="F71" i="65"/>
  <c r="F174" i="65" s="1"/>
  <c r="J189" i="65" s="1"/>
  <c r="K189" i="65" s="1"/>
  <c r="L189" i="65" s="1"/>
  <c r="M189" i="65" s="1"/>
  <c r="E71" i="65"/>
  <c r="E174" i="65" s="1"/>
  <c r="F189" i="65" s="1"/>
  <c r="G189" i="65" s="1"/>
  <c r="H189" i="65" s="1"/>
  <c r="I189" i="65" s="1"/>
  <c r="D71" i="65"/>
  <c r="D174" i="65" s="1"/>
  <c r="D189" i="65" s="1"/>
  <c r="E189" i="65" s="1"/>
  <c r="O70" i="65"/>
  <c r="N70" i="65"/>
  <c r="N170" i="65" s="1"/>
  <c r="M70" i="65"/>
  <c r="M170" i="65" s="1"/>
  <c r="L70" i="65"/>
  <c r="L170" i="65" s="1"/>
  <c r="K70" i="65"/>
  <c r="K170" i="65" s="1"/>
  <c r="J70" i="65"/>
  <c r="J170" i="65" s="1"/>
  <c r="I70" i="65"/>
  <c r="I170" i="65" s="1"/>
  <c r="H70" i="65"/>
  <c r="H170" i="65" s="1"/>
  <c r="G70" i="65"/>
  <c r="F70" i="65"/>
  <c r="E70" i="65"/>
  <c r="E170" i="65" s="1"/>
  <c r="F185" i="65" s="1"/>
  <c r="G185" i="65" s="1"/>
  <c r="H185" i="65" s="1"/>
  <c r="I185" i="65" s="1"/>
  <c r="D70" i="65"/>
  <c r="D170" i="65" s="1"/>
  <c r="D185" i="65" s="1"/>
  <c r="E185" i="65" s="1"/>
  <c r="O69" i="65"/>
  <c r="O171" i="65" s="1"/>
  <c r="N69" i="65"/>
  <c r="M69" i="65"/>
  <c r="M171" i="65" s="1"/>
  <c r="L69" i="65"/>
  <c r="L171" i="65" s="1"/>
  <c r="K69" i="65"/>
  <c r="J69" i="65"/>
  <c r="J171" i="65" s="1"/>
  <c r="I69" i="65"/>
  <c r="I171" i="65" s="1"/>
  <c r="H69" i="65"/>
  <c r="H171" i="65" s="1"/>
  <c r="G69" i="65"/>
  <c r="G171" i="65" s="1"/>
  <c r="N186" i="65" s="1"/>
  <c r="O186" i="65" s="1"/>
  <c r="F69" i="65"/>
  <c r="F171" i="65" s="1"/>
  <c r="J186" i="65" s="1"/>
  <c r="K186" i="65" s="1"/>
  <c r="L186" i="65" s="1"/>
  <c r="M186" i="65" s="1"/>
  <c r="E69" i="65"/>
  <c r="E171" i="65" s="1"/>
  <c r="F186" i="65" s="1"/>
  <c r="G186" i="65" s="1"/>
  <c r="H186" i="65" s="1"/>
  <c r="I186" i="65" s="1"/>
  <c r="D69" i="65"/>
  <c r="D171" i="65" s="1"/>
  <c r="D186" i="65" s="1"/>
  <c r="E186" i="65" s="1"/>
  <c r="S127" i="48"/>
  <c r="R127" i="48"/>
  <c r="Q127" i="48"/>
  <c r="P127" i="48"/>
  <c r="O127" i="48"/>
  <c r="N127" i="48"/>
  <c r="M127" i="48"/>
  <c r="L127" i="48"/>
  <c r="K127" i="48"/>
  <c r="J127" i="48"/>
  <c r="I127" i="48"/>
  <c r="H127" i="48"/>
  <c r="G127" i="48"/>
  <c r="F127" i="48"/>
  <c r="S126" i="48"/>
  <c r="R126" i="48"/>
  <c r="Q126" i="48"/>
  <c r="P126" i="48"/>
  <c r="O126" i="48"/>
  <c r="N126" i="48"/>
  <c r="M126" i="48"/>
  <c r="L126" i="48"/>
  <c r="K126" i="48"/>
  <c r="J126" i="48"/>
  <c r="I126" i="48"/>
  <c r="H126" i="48"/>
  <c r="G126" i="48"/>
  <c r="F126" i="48"/>
  <c r="S124" i="48"/>
  <c r="R124" i="48"/>
  <c r="Q124" i="48"/>
  <c r="P124" i="48"/>
  <c r="O124" i="48"/>
  <c r="N124" i="48"/>
  <c r="M124" i="48"/>
  <c r="S123" i="48"/>
  <c r="R123" i="48"/>
  <c r="Q123" i="48"/>
  <c r="P123" i="48"/>
  <c r="O123" i="48"/>
  <c r="N123" i="48"/>
  <c r="M123" i="48"/>
  <c r="S122" i="48"/>
  <c r="R122" i="48"/>
  <c r="Q122" i="48"/>
  <c r="P122" i="48"/>
  <c r="O122" i="48"/>
  <c r="N122" i="48"/>
  <c r="M122" i="48"/>
  <c r="S121" i="48"/>
  <c r="R121" i="48"/>
  <c r="Q121" i="48"/>
  <c r="Q125" i="48" s="1"/>
  <c r="P121" i="48"/>
  <c r="P125" i="48" s="1"/>
  <c r="O121" i="48"/>
  <c r="O125" i="48" s="1"/>
  <c r="N121" i="48"/>
  <c r="M121" i="48"/>
  <c r="M125" i="48" s="1"/>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J79" i="48"/>
  <c r="I79" i="48"/>
  <c r="H79" i="48"/>
  <c r="G79" i="48"/>
  <c r="F79" i="48"/>
  <c r="E79" i="48"/>
  <c r="L77" i="48"/>
  <c r="K77" i="48"/>
  <c r="J77" i="48"/>
  <c r="I77" i="48"/>
  <c r="H77" i="48"/>
  <c r="G77" i="48"/>
  <c r="F77" i="48"/>
  <c r="E77" i="48"/>
  <c r="L76" i="48"/>
  <c r="K76" i="48"/>
  <c r="J76" i="48"/>
  <c r="I76" i="48"/>
  <c r="H76" i="48"/>
  <c r="G76" i="48"/>
  <c r="F76" i="48"/>
  <c r="E76" i="48"/>
  <c r="F64" i="48"/>
  <c r="E64" i="48"/>
  <c r="F62" i="48"/>
  <c r="E62" i="48"/>
  <c r="F61" i="48"/>
  <c r="E61" i="48"/>
  <c r="H57" i="48"/>
  <c r="H64" i="48" s="1"/>
  <c r="H56" i="48"/>
  <c r="H55" i="48"/>
  <c r="H62" i="48" s="1"/>
  <c r="H54" i="48"/>
  <c r="H61" i="48" s="1"/>
  <c r="L51" i="48"/>
  <c r="L79" i="48" s="1"/>
  <c r="K51" i="48"/>
  <c r="K79" i="48" s="1"/>
  <c r="L49" i="48"/>
  <c r="L48" i="48" s="1"/>
  <c r="L78" i="48" s="1"/>
  <c r="K49" i="48"/>
  <c r="K48" i="48" s="1"/>
  <c r="K78" i="48" s="1"/>
  <c r="J48" i="48"/>
  <c r="J78" i="48" s="1"/>
  <c r="I48" i="48"/>
  <c r="H48" i="48"/>
  <c r="H78" i="48" s="1"/>
  <c r="G48" i="48"/>
  <c r="G78" i="48" s="1"/>
  <c r="F48" i="48"/>
  <c r="F78" i="48" s="1"/>
  <c r="E48" i="48"/>
  <c r="E63" i="48" s="1"/>
  <c r="I36" i="48"/>
  <c r="J36" i="48" s="1"/>
  <c r="J40" i="48" s="1"/>
  <c r="I34" i="48"/>
  <c r="I38" i="48" s="1"/>
  <c r="I33" i="48"/>
  <c r="J33" i="48" s="1"/>
  <c r="S26" i="48"/>
  <c r="C22" i="35" s="1"/>
  <c r="R26" i="48"/>
  <c r="Q26" i="48"/>
  <c r="P26" i="48"/>
  <c r="O26" i="48"/>
  <c r="N26" i="48"/>
  <c r="M26" i="48"/>
  <c r="L26" i="48"/>
  <c r="K26" i="48"/>
  <c r="J26" i="48"/>
  <c r="I26" i="48"/>
  <c r="H26" i="48"/>
  <c r="G26" i="48"/>
  <c r="F26" i="48"/>
  <c r="S25" i="48"/>
  <c r="R25" i="48"/>
  <c r="Q25" i="48"/>
  <c r="P25" i="48"/>
  <c r="O25" i="48"/>
  <c r="N25" i="48"/>
  <c r="M25" i="48"/>
  <c r="L25" i="48"/>
  <c r="K25" i="48"/>
  <c r="J25" i="48"/>
  <c r="I25" i="48"/>
  <c r="H25" i="48"/>
  <c r="G25" i="48"/>
  <c r="F25" i="48"/>
  <c r="S24" i="48"/>
  <c r="R24" i="48"/>
  <c r="Q24" i="48"/>
  <c r="P24" i="48"/>
  <c r="O24" i="48"/>
  <c r="O130" i="48" s="1"/>
  <c r="N24" i="48"/>
  <c r="M24" i="48"/>
  <c r="L24" i="48"/>
  <c r="K24" i="48"/>
  <c r="J24" i="48"/>
  <c r="I24" i="48"/>
  <c r="H24" i="48"/>
  <c r="G24" i="48"/>
  <c r="G130" i="48" s="1"/>
  <c r="F24" i="48"/>
  <c r="S23" i="48"/>
  <c r="R23" i="48"/>
  <c r="Q23" i="48"/>
  <c r="P23" i="48"/>
  <c r="O23" i="48"/>
  <c r="N23" i="48"/>
  <c r="M23" i="48"/>
  <c r="L23" i="48"/>
  <c r="K23" i="48"/>
  <c r="J23" i="48"/>
  <c r="I23" i="48"/>
  <c r="H23" i="48"/>
  <c r="G23" i="48"/>
  <c r="F23" i="48"/>
  <c r="S19" i="48"/>
  <c r="S17" i="48"/>
  <c r="R17" i="48"/>
  <c r="Q17" i="48"/>
  <c r="P17" i="48"/>
  <c r="O17" i="48"/>
  <c r="N17" i="48"/>
  <c r="M17" i="48"/>
  <c r="L17" i="48"/>
  <c r="K17" i="48"/>
  <c r="J17" i="48"/>
  <c r="J117" i="48" s="1"/>
  <c r="I17" i="48"/>
  <c r="H17" i="48"/>
  <c r="G17" i="48"/>
  <c r="F17" i="48"/>
  <c r="X16" i="48"/>
  <c r="S16" i="48"/>
  <c r="S14" i="48"/>
  <c r="R14" i="48"/>
  <c r="R116" i="48" s="1"/>
  <c r="Q14" i="48"/>
  <c r="P14" i="48"/>
  <c r="O14" i="48"/>
  <c r="O116" i="48" s="1"/>
  <c r="N14" i="48"/>
  <c r="M14" i="48"/>
  <c r="M116" i="48" s="1"/>
  <c r="L14" i="48"/>
  <c r="L116" i="48" s="1"/>
  <c r="K14" i="48"/>
  <c r="K116" i="48" s="1"/>
  <c r="J14" i="48"/>
  <c r="J116" i="48" s="1"/>
  <c r="I14" i="48"/>
  <c r="H14" i="48"/>
  <c r="H116" i="48" s="1"/>
  <c r="G14" i="48"/>
  <c r="F14" i="48"/>
  <c r="S13" i="48"/>
  <c r="R13" i="48"/>
  <c r="Q13" i="48"/>
  <c r="P13" i="48"/>
  <c r="O13" i="48"/>
  <c r="N13" i="48"/>
  <c r="M13" i="48"/>
  <c r="L13" i="48"/>
  <c r="L115" i="48" s="1"/>
  <c r="K13" i="48"/>
  <c r="K115" i="48" s="1"/>
  <c r="J13" i="48"/>
  <c r="J115" i="48" s="1"/>
  <c r="I13" i="48"/>
  <c r="I115" i="48" s="1"/>
  <c r="H13" i="48"/>
  <c r="G13" i="48"/>
  <c r="F13" i="48"/>
  <c r="AC12" i="48"/>
  <c r="AB12" i="48"/>
  <c r="X12" i="48"/>
  <c r="U12" i="48"/>
  <c r="S10" i="48"/>
  <c r="R10" i="48"/>
  <c r="Q10" i="48"/>
  <c r="P10" i="48"/>
  <c r="O10" i="48"/>
  <c r="N10" i="48"/>
  <c r="M10" i="48"/>
  <c r="L10" i="48"/>
  <c r="L113" i="48" s="1"/>
  <c r="K10" i="48"/>
  <c r="J10" i="48"/>
  <c r="I10" i="48"/>
  <c r="H10" i="48"/>
  <c r="G10" i="48"/>
  <c r="F10" i="48"/>
  <c r="F82" i="59"/>
  <c r="G82" i="59" s="1"/>
  <c r="S78" i="59"/>
  <c r="T78" i="59" s="1"/>
  <c r="U78" i="59" s="1"/>
  <c r="V78" i="59" s="1"/>
  <c r="W78" i="59" s="1"/>
  <c r="X78" i="59" s="1"/>
  <c r="Y78" i="59" s="1"/>
  <c r="Z78" i="59" s="1"/>
  <c r="AA78" i="59" s="1"/>
  <c r="AB78" i="59" s="1"/>
  <c r="AC78" i="59" s="1"/>
  <c r="R78" i="59"/>
  <c r="Q78" i="59"/>
  <c r="P78" i="59"/>
  <c r="O78" i="59"/>
  <c r="N78" i="59"/>
  <c r="M78" i="59"/>
  <c r="L78" i="59"/>
  <c r="K78" i="59"/>
  <c r="J78" i="59"/>
  <c r="I78" i="59"/>
  <c r="H78" i="59"/>
  <c r="G78" i="59"/>
  <c r="F78" i="59"/>
  <c r="E78" i="59"/>
  <c r="D78" i="59"/>
  <c r="S74" i="59"/>
  <c r="R74" i="59"/>
  <c r="Q74" i="59"/>
  <c r="P74" i="59"/>
  <c r="O74" i="59"/>
  <c r="N74" i="59"/>
  <c r="M74" i="59"/>
  <c r="L74" i="59"/>
  <c r="K74" i="59"/>
  <c r="J74" i="59"/>
  <c r="I74" i="59"/>
  <c r="H74" i="59"/>
  <c r="G74" i="59"/>
  <c r="F74" i="59"/>
  <c r="E74" i="59"/>
  <c r="D74" i="59"/>
  <c r="S64" i="59"/>
  <c r="R64" i="59"/>
  <c r="Q64" i="59"/>
  <c r="P64" i="59"/>
  <c r="P65" i="59" s="1"/>
  <c r="O64" i="59"/>
  <c r="O65" i="59" s="1"/>
  <c r="N64" i="59"/>
  <c r="M64" i="59"/>
  <c r="L64" i="59"/>
  <c r="K64" i="59"/>
  <c r="K65" i="59" s="1"/>
  <c r="J64" i="59"/>
  <c r="J65" i="59" s="1"/>
  <c r="I64" i="59"/>
  <c r="H64" i="59"/>
  <c r="N65" i="59" s="1"/>
  <c r="G64" i="59"/>
  <c r="F64" i="59"/>
  <c r="E64" i="59"/>
  <c r="D64" i="59"/>
  <c r="S30" i="59"/>
  <c r="R30" i="59"/>
  <c r="Q30" i="59"/>
  <c r="P30" i="59"/>
  <c r="O30" i="59"/>
  <c r="N30" i="59"/>
  <c r="M30" i="59"/>
  <c r="L30" i="59"/>
  <c r="K30" i="59"/>
  <c r="J30" i="59"/>
  <c r="I30" i="59"/>
  <c r="H30" i="59"/>
  <c r="G30" i="59"/>
  <c r="F30" i="59"/>
  <c r="E30" i="59"/>
  <c r="D30" i="59"/>
  <c r="AC27" i="59"/>
  <c r="AB27" i="59"/>
  <c r="AA27" i="59"/>
  <c r="Z27" i="59"/>
  <c r="Y27" i="59"/>
  <c r="X27" i="59"/>
  <c r="S27" i="59"/>
  <c r="E24" i="59"/>
  <c r="AC22" i="59"/>
  <c r="AB22" i="59"/>
  <c r="AA22" i="59"/>
  <c r="Z22" i="59"/>
  <c r="Y22" i="59"/>
  <c r="X22" i="59"/>
  <c r="W22" i="59"/>
  <c r="V22" i="59"/>
  <c r="U22" i="59"/>
  <c r="T22" i="59"/>
  <c r="S22" i="59"/>
  <c r="R22" i="59"/>
  <c r="Q22" i="59"/>
  <c r="S21" i="59"/>
  <c r="T21" i="59" s="1"/>
  <c r="M42" i="62" s="1"/>
  <c r="R21" i="59"/>
  <c r="Q21" i="59"/>
  <c r="P21" i="59"/>
  <c r="O21" i="59"/>
  <c r="N21" i="59"/>
  <c r="M21" i="59"/>
  <c r="H20" i="59"/>
  <c r="G20" i="59"/>
  <c r="F20" i="59"/>
  <c r="E20" i="59"/>
  <c r="D20" i="59"/>
  <c r="AC19" i="59"/>
  <c r="AC24" i="59" s="1"/>
  <c r="M16" i="35" s="1"/>
  <c r="N18" i="55" s="1"/>
  <c r="AB19" i="59"/>
  <c r="AA19" i="59"/>
  <c r="Z19" i="59"/>
  <c r="Y19" i="59"/>
  <c r="X19" i="59"/>
  <c r="W19" i="59"/>
  <c r="V19" i="59"/>
  <c r="U19" i="59"/>
  <c r="P19" i="59"/>
  <c r="I19" i="59"/>
  <c r="I24" i="59" s="1"/>
  <c r="H19" i="59"/>
  <c r="H24" i="59" s="1"/>
  <c r="G19" i="59"/>
  <c r="G24" i="59" s="1"/>
  <c r="F19" i="59"/>
  <c r="F24" i="59" s="1"/>
  <c r="E19" i="59"/>
  <c r="D19" i="59"/>
  <c r="D24" i="59" s="1"/>
  <c r="R18" i="59"/>
  <c r="Q18" i="59"/>
  <c r="O18" i="59"/>
  <c r="AC16" i="59"/>
  <c r="AB16" i="59"/>
  <c r="AA16" i="59"/>
  <c r="Z16" i="59"/>
  <c r="Y16" i="59"/>
  <c r="X16" i="59"/>
  <c r="W16" i="59"/>
  <c r="V16" i="59"/>
  <c r="U16" i="59"/>
  <c r="T16" i="59"/>
  <c r="S16" i="59"/>
  <c r="L16" i="59"/>
  <c r="K16" i="59"/>
  <c r="I16" i="59"/>
  <c r="H16" i="59"/>
  <c r="Q15" i="59"/>
  <c r="I15" i="59"/>
  <c r="S12" i="59"/>
  <c r="R12" i="59"/>
  <c r="Q12" i="59"/>
  <c r="P12" i="59"/>
  <c r="O12" i="59"/>
  <c r="N12" i="59"/>
  <c r="M12" i="59"/>
  <c r="L12" i="59"/>
  <c r="K12" i="59"/>
  <c r="J12" i="59"/>
  <c r="I12" i="59"/>
  <c r="H12" i="59"/>
  <c r="G12" i="59"/>
  <c r="F12" i="59"/>
  <c r="E12" i="59"/>
  <c r="D12" i="59"/>
  <c r="AF11" i="67"/>
  <c r="AE11" i="67"/>
  <c r="AD11" i="67"/>
  <c r="AC11" i="67"/>
  <c r="AB11" i="67"/>
  <c r="AA11" i="67"/>
  <c r="Z11" i="67"/>
  <c r="Y11" i="67"/>
  <c r="X11" i="67"/>
  <c r="W11" i="67"/>
  <c r="V11" i="67"/>
  <c r="F23" i="35" s="1"/>
  <c r="G25" i="55" s="1"/>
  <c r="U11" i="67"/>
  <c r="T11" i="67"/>
  <c r="S11" i="67"/>
  <c r="R11" i="67"/>
  <c r="M11" i="29"/>
  <c r="L11" i="29"/>
  <c r="K11" i="29"/>
  <c r="Q10" i="29"/>
  <c r="N10" i="29"/>
  <c r="N16" i="59" s="1"/>
  <c r="S9" i="29"/>
  <c r="S10" i="29" s="1"/>
  <c r="R9" i="29"/>
  <c r="R10" i="29" s="1"/>
  <c r="Q9" i="29"/>
  <c r="P9" i="29"/>
  <c r="P10" i="29" s="1"/>
  <c r="P16" i="59" s="1"/>
  <c r="O9" i="29"/>
  <c r="O10" i="29" s="1"/>
  <c r="O16" i="59" s="1"/>
  <c r="N9" i="29"/>
  <c r="M9" i="29"/>
  <c r="M10" i="29" s="1"/>
  <c r="M16" i="59" s="1"/>
  <c r="L9" i="29"/>
  <c r="K9" i="29"/>
  <c r="J9" i="29"/>
  <c r="J11" i="29" s="1"/>
  <c r="J16" i="59" s="1"/>
  <c r="G24" i="33"/>
  <c r="G22" i="33"/>
  <c r="F22" i="33"/>
  <c r="F24" i="33" s="1"/>
  <c r="E22" i="33"/>
  <c r="J21" i="33"/>
  <c r="I21" i="33"/>
  <c r="I22" i="33" s="1"/>
  <c r="J24" i="33" s="1"/>
  <c r="G21" i="33"/>
  <c r="J20" i="33"/>
  <c r="AC12" i="33"/>
  <c r="AB12" i="33"/>
  <c r="AA12" i="33"/>
  <c r="Z12" i="33"/>
  <c r="Y12" i="33"/>
  <c r="X12" i="33"/>
  <c r="R12" i="33"/>
  <c r="Q12" i="33"/>
  <c r="O12" i="33"/>
  <c r="N12" i="33"/>
  <c r="T11" i="33"/>
  <c r="U11" i="33" s="1"/>
  <c r="V11" i="33" s="1"/>
  <c r="W11" i="33" s="1"/>
  <c r="X11" i="33" s="1"/>
  <c r="Y11" i="33" s="1"/>
  <c r="Z11" i="33" s="1"/>
  <c r="S11" i="33"/>
  <c r="R11" i="33"/>
  <c r="Q11" i="33"/>
  <c r="P11" i="33"/>
  <c r="O11" i="33"/>
  <c r="N11" i="33"/>
  <c r="M11" i="33"/>
  <c r="L11" i="33"/>
  <c r="K11" i="33"/>
  <c r="J11" i="33"/>
  <c r="S10" i="33"/>
  <c r="R10" i="33"/>
  <c r="R15" i="59" s="1"/>
  <c r="Q10" i="33"/>
  <c r="P10" i="33"/>
  <c r="O10" i="33"/>
  <c r="O15" i="59" s="1"/>
  <c r="N10" i="33"/>
  <c r="N15" i="59" s="1"/>
  <c r="M10" i="33"/>
  <c r="M15" i="59" s="1"/>
  <c r="L10" i="33"/>
  <c r="D83" i="59" s="1"/>
  <c r="D84" i="59" s="1"/>
  <c r="K10" i="33"/>
  <c r="K15" i="59" s="1"/>
  <c r="J10" i="33"/>
  <c r="J15" i="59" s="1"/>
  <c r="I10" i="33"/>
  <c r="H10" i="33"/>
  <c r="H15" i="59" s="1"/>
  <c r="G10" i="33"/>
  <c r="G15" i="59" s="1"/>
  <c r="F10" i="33"/>
  <c r="F15" i="59" s="1"/>
  <c r="E10" i="33"/>
  <c r="E15" i="59" s="1"/>
  <c r="D10" i="33"/>
  <c r="C23" i="33" s="1"/>
  <c r="L52" i="49"/>
  <c r="K52" i="49"/>
  <c r="J52" i="49"/>
  <c r="P51" i="49"/>
  <c r="O51" i="49"/>
  <c r="N51" i="49"/>
  <c r="M51" i="49"/>
  <c r="L51" i="49"/>
  <c r="K51" i="49"/>
  <c r="J51" i="49"/>
  <c r="I51" i="49"/>
  <c r="H51" i="49"/>
  <c r="G51" i="49"/>
  <c r="F51" i="49"/>
  <c r="P50" i="49"/>
  <c r="O50" i="49"/>
  <c r="N50" i="49"/>
  <c r="M50" i="49"/>
  <c r="L50" i="49"/>
  <c r="K50" i="49"/>
  <c r="J50" i="49"/>
  <c r="I50" i="49"/>
  <c r="H50" i="49"/>
  <c r="G50" i="49"/>
  <c r="F50" i="49"/>
  <c r="Q34" i="49"/>
  <c r="J34" i="49"/>
  <c r="O33" i="49"/>
  <c r="F33" i="49"/>
  <c r="S32" i="49"/>
  <c r="R32" i="49"/>
  <c r="R31" i="59" s="1"/>
  <c r="R32" i="59" s="1"/>
  <c r="Q32" i="49"/>
  <c r="Q31" i="59" s="1"/>
  <c r="P32" i="49"/>
  <c r="K32" i="49"/>
  <c r="J32" i="49"/>
  <c r="J31" i="59" s="1"/>
  <c r="J32" i="59" s="1"/>
  <c r="I32" i="49"/>
  <c r="H32" i="49"/>
  <c r="G23" i="49"/>
  <c r="G22" i="49" s="1"/>
  <c r="F23" i="49"/>
  <c r="F22" i="49"/>
  <c r="S11" i="49"/>
  <c r="S12" i="49" s="1"/>
  <c r="S33" i="49" s="1"/>
  <c r="R11" i="49"/>
  <c r="R12" i="49" s="1"/>
  <c r="Q11" i="49"/>
  <c r="Q12" i="49" s="1"/>
  <c r="P11" i="49"/>
  <c r="P12" i="49" s="1"/>
  <c r="E24" i="49" s="1"/>
  <c r="E25" i="49" s="1"/>
  <c r="O11" i="49"/>
  <c r="O12" i="49" s="1"/>
  <c r="N11" i="49"/>
  <c r="N12" i="49" s="1"/>
  <c r="N33" i="49" s="1"/>
  <c r="M11" i="49"/>
  <c r="L11" i="49"/>
  <c r="K11" i="49"/>
  <c r="K12" i="49" s="1"/>
  <c r="K33" i="49" s="1"/>
  <c r="J11" i="49"/>
  <c r="J12" i="49" s="1"/>
  <c r="J33" i="49" s="1"/>
  <c r="I11" i="49"/>
  <c r="I12" i="49" s="1"/>
  <c r="H11" i="49"/>
  <c r="H12" i="49" s="1"/>
  <c r="C24" i="49" s="1"/>
  <c r="C25" i="49" s="1"/>
  <c r="G11" i="49"/>
  <c r="G12" i="49" s="1"/>
  <c r="G33" i="49" s="1"/>
  <c r="F11" i="49"/>
  <c r="F12" i="49" s="1"/>
  <c r="E11" i="49"/>
  <c r="E12" i="49" s="1"/>
  <c r="D11" i="49"/>
  <c r="D12" i="49" s="1"/>
  <c r="S10" i="49"/>
  <c r="R10" i="49"/>
  <c r="Q10" i="49"/>
  <c r="Q33" i="49" s="1"/>
  <c r="P10" i="49"/>
  <c r="P33" i="49" s="1"/>
  <c r="O10" i="49"/>
  <c r="O32" i="49" s="1"/>
  <c r="N10" i="49"/>
  <c r="N32" i="49" s="1"/>
  <c r="M10" i="49"/>
  <c r="L10" i="49"/>
  <c r="K10" i="49"/>
  <c r="J10" i="49"/>
  <c r="I10" i="49"/>
  <c r="I33" i="49" s="1"/>
  <c r="H10" i="49"/>
  <c r="H33" i="49" s="1"/>
  <c r="G10" i="49"/>
  <c r="G32" i="49" s="1"/>
  <c r="F10" i="49"/>
  <c r="F32" i="49" s="1"/>
  <c r="E10" i="49"/>
  <c r="D10" i="49"/>
  <c r="G46" i="30"/>
  <c r="F46" i="30"/>
  <c r="S45" i="30"/>
  <c r="AC43" i="30"/>
  <c r="AB43" i="30"/>
  <c r="AC41" i="30"/>
  <c r="AB41" i="30"/>
  <c r="AB24" i="30" s="1"/>
  <c r="AC40" i="30"/>
  <c r="AB40" i="30"/>
  <c r="AA40" i="30"/>
  <c r="Z40" i="30"/>
  <c r="Y40" i="30"/>
  <c r="X40" i="30"/>
  <c r="M40" i="30"/>
  <c r="AC39" i="30"/>
  <c r="AB39" i="30"/>
  <c r="AA39" i="30"/>
  <c r="Z39" i="30"/>
  <c r="Y39" i="30"/>
  <c r="X39" i="30"/>
  <c r="AC38" i="30"/>
  <c r="AB38" i="30"/>
  <c r="AA38" i="30"/>
  <c r="Z38" i="30"/>
  <c r="Y38" i="30"/>
  <c r="X38" i="30"/>
  <c r="AC37" i="30"/>
  <c r="AB37" i="30"/>
  <c r="AA37" i="30"/>
  <c r="AA20" i="30" s="1"/>
  <c r="Z37" i="30"/>
  <c r="Y37" i="30"/>
  <c r="S37" i="30"/>
  <c r="AC36" i="30"/>
  <c r="AB36" i="30"/>
  <c r="AA36" i="30"/>
  <c r="Z36" i="30"/>
  <c r="Y36" i="30"/>
  <c r="X36" i="30"/>
  <c r="O34" i="30"/>
  <c r="N34" i="30"/>
  <c r="O33" i="30"/>
  <c r="O30" i="30"/>
  <c r="O29" i="30" s="1"/>
  <c r="N30" i="30"/>
  <c r="N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O25" i="30"/>
  <c r="AC24" i="30"/>
  <c r="U23" i="30"/>
  <c r="V23" i="30" s="1"/>
  <c r="W23" i="30" s="1"/>
  <c r="X23" i="30" s="1"/>
  <c r="Y23" i="30" s="1"/>
  <c r="Z23" i="30" s="1"/>
  <c r="AA23" i="30" s="1"/>
  <c r="AB23" i="30" s="1"/>
  <c r="AC23" i="30" s="1"/>
  <c r="T23" i="30"/>
  <c r="S23" i="30"/>
  <c r="R23" i="30"/>
  <c r="Q23" i="30"/>
  <c r="P23" i="30"/>
  <c r="O23" i="30"/>
  <c r="N23" i="30"/>
  <c r="S22" i="30"/>
  <c r="R22" i="30"/>
  <c r="Q22" i="30"/>
  <c r="P22" i="30"/>
  <c r="O22" i="30"/>
  <c r="N22" i="30"/>
  <c r="S21" i="30"/>
  <c r="T21" i="30" s="1"/>
  <c r="U21" i="30" s="1"/>
  <c r="V21" i="30" s="1"/>
  <c r="W21" i="30" s="1"/>
  <c r="X21" i="30" s="1"/>
  <c r="Y21" i="30" s="1"/>
  <c r="Z21" i="30" s="1"/>
  <c r="AA21" i="30" s="1"/>
  <c r="AB21" i="30" s="1"/>
  <c r="AC21" i="30" s="1"/>
  <c r="R21" i="30"/>
  <c r="Q21" i="30"/>
  <c r="P21" i="30"/>
  <c r="O21" i="30"/>
  <c r="N21" i="30"/>
  <c r="M21" i="30"/>
  <c r="L21" i="30"/>
  <c r="K21" i="30"/>
  <c r="J21" i="30"/>
  <c r="I21" i="30"/>
  <c r="H21" i="30"/>
  <c r="AC20" i="30"/>
  <c r="AB20" i="30"/>
  <c r="Z20" i="30"/>
  <c r="Y20" i="30"/>
  <c r="S20" i="30"/>
  <c r="R20" i="30"/>
  <c r="Q20" i="30"/>
  <c r="P20" i="30"/>
  <c r="O20" i="30"/>
  <c r="N20" i="30"/>
  <c r="M20" i="30"/>
  <c r="L20" i="30"/>
  <c r="L15" i="30" s="1"/>
  <c r="K20" i="30"/>
  <c r="J20" i="30"/>
  <c r="I20" i="30"/>
  <c r="H20" i="30"/>
  <c r="T19" i="30"/>
  <c r="S19" i="30"/>
  <c r="R19" i="30"/>
  <c r="Q19" i="30"/>
  <c r="P19" i="30"/>
  <c r="O19" i="30"/>
  <c r="N19" i="30"/>
  <c r="M19" i="30"/>
  <c r="L19" i="30"/>
  <c r="K19" i="30"/>
  <c r="J19" i="30"/>
  <c r="I19" i="30"/>
  <c r="I13" i="30" s="1"/>
  <c r="H19" i="30"/>
  <c r="AC18" i="30"/>
  <c r="AB18" i="30"/>
  <c r="AA18" i="30"/>
  <c r="Z18" i="30"/>
  <c r="Y18" i="30"/>
  <c r="X18" i="30"/>
  <c r="W18" i="30"/>
  <c r="V18" i="30"/>
  <c r="U18" i="30"/>
  <c r="T18" i="30"/>
  <c r="S18" i="30"/>
  <c r="R18" i="30"/>
  <c r="Q18" i="30"/>
  <c r="P18" i="30"/>
  <c r="O18" i="30"/>
  <c r="N18" i="30"/>
  <c r="M18" i="30"/>
  <c r="L18" i="30"/>
  <c r="K18" i="30"/>
  <c r="J18" i="30"/>
  <c r="I18" i="30"/>
  <c r="H18" i="30"/>
  <c r="S17" i="30"/>
  <c r="T17" i="30" s="1"/>
  <c r="R17" i="30"/>
  <c r="Q17" i="30"/>
  <c r="P17" i="30"/>
  <c r="O17" i="30"/>
  <c r="N17" i="30"/>
  <c r="M17" i="30"/>
  <c r="L17" i="30"/>
  <c r="K17" i="30"/>
  <c r="J17" i="30"/>
  <c r="I17" i="30"/>
  <c r="H17" i="30"/>
  <c r="S16" i="30"/>
  <c r="R16" i="30"/>
  <c r="Q16" i="30"/>
  <c r="P16" i="30"/>
  <c r="O16" i="30"/>
  <c r="N16" i="30"/>
  <c r="N15" i="30" s="1"/>
  <c r="M16" i="30"/>
  <c r="L16" i="30"/>
  <c r="K16" i="30"/>
  <c r="K15" i="30" s="1"/>
  <c r="J16" i="30"/>
  <c r="J15" i="30" s="1"/>
  <c r="I16" i="30"/>
  <c r="H16" i="30"/>
  <c r="H15" i="30"/>
  <c r="S14" i="30"/>
  <c r="R14" i="30"/>
  <c r="Q14" i="30"/>
  <c r="P14" i="30"/>
  <c r="O14" i="30"/>
  <c r="N14" i="30"/>
  <c r="M14" i="30"/>
  <c r="L14" i="30"/>
  <c r="K14" i="30"/>
  <c r="K13" i="30" s="1"/>
  <c r="J14" i="30"/>
  <c r="I14" i="30"/>
  <c r="H14" i="30"/>
  <c r="J13" i="30"/>
  <c r="X12" i="30"/>
  <c r="W12" i="30"/>
  <c r="G12" i="30"/>
  <c r="F12" i="30"/>
  <c r="S11" i="30"/>
  <c r="S46" i="30" s="1"/>
  <c r="R11" i="30"/>
  <c r="Q11" i="30"/>
  <c r="P11" i="30"/>
  <c r="O11" i="30"/>
  <c r="N11" i="30"/>
  <c r="M11" i="30"/>
  <c r="L11" i="30"/>
  <c r="L46" i="30" s="1"/>
  <c r="K11" i="30"/>
  <c r="K46" i="30" s="1"/>
  <c r="J11" i="30"/>
  <c r="J46" i="30" s="1"/>
  <c r="I11" i="30"/>
  <c r="I46" i="30" s="1"/>
  <c r="H11" i="30"/>
  <c r="AT71" i="20"/>
  <c r="AS71" i="20"/>
  <c r="AR71" i="20"/>
  <c r="AQ71" i="20"/>
  <c r="AP71" i="20"/>
  <c r="AO71" i="20"/>
  <c r="Y51" i="20"/>
  <c r="U51" i="20"/>
  <c r="R51" i="20"/>
  <c r="Q51" i="20"/>
  <c r="P51" i="20"/>
  <c r="O51" i="20"/>
  <c r="N51" i="20"/>
  <c r="M51" i="20"/>
  <c r="L51" i="20"/>
  <c r="K51" i="20"/>
  <c r="J51" i="20"/>
  <c r="I51" i="20"/>
  <c r="H51" i="20"/>
  <c r="G51" i="20"/>
  <c r="F51" i="20"/>
  <c r="E51" i="20"/>
  <c r="D51" i="20"/>
  <c r="V50" i="20"/>
  <c r="U50" i="20"/>
  <c r="T50" i="20"/>
  <c r="S50" i="20"/>
  <c r="R50" i="20"/>
  <c r="Q50" i="20"/>
  <c r="P50" i="20"/>
  <c r="O50" i="20"/>
  <c r="N50" i="20"/>
  <c r="M50" i="20"/>
  <c r="L50" i="20"/>
  <c r="K50" i="20"/>
  <c r="J50" i="20"/>
  <c r="I50" i="20"/>
  <c r="H50" i="20"/>
  <c r="G50" i="20"/>
  <c r="F50" i="20"/>
  <c r="E50" i="20"/>
  <c r="D50" i="20"/>
  <c r="V49" i="20"/>
  <c r="U49" i="20"/>
  <c r="T49" i="20"/>
  <c r="S49" i="20"/>
  <c r="R49" i="20"/>
  <c r="Q49" i="20"/>
  <c r="P49" i="20"/>
  <c r="O49" i="20"/>
  <c r="N49" i="20"/>
  <c r="M49" i="20"/>
  <c r="L49" i="20"/>
  <c r="K49" i="20"/>
  <c r="J49" i="20"/>
  <c r="I49" i="20"/>
  <c r="H49" i="20"/>
  <c r="G49" i="20"/>
  <c r="F49" i="20"/>
  <c r="E49" i="20"/>
  <c r="D49" i="20"/>
  <c r="AB34" i="20"/>
  <c r="AA34" i="20"/>
  <c r="Z34" i="20"/>
  <c r="Y34" i="20"/>
  <c r="X34" i="20"/>
  <c r="W34" i="20"/>
  <c r="V34" i="20"/>
  <c r="U34" i="20"/>
  <c r="BB71" i="20" s="1"/>
  <c r="T34" i="20"/>
  <c r="BA71" i="20" s="1"/>
  <c r="S32" i="20"/>
  <c r="S35" i="20" s="1"/>
  <c r="R32" i="20"/>
  <c r="R35" i="20" s="1"/>
  <c r="Q32" i="20"/>
  <c r="Q35" i="20" s="1"/>
  <c r="P32" i="20"/>
  <c r="O32" i="20"/>
  <c r="O35" i="20" s="1"/>
  <c r="N32" i="20"/>
  <c r="N35" i="20" s="1"/>
  <c r="M32" i="20"/>
  <c r="M35" i="20" s="1"/>
  <c r="L32" i="20"/>
  <c r="L35" i="20" s="1"/>
  <c r="K32" i="20"/>
  <c r="J32" i="20"/>
  <c r="I32" i="20"/>
  <c r="H32" i="20"/>
  <c r="S13" i="20"/>
  <c r="C4" i="35" s="1"/>
  <c r="D6" i="55" s="1"/>
  <c r="D56" i="55" s="1"/>
  <c r="R13" i="20"/>
  <c r="Q13" i="20"/>
  <c r="P13" i="20"/>
  <c r="O13" i="20"/>
  <c r="N13" i="20"/>
  <c r="M13" i="20"/>
  <c r="L13" i="20"/>
  <c r="K13" i="20"/>
  <c r="J13" i="20"/>
  <c r="I13" i="20"/>
  <c r="H13" i="20"/>
  <c r="S12" i="20"/>
  <c r="R12" i="20"/>
  <c r="Q12" i="20"/>
  <c r="P12" i="20"/>
  <c r="O12" i="20"/>
  <c r="N12" i="20"/>
  <c r="M12" i="20"/>
  <c r="L12" i="20"/>
  <c r="K12" i="20"/>
  <c r="J12" i="20"/>
  <c r="I12" i="20"/>
  <c r="H12" i="20"/>
  <c r="AC10" i="20"/>
  <c r="AB10" i="20"/>
  <c r="AA10" i="20"/>
  <c r="Z10" i="20"/>
  <c r="Y10" i="20"/>
  <c r="X10" i="20"/>
  <c r="W10" i="20"/>
  <c r="V10" i="20"/>
  <c r="U10" i="20"/>
  <c r="T10" i="20"/>
  <c r="S10" i="20"/>
  <c r="S9" i="20"/>
  <c r="AC117" i="26"/>
  <c r="AB117" i="26"/>
  <c r="AA117" i="26"/>
  <c r="Z117" i="26"/>
  <c r="Y117" i="26"/>
  <c r="X117" i="26"/>
  <c r="W117" i="26"/>
  <c r="V117" i="26"/>
  <c r="U117" i="26"/>
  <c r="T117" i="26"/>
  <c r="S117" i="26"/>
  <c r="Q116" i="26"/>
  <c r="Q63" i="20" s="1"/>
  <c r="P116" i="26"/>
  <c r="P63" i="20" s="1"/>
  <c r="O116" i="26"/>
  <c r="O63" i="20" s="1"/>
  <c r="N116" i="26"/>
  <c r="N63" i="20" s="1"/>
  <c r="M116" i="26"/>
  <c r="M63" i="20" s="1"/>
  <c r="L116" i="26"/>
  <c r="L63" i="20" s="1"/>
  <c r="K116" i="26"/>
  <c r="K63" i="20" s="1"/>
  <c r="J116" i="26"/>
  <c r="J63" i="20" s="1"/>
  <c r="I116" i="26"/>
  <c r="I63" i="20" s="1"/>
  <c r="H116" i="26"/>
  <c r="AD94" i="26"/>
  <c r="P93" i="26"/>
  <c r="AC91" i="26"/>
  <c r="AB91" i="26"/>
  <c r="AA91" i="26"/>
  <c r="Z91" i="26"/>
  <c r="Y91" i="26"/>
  <c r="X91" i="26"/>
  <c r="W91" i="26"/>
  <c r="V91" i="26"/>
  <c r="U91" i="26"/>
  <c r="T91" i="26"/>
  <c r="S91" i="26"/>
  <c r="AC89" i="26"/>
  <c r="AB89" i="26"/>
  <c r="U89" i="26"/>
  <c r="T89" i="26"/>
  <c r="M89" i="26"/>
  <c r="AC88" i="26"/>
  <c r="AB88" i="26"/>
  <c r="AA88" i="26"/>
  <c r="Z88" i="26"/>
  <c r="Y88" i="26"/>
  <c r="V87" i="26"/>
  <c r="N87" i="26"/>
  <c r="C79" i="26"/>
  <c r="C78" i="26"/>
  <c r="C61" i="26" s="1"/>
  <c r="C77" i="26"/>
  <c r="C76" i="26"/>
  <c r="C75" i="26"/>
  <c r="C60" i="26" s="1"/>
  <c r="E60" i="26" s="1"/>
  <c r="C74" i="26"/>
  <c r="C73" i="26"/>
  <c r="C72" i="26"/>
  <c r="C71" i="26"/>
  <c r="C58" i="26" s="1"/>
  <c r="C70" i="26"/>
  <c r="N41" i="26" s="1"/>
  <c r="C69" i="26"/>
  <c r="C64" i="26"/>
  <c r="C59" i="26"/>
  <c r="D58" i="26"/>
  <c r="E58" i="26" s="1"/>
  <c r="C57" i="26"/>
  <c r="C56" i="26"/>
  <c r="Y48" i="26"/>
  <c r="Q48" i="26"/>
  <c r="U47" i="26"/>
  <c r="Q46" i="26"/>
  <c r="N46" i="26"/>
  <c r="X44" i="26"/>
  <c r="W44" i="26"/>
  <c r="W16" i="26" s="1"/>
  <c r="W89" i="26" s="1"/>
  <c r="V44" i="26"/>
  <c r="U44" i="26"/>
  <c r="T44" i="26"/>
  <c r="T16" i="26" s="1"/>
  <c r="S44" i="26"/>
  <c r="S16" i="26" s="1"/>
  <c r="S89" i="26" s="1"/>
  <c r="R44" i="26"/>
  <c r="Q44" i="26"/>
  <c r="P44" i="26"/>
  <c r="O44" i="26"/>
  <c r="O16" i="26" s="1"/>
  <c r="O89" i="26" s="1"/>
  <c r="N44" i="26"/>
  <c r="M44" i="26"/>
  <c r="AD44" i="26" s="1"/>
  <c r="X43" i="26"/>
  <c r="X16" i="26" s="1"/>
  <c r="X89" i="26" s="1"/>
  <c r="W43" i="26"/>
  <c r="V43" i="26"/>
  <c r="U43" i="26"/>
  <c r="T43" i="26"/>
  <c r="S43" i="26"/>
  <c r="R43" i="26"/>
  <c r="Q43" i="26"/>
  <c r="P43" i="26"/>
  <c r="P16" i="26" s="1"/>
  <c r="P89" i="26" s="1"/>
  <c r="O43" i="26"/>
  <c r="N43" i="26"/>
  <c r="M43" i="26"/>
  <c r="X42" i="26"/>
  <c r="W42" i="26"/>
  <c r="V42" i="26"/>
  <c r="U42" i="26"/>
  <c r="T42" i="26"/>
  <c r="S42" i="26"/>
  <c r="R42" i="26"/>
  <c r="Q42" i="26"/>
  <c r="P42" i="26"/>
  <c r="O42" i="26"/>
  <c r="N42" i="26"/>
  <c r="M42" i="26"/>
  <c r="N40" i="26"/>
  <c r="M40" i="26"/>
  <c r="AC39" i="26"/>
  <c r="AB39" i="26"/>
  <c r="AA39" i="26"/>
  <c r="Z39" i="26"/>
  <c r="Y39" i="26"/>
  <c r="AD38" i="26"/>
  <c r="AD37" i="26"/>
  <c r="P35" i="26"/>
  <c r="O35" i="26"/>
  <c r="N35" i="26"/>
  <c r="M35" i="26"/>
  <c r="L35" i="26"/>
  <c r="K35" i="26"/>
  <c r="D20" i="26"/>
  <c r="AC19" i="26"/>
  <c r="AB19" i="26"/>
  <c r="AA19" i="26"/>
  <c r="Z19" i="26"/>
  <c r="Y19" i="26"/>
  <c r="X19" i="26"/>
  <c r="W19" i="26"/>
  <c r="V19" i="26"/>
  <c r="U19" i="26"/>
  <c r="T19" i="26"/>
  <c r="S19" i="26"/>
  <c r="R19" i="26"/>
  <c r="Q19" i="26"/>
  <c r="P19" i="26"/>
  <c r="O19" i="26"/>
  <c r="N19" i="26"/>
  <c r="M19" i="26"/>
  <c r="L19" i="26"/>
  <c r="K19" i="26"/>
  <c r="S18" i="26"/>
  <c r="Q18" i="26"/>
  <c r="P18" i="26"/>
  <c r="AC16" i="26"/>
  <c r="AB16" i="26"/>
  <c r="AA16" i="26"/>
  <c r="AA89" i="26" s="1"/>
  <c r="Z16" i="26"/>
  <c r="Z89" i="26" s="1"/>
  <c r="Y16" i="26"/>
  <c r="Y89" i="26" s="1"/>
  <c r="V16" i="26"/>
  <c r="V89" i="26" s="1"/>
  <c r="U16" i="26"/>
  <c r="R16" i="26"/>
  <c r="R89" i="26" s="1"/>
  <c r="Q16" i="26"/>
  <c r="Q89" i="26" s="1"/>
  <c r="N16" i="26"/>
  <c r="N89" i="26" s="1"/>
  <c r="M16" i="26"/>
  <c r="AD16" i="26" s="1"/>
  <c r="AC15" i="26"/>
  <c r="AB15" i="26"/>
  <c r="AA15" i="26"/>
  <c r="Z15" i="26"/>
  <c r="Y15" i="26"/>
  <c r="M15" i="26"/>
  <c r="AC14" i="26"/>
  <c r="AC87" i="26" s="1"/>
  <c r="AB14" i="26"/>
  <c r="AB87" i="26" s="1"/>
  <c r="AA14" i="26"/>
  <c r="AA87" i="26" s="1"/>
  <c r="Z14" i="26"/>
  <c r="Z87" i="26" s="1"/>
  <c r="Y14" i="26"/>
  <c r="Y87" i="26" s="1"/>
  <c r="X14" i="26"/>
  <c r="X87" i="26" s="1"/>
  <c r="W14" i="26"/>
  <c r="W87" i="26" s="1"/>
  <c r="V14" i="26"/>
  <c r="U14" i="26"/>
  <c r="U87" i="26" s="1"/>
  <c r="T14" i="26"/>
  <c r="T87" i="26" s="1"/>
  <c r="S14" i="26"/>
  <c r="S87" i="26" s="1"/>
  <c r="R14" i="26"/>
  <c r="R87" i="26" s="1"/>
  <c r="Q14" i="26"/>
  <c r="Q87" i="26" s="1"/>
  <c r="P14" i="26"/>
  <c r="P87" i="26" s="1"/>
  <c r="O14" i="26"/>
  <c r="O87" i="26" s="1"/>
  <c r="N14" i="26"/>
  <c r="M14" i="26"/>
  <c r="M87" i="26" s="1"/>
  <c r="L14" i="26"/>
  <c r="L87" i="26" s="1"/>
  <c r="L85" i="26" s="1"/>
  <c r="K14" i="26"/>
  <c r="K87" i="26" s="1"/>
  <c r="K85" i="26" s="1"/>
  <c r="J14" i="26"/>
  <c r="U13" i="26"/>
  <c r="S13" i="26"/>
  <c r="S93" i="26" s="1"/>
  <c r="R13" i="26"/>
  <c r="R93" i="26" s="1"/>
  <c r="Q13" i="26"/>
  <c r="Q93" i="26" s="1"/>
  <c r="P13" i="26"/>
  <c r="O13" i="26"/>
  <c r="N13" i="26"/>
  <c r="N93" i="26" s="1"/>
  <c r="M13" i="26"/>
  <c r="M93" i="26" s="1"/>
  <c r="L13" i="26"/>
  <c r="L93" i="26" s="1"/>
  <c r="K13" i="26"/>
  <c r="K93" i="26" s="1"/>
  <c r="J13" i="26"/>
  <c r="D57" i="26" s="1"/>
  <c r="J12" i="26"/>
  <c r="N11" i="26"/>
  <c r="M11" i="26"/>
  <c r="M20" i="26" s="1"/>
  <c r="M90" i="26" s="1"/>
  <c r="F11" i="26"/>
  <c r="F20" i="26" s="1"/>
  <c r="E11" i="26"/>
  <c r="E20" i="26" s="1"/>
  <c r="S10" i="26"/>
  <c r="R10" i="26"/>
  <c r="Q10" i="26"/>
  <c r="P10" i="26"/>
  <c r="O10" i="26"/>
  <c r="N10" i="26"/>
  <c r="M10" i="26"/>
  <c r="L10" i="26"/>
  <c r="K10" i="26"/>
  <c r="J10" i="26"/>
  <c r="I10" i="26"/>
  <c r="H10" i="26"/>
  <c r="G10" i="26"/>
  <c r="F10" i="26"/>
  <c r="E10" i="26"/>
  <c r="D10" i="26"/>
  <c r="S9" i="26"/>
  <c r="S11" i="26" s="1"/>
  <c r="R9" i="26"/>
  <c r="R11" i="26" s="1"/>
  <c r="Q9" i="26"/>
  <c r="Q11" i="26" s="1"/>
  <c r="P9" i="26"/>
  <c r="P11" i="26" s="1"/>
  <c r="O9" i="26"/>
  <c r="N9" i="26"/>
  <c r="M9" i="26"/>
  <c r="L9" i="26"/>
  <c r="L11" i="26" s="1"/>
  <c r="L20" i="26" s="1"/>
  <c r="L90" i="26" s="1"/>
  <c r="K9" i="26"/>
  <c r="K11" i="26" s="1"/>
  <c r="K20" i="26" s="1"/>
  <c r="K90" i="26" s="1"/>
  <c r="J9" i="26"/>
  <c r="J11" i="26" s="1"/>
  <c r="J20" i="26" s="1"/>
  <c r="J90" i="26" s="1"/>
  <c r="I9" i="26"/>
  <c r="I11" i="26" s="1"/>
  <c r="I20" i="26" s="1"/>
  <c r="I90" i="26" s="1"/>
  <c r="I85" i="26" s="1"/>
  <c r="I64" i="20" s="1"/>
  <c r="H9" i="26"/>
  <c r="H11" i="26" s="1"/>
  <c r="H20" i="26" s="1"/>
  <c r="H90" i="26" s="1"/>
  <c r="H85" i="26" s="1"/>
  <c r="H64" i="20" s="1"/>
  <c r="G9" i="26"/>
  <c r="F9" i="26"/>
  <c r="E9" i="26"/>
  <c r="D9" i="26"/>
  <c r="D11" i="26" s="1"/>
  <c r="D54" i="25"/>
  <c r="D51" i="25"/>
  <c r="S22" i="25" s="1"/>
  <c r="D48" i="25"/>
  <c r="R22" i="25" s="1"/>
  <c r="D45" i="25"/>
  <c r="D42" i="25"/>
  <c r="D39" i="25"/>
  <c r="O22" i="25" s="1"/>
  <c r="D36" i="25"/>
  <c r="N22" i="25" s="1"/>
  <c r="D33" i="25"/>
  <c r="Q22" i="25"/>
  <c r="P22" i="25"/>
  <c r="M22" i="25"/>
  <c r="R19" i="25"/>
  <c r="S18" i="25"/>
  <c r="R18" i="25"/>
  <c r="Q18" i="25"/>
  <c r="P18" i="25"/>
  <c r="O18" i="25"/>
  <c r="N18" i="25"/>
  <c r="M18" i="25"/>
  <c r="L18" i="25"/>
  <c r="K18" i="25"/>
  <c r="J18" i="25"/>
  <c r="I18" i="25"/>
  <c r="H18" i="25"/>
  <c r="G18" i="25"/>
  <c r="F18" i="25"/>
  <c r="E18" i="25"/>
  <c r="D18" i="25"/>
  <c r="T17" i="25"/>
  <c r="U17" i="25" s="1"/>
  <c r="V17" i="25" s="1"/>
  <c r="W17" i="25" s="1"/>
  <c r="X17" i="25" s="1"/>
  <c r="Y17" i="25" s="1"/>
  <c r="Z17" i="25" s="1"/>
  <c r="AA17" i="25" s="1"/>
  <c r="AB17" i="25" s="1"/>
  <c r="AC17" i="25" s="1"/>
  <c r="S17" i="25"/>
  <c r="R17" i="25"/>
  <c r="Q17" i="25"/>
  <c r="P17" i="25"/>
  <c r="O17" i="25"/>
  <c r="N17" i="25"/>
  <c r="M17" i="25"/>
  <c r="L17" i="25"/>
  <c r="K17" i="25"/>
  <c r="J17" i="25"/>
  <c r="I17" i="25"/>
  <c r="H17" i="25"/>
  <c r="G17" i="25"/>
  <c r="F17" i="25"/>
  <c r="E17" i="25"/>
  <c r="D17" i="25"/>
  <c r="S16" i="25"/>
  <c r="T16" i="25" s="1"/>
  <c r="U16" i="25" s="1"/>
  <c r="V16" i="25" s="1"/>
  <c r="W16" i="25" s="1"/>
  <c r="X16" i="25" s="1"/>
  <c r="Y16" i="25" s="1"/>
  <c r="Z16" i="25" s="1"/>
  <c r="AA16" i="25" s="1"/>
  <c r="AB16" i="25" s="1"/>
  <c r="AC16" i="25" s="1"/>
  <c r="R16" i="25"/>
  <c r="Q16" i="25"/>
  <c r="P16" i="25"/>
  <c r="O16" i="25"/>
  <c r="N16" i="25"/>
  <c r="N13" i="25" s="1"/>
  <c r="M16" i="25"/>
  <c r="L16" i="25"/>
  <c r="K16" i="25"/>
  <c r="J16" i="25"/>
  <c r="I16" i="25"/>
  <c r="H16" i="25"/>
  <c r="G16" i="25"/>
  <c r="F16" i="25"/>
  <c r="E16" i="25"/>
  <c r="D16" i="25"/>
  <c r="W15" i="25"/>
  <c r="X15" i="25" s="1"/>
  <c r="Y15" i="25" s="1"/>
  <c r="Z15" i="25" s="1"/>
  <c r="AA15" i="25" s="1"/>
  <c r="AB15" i="25" s="1"/>
  <c r="AC15" i="25" s="1"/>
  <c r="T15" i="25"/>
  <c r="U15" i="25" s="1"/>
  <c r="V15" i="25" s="1"/>
  <c r="S15" i="25"/>
  <c r="R15" i="25"/>
  <c r="Q15" i="25"/>
  <c r="P15" i="25"/>
  <c r="P13" i="25" s="1"/>
  <c r="O15" i="25"/>
  <c r="O13" i="25" s="1"/>
  <c r="N15" i="25"/>
  <c r="M15" i="25"/>
  <c r="L15" i="25"/>
  <c r="K15" i="25"/>
  <c r="J15" i="25"/>
  <c r="I15" i="25"/>
  <c r="H15" i="25"/>
  <c r="H13" i="25" s="1"/>
  <c r="G15" i="25"/>
  <c r="F15" i="25"/>
  <c r="E15" i="25"/>
  <c r="D15" i="25"/>
  <c r="S14" i="25"/>
  <c r="R14" i="25"/>
  <c r="R13" i="25" s="1"/>
  <c r="Q14" i="25"/>
  <c r="P14" i="25"/>
  <c r="O14" i="25"/>
  <c r="N14" i="25"/>
  <c r="M14" i="25"/>
  <c r="M13" i="25" s="1"/>
  <c r="L14" i="25"/>
  <c r="K14" i="25"/>
  <c r="J14" i="25"/>
  <c r="J13" i="25" s="1"/>
  <c r="I14" i="25"/>
  <c r="I13" i="25" s="1"/>
  <c r="H14" i="25"/>
  <c r="G14" i="25"/>
  <c r="F14" i="25"/>
  <c r="E14" i="25"/>
  <c r="D14" i="25"/>
  <c r="S13" i="25"/>
  <c r="K13" i="25"/>
  <c r="T12" i="25"/>
  <c r="U12" i="25" s="1"/>
  <c r="S12" i="25"/>
  <c r="R12" i="25"/>
  <c r="Q12" i="25"/>
  <c r="P12" i="25"/>
  <c r="O12" i="25"/>
  <c r="N12" i="25"/>
  <c r="M12" i="25"/>
  <c r="L12" i="25"/>
  <c r="K12" i="25"/>
  <c r="J12" i="25"/>
  <c r="I12" i="25"/>
  <c r="H12" i="25"/>
  <c r="G12" i="25"/>
  <c r="F12" i="25"/>
  <c r="E12" i="25"/>
  <c r="D12" i="25"/>
  <c r="S11" i="25"/>
  <c r="S20" i="25" s="1"/>
  <c r="R11" i="25"/>
  <c r="R20" i="25" s="1"/>
  <c r="Q11" i="25"/>
  <c r="P11" i="25"/>
  <c r="O11" i="25"/>
  <c r="N11" i="25"/>
  <c r="M11" i="25"/>
  <c r="L11" i="25"/>
  <c r="K11" i="25"/>
  <c r="J11" i="25"/>
  <c r="I11" i="25"/>
  <c r="H11" i="25"/>
  <c r="G11" i="25"/>
  <c r="F11" i="25"/>
  <c r="E11" i="25"/>
  <c r="D11" i="25"/>
  <c r="O14" i="56"/>
  <c r="O13" i="56"/>
  <c r="O12" i="56"/>
  <c r="O11" i="56"/>
  <c r="O10" i="56"/>
  <c r="O9" i="56"/>
  <c r="O8" i="56"/>
  <c r="O7" i="56"/>
  <c r="O6" i="56"/>
  <c r="O5" i="56"/>
  <c r="O4" i="56"/>
  <c r="H2" i="56"/>
  <c r="I2" i="56" s="1"/>
  <c r="J2" i="56" s="1"/>
  <c r="K2" i="56" s="1"/>
  <c r="L2" i="56" s="1"/>
  <c r="M2" i="56" s="1"/>
  <c r="N2" i="56" s="1"/>
  <c r="D2" i="56"/>
  <c r="E2" i="56" s="1"/>
  <c r="F2" i="56" s="1"/>
  <c r="G2" i="56" s="1"/>
  <c r="M15" i="40"/>
  <c r="P14" i="40"/>
  <c r="P15" i="40" s="1"/>
  <c r="S13" i="40"/>
  <c r="R13" i="40"/>
  <c r="Q13" i="40"/>
  <c r="Q14" i="40" s="1"/>
  <c r="P13" i="40"/>
  <c r="O13" i="40"/>
  <c r="N13" i="40"/>
  <c r="M13" i="40"/>
  <c r="M14" i="40" s="1"/>
  <c r="L13" i="40"/>
  <c r="K13" i="40"/>
  <c r="J13" i="40"/>
  <c r="S12" i="40"/>
  <c r="S14" i="40" s="1"/>
  <c r="R12" i="40"/>
  <c r="Q12" i="40"/>
  <c r="Q16" i="40" s="1"/>
  <c r="P12" i="40"/>
  <c r="P16" i="40" s="1"/>
  <c r="O12" i="40"/>
  <c r="N12" i="40"/>
  <c r="M12" i="40"/>
  <c r="L12" i="40"/>
  <c r="K12" i="40"/>
  <c r="K14" i="40" s="1"/>
  <c r="J12" i="40"/>
  <c r="T11" i="40"/>
  <c r="T19" i="59" s="1"/>
  <c r="S11" i="40"/>
  <c r="S19" i="59" s="1"/>
  <c r="R11" i="40"/>
  <c r="R19" i="59" s="1"/>
  <c r="Q11" i="40"/>
  <c r="Q19" i="59" s="1"/>
  <c r="P11" i="40"/>
  <c r="O11" i="40"/>
  <c r="N11" i="40"/>
  <c r="M11" i="40"/>
  <c r="M19" i="59" s="1"/>
  <c r="L11" i="40"/>
  <c r="L19" i="59" s="1"/>
  <c r="L24" i="59" s="1"/>
  <c r="K11" i="40"/>
  <c r="K19" i="59" s="1"/>
  <c r="K24" i="59" s="1"/>
  <c r="J11" i="40"/>
  <c r="J19" i="59" s="1"/>
  <c r="J24" i="59" s="1"/>
  <c r="I67" i="38"/>
  <c r="L66" i="38"/>
  <c r="L71" i="38" s="1"/>
  <c r="L65" i="38"/>
  <c r="I65" i="38"/>
  <c r="L64" i="38"/>
  <c r="L67" i="38" s="1"/>
  <c r="L69" i="38" s="1"/>
  <c r="M56" i="38"/>
  <c r="P55" i="38"/>
  <c r="M55" i="38"/>
  <c r="O48" i="38" s="1"/>
  <c r="L55" i="38"/>
  <c r="P54" i="38"/>
  <c r="O54" i="38"/>
  <c r="N54" i="38"/>
  <c r="M54" i="38"/>
  <c r="L54" i="38"/>
  <c r="K54" i="38"/>
  <c r="K55" i="38" s="1"/>
  <c r="J54" i="38"/>
  <c r="J55" i="38" s="1"/>
  <c r="J56" i="38" s="1"/>
  <c r="P53" i="38"/>
  <c r="P22" i="59" s="1"/>
  <c r="O53" i="38"/>
  <c r="N53" i="38"/>
  <c r="M53" i="38"/>
  <c r="M22" i="59" s="1"/>
  <c r="L53" i="38"/>
  <c r="L22" i="59" s="1"/>
  <c r="K53" i="38"/>
  <c r="K22" i="59" s="1"/>
  <c r="J53" i="38"/>
  <c r="J22" i="59" s="1"/>
  <c r="N48" i="38"/>
  <c r="M48" i="38"/>
  <c r="J45" i="38"/>
  <c r="Q44" i="38"/>
  <c r="J44" i="38"/>
  <c r="J43" i="38"/>
  <c r="Q42" i="38"/>
  <c r="J42" i="38"/>
  <c r="T41" i="38"/>
  <c r="S41" i="38"/>
  <c r="S42" i="38" s="1"/>
  <c r="S43" i="38" s="1"/>
  <c r="S44" i="38" s="1"/>
  <c r="S45" i="38" s="1"/>
  <c r="J41" i="38"/>
  <c r="R40" i="38"/>
  <c r="Q40" i="38"/>
  <c r="J40" i="38"/>
  <c r="T39" i="38"/>
  <c r="T40" i="38" s="1"/>
  <c r="P40" i="38" s="1"/>
  <c r="S39" i="38"/>
  <c r="S40" i="38" s="1"/>
  <c r="P39" i="38"/>
  <c r="J39" i="38"/>
  <c r="T38" i="38"/>
  <c r="P38" i="38" s="1"/>
  <c r="S38" i="38"/>
  <c r="Q38" i="38"/>
  <c r="J38" i="38"/>
  <c r="Q37" i="38"/>
  <c r="J37" i="38"/>
  <c r="P37" i="38" s="1"/>
  <c r="R37" i="38" s="1"/>
  <c r="J36" i="38"/>
  <c r="P35" i="38"/>
  <c r="J35" i="38"/>
  <c r="J34" i="38"/>
  <c r="P33" i="38"/>
  <c r="J33" i="38"/>
  <c r="J32" i="38"/>
  <c r="P31" i="38"/>
  <c r="J31" i="38"/>
  <c r="S30" i="38"/>
  <c r="J30" i="38"/>
  <c r="P29" i="38"/>
  <c r="Q29" i="38" s="1"/>
  <c r="J29" i="38"/>
  <c r="T28" i="38"/>
  <c r="T29" i="38" s="1"/>
  <c r="T30" i="38" s="1"/>
  <c r="T31" i="38" s="1"/>
  <c r="T32" i="38" s="1"/>
  <c r="T33" i="38" s="1"/>
  <c r="T34" i="38" s="1"/>
  <c r="T35" i="38" s="1"/>
  <c r="T36" i="38" s="1"/>
  <c r="S28" i="38"/>
  <c r="S29" i="38" s="1"/>
  <c r="O29" i="38" s="1"/>
  <c r="J28" i="38"/>
  <c r="J27" i="38"/>
  <c r="N26" i="38"/>
  <c r="J26" i="38"/>
  <c r="N25" i="38"/>
  <c r="J25" i="38"/>
  <c r="S24" i="38"/>
  <c r="J24" i="38"/>
  <c r="N24" i="38" s="1"/>
  <c r="S23" i="38"/>
  <c r="M23" i="38"/>
  <c r="J23" i="38"/>
  <c r="J22" i="38"/>
  <c r="J21" i="38"/>
  <c r="M21" i="38" s="1"/>
  <c r="N21" i="38" s="1"/>
  <c r="J20" i="38"/>
  <c r="M20" i="38" s="1"/>
  <c r="J19" i="38"/>
  <c r="M18" i="38"/>
  <c r="J18" i="38"/>
  <c r="M17" i="38"/>
  <c r="J17" i="38"/>
  <c r="J16" i="38"/>
  <c r="S15" i="38"/>
  <c r="J15" i="38"/>
  <c r="S14" i="38"/>
  <c r="M14" i="38"/>
  <c r="L14" i="38"/>
  <c r="J14" i="38"/>
  <c r="M13" i="38"/>
  <c r="L13" i="38"/>
  <c r="N13" i="38" s="1"/>
  <c r="J13" i="38"/>
  <c r="M12" i="38"/>
  <c r="L12" i="38"/>
  <c r="J12" i="38"/>
  <c r="M11" i="38"/>
  <c r="L11" i="38"/>
  <c r="N11" i="38" s="1"/>
  <c r="J11" i="38"/>
  <c r="J9" i="50"/>
  <c r="I9" i="50"/>
  <c r="H9" i="50"/>
  <c r="G9" i="50"/>
  <c r="F9" i="50"/>
  <c r="E9" i="50"/>
  <c r="D9" i="50"/>
  <c r="C9" i="50"/>
  <c r="L6" i="50"/>
  <c r="E6" i="50"/>
  <c r="D6" i="50"/>
  <c r="C6" i="50"/>
  <c r="E5" i="50"/>
  <c r="D5" i="50"/>
  <c r="C5" i="50"/>
  <c r="E4" i="50"/>
  <c r="D4" i="50"/>
  <c r="C4" i="50"/>
  <c r="N51" i="62"/>
  <c r="M46" i="62"/>
  <c r="M23" i="35"/>
  <c r="L23" i="35"/>
  <c r="K23" i="35"/>
  <c r="J23" i="35"/>
  <c r="I23" i="35"/>
  <c r="J25" i="55" s="1"/>
  <c r="H23" i="35"/>
  <c r="I25" i="55" s="1"/>
  <c r="G23" i="35"/>
  <c r="E23" i="35"/>
  <c r="D23" i="35"/>
  <c r="C23" i="35"/>
  <c r="C21" i="35"/>
  <c r="L7" i="50" s="1"/>
  <c r="M14" i="35"/>
  <c r="L14" i="35"/>
  <c r="K14" i="35"/>
  <c r="J14" i="35"/>
  <c r="I14" i="35"/>
  <c r="H14" i="35"/>
  <c r="G14" i="35"/>
  <c r="F14" i="35"/>
  <c r="E14" i="35"/>
  <c r="D14" i="35"/>
  <c r="C14" i="35"/>
  <c r="M13" i="35"/>
  <c r="L13" i="35"/>
  <c r="K13" i="35"/>
  <c r="J13" i="35"/>
  <c r="I13" i="35"/>
  <c r="H13" i="35"/>
  <c r="G13" i="35"/>
  <c r="F13" i="35"/>
  <c r="E13" i="35"/>
  <c r="D13" i="35"/>
  <c r="C13" i="35"/>
  <c r="C12" i="35"/>
  <c r="C11" i="35"/>
  <c r="C10" i="35"/>
  <c r="C9" i="35"/>
  <c r="M8" i="35"/>
  <c r="L8" i="35"/>
  <c r="K8" i="35"/>
  <c r="J8" i="35"/>
  <c r="I8" i="35"/>
  <c r="H8" i="35"/>
  <c r="G8" i="35"/>
  <c r="F8" i="35"/>
  <c r="E8" i="35"/>
  <c r="D8" i="35"/>
  <c r="C7" i="35"/>
  <c r="C6" i="35"/>
  <c r="L100" i="55"/>
  <c r="K100" i="55"/>
  <c r="D100" i="55"/>
  <c r="G91" i="55"/>
  <c r="I85" i="55"/>
  <c r="N75" i="55"/>
  <c r="M75" i="55"/>
  <c r="E75" i="55"/>
  <c r="D65" i="55"/>
  <c r="N25" i="55"/>
  <c r="N100" i="55" s="1"/>
  <c r="M25" i="55"/>
  <c r="M100" i="55" s="1"/>
  <c r="L25" i="55"/>
  <c r="L75" i="55" s="1"/>
  <c r="K25" i="55"/>
  <c r="K75" i="55" s="1"/>
  <c r="H25" i="55"/>
  <c r="F25" i="55"/>
  <c r="F100" i="55" s="1"/>
  <c r="E25" i="55"/>
  <c r="E100" i="55" s="1"/>
  <c r="D25" i="55"/>
  <c r="D75" i="55" s="1"/>
  <c r="C25" i="55"/>
  <c r="B25" i="55"/>
  <c r="C24" i="55"/>
  <c r="B24" i="55"/>
  <c r="C23" i="55"/>
  <c r="B23" i="55"/>
  <c r="C22" i="55"/>
  <c r="B22" i="55"/>
  <c r="C21" i="55"/>
  <c r="B21" i="55"/>
  <c r="C20" i="55"/>
  <c r="B20" i="55"/>
  <c r="C19" i="55"/>
  <c r="B19" i="55"/>
  <c r="C18" i="55"/>
  <c r="B18" i="55"/>
  <c r="C17" i="55"/>
  <c r="B17" i="55"/>
  <c r="N16" i="55"/>
  <c r="N66" i="55" s="1"/>
  <c r="M16" i="55"/>
  <c r="L16" i="55"/>
  <c r="K16" i="55"/>
  <c r="J16" i="55"/>
  <c r="I16" i="55"/>
  <c r="I91" i="55" s="1"/>
  <c r="H16" i="55"/>
  <c r="H91" i="55" s="1"/>
  <c r="G16" i="55"/>
  <c r="G66" i="55" s="1"/>
  <c r="F16" i="55"/>
  <c r="F66" i="55" s="1"/>
  <c r="E16" i="55"/>
  <c r="D16" i="55"/>
  <c r="C16" i="55"/>
  <c r="B16" i="55"/>
  <c r="N15" i="55"/>
  <c r="M15" i="55"/>
  <c r="L15" i="55"/>
  <c r="L90" i="55" s="1"/>
  <c r="K15" i="55"/>
  <c r="K90" i="55" s="1"/>
  <c r="J15" i="55"/>
  <c r="J65" i="55" s="1"/>
  <c r="I15" i="55"/>
  <c r="I65" i="55" s="1"/>
  <c r="H15" i="55"/>
  <c r="G15" i="55"/>
  <c r="F15" i="55"/>
  <c r="E15" i="55"/>
  <c r="D15" i="55"/>
  <c r="D90" i="55" s="1"/>
  <c r="C15" i="55"/>
  <c r="B15" i="55"/>
  <c r="D14" i="55"/>
  <c r="D64" i="55" s="1"/>
  <c r="C14" i="55"/>
  <c r="B14" i="55"/>
  <c r="D13" i="55"/>
  <c r="C13" i="55"/>
  <c r="B13" i="55"/>
  <c r="D12" i="55"/>
  <c r="D87" i="55" s="1"/>
  <c r="C12" i="55"/>
  <c r="B12" i="55"/>
  <c r="D11" i="55"/>
  <c r="C11" i="55"/>
  <c r="B11" i="55"/>
  <c r="N10" i="55"/>
  <c r="M10" i="55"/>
  <c r="L10" i="55"/>
  <c r="K10" i="55"/>
  <c r="K85" i="55" s="1"/>
  <c r="J10" i="55"/>
  <c r="J85" i="55" s="1"/>
  <c r="I10" i="55"/>
  <c r="I60" i="55" s="1"/>
  <c r="H10" i="55"/>
  <c r="H60" i="55" s="1"/>
  <c r="G10" i="55"/>
  <c r="F10" i="55"/>
  <c r="E10" i="55"/>
  <c r="C10" i="55"/>
  <c r="B10" i="55"/>
  <c r="D9" i="55"/>
  <c r="D59" i="55" s="1"/>
  <c r="C9" i="55"/>
  <c r="B9" i="55"/>
  <c r="D8" i="55"/>
  <c r="C8" i="55"/>
  <c r="B8" i="55"/>
  <c r="C7" i="55"/>
  <c r="B7" i="55"/>
  <c r="C6" i="55"/>
  <c r="B6" i="55"/>
  <c r="C5" i="55"/>
  <c r="B5" i="55"/>
  <c r="C4" i="55"/>
  <c r="B4" i="55"/>
  <c r="K3" i="55"/>
  <c r="J3" i="55"/>
  <c r="I3"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E58" i="46"/>
  <c r="F58" i="46" s="1"/>
  <c r="G58" i="46" s="1"/>
  <c r="C58" i="46"/>
  <c r="E57" i="46"/>
  <c r="F57" i="46" s="1"/>
  <c r="C57" i="46"/>
  <c r="E56" i="46"/>
  <c r="F56" i="46" s="1"/>
  <c r="G56" i="46" s="1"/>
  <c r="C56" i="46"/>
  <c r="E55" i="46"/>
  <c r="F55" i="46" s="1"/>
  <c r="G55" i="46" s="1"/>
  <c r="C55" i="46"/>
  <c r="E54" i="46"/>
  <c r="F54" i="46" s="1"/>
  <c r="G54" i="46" s="1"/>
  <c r="C54" i="46"/>
  <c r="E53" i="46"/>
  <c r="F53" i="46" s="1"/>
  <c r="G53" i="46" s="1"/>
  <c r="C53" i="46"/>
  <c r="E52" i="46"/>
  <c r="F52" i="46" s="1"/>
  <c r="G52" i="46" s="1"/>
  <c r="C52" i="46"/>
  <c r="E51" i="46"/>
  <c r="F51" i="46" s="1"/>
  <c r="G51" i="46" s="1"/>
  <c r="C51" i="46"/>
  <c r="E50" i="46"/>
  <c r="F50" i="46" s="1"/>
  <c r="G50" i="46" s="1"/>
  <c r="C50" i="46"/>
  <c r="E49" i="46"/>
  <c r="F49" i="46" s="1"/>
  <c r="G49" i="46" s="1"/>
  <c r="C49" i="46"/>
  <c r="E48" i="46"/>
  <c r="F48" i="46" s="1"/>
  <c r="G48" i="46" s="1"/>
  <c r="C48" i="46"/>
  <c r="E47" i="46"/>
  <c r="F47" i="46" s="1"/>
  <c r="G47" i="46" s="1"/>
  <c r="C47" i="46"/>
  <c r="E46" i="46"/>
  <c r="F46" i="46" s="1"/>
  <c r="G46" i="46" s="1"/>
  <c r="C46" i="46"/>
  <c r="E45" i="46"/>
  <c r="F45" i="46" s="1"/>
  <c r="G45" i="46" s="1"/>
  <c r="C45" i="46"/>
  <c r="E44" i="46"/>
  <c r="F44" i="46" s="1"/>
  <c r="G44" i="46" s="1"/>
  <c r="C44" i="46"/>
  <c r="E43" i="46"/>
  <c r="F43" i="46" s="1"/>
  <c r="G43" i="46" s="1"/>
  <c r="C43" i="46"/>
  <c r="E42" i="46"/>
  <c r="F42" i="46" s="1"/>
  <c r="G42" i="46" s="1"/>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F30" i="46"/>
  <c r="G30" i="46" s="1"/>
  <c r="E30" i="46"/>
  <c r="F29" i="46"/>
  <c r="G29" i="46" s="1"/>
  <c r="E29" i="46"/>
  <c r="E28" i="46"/>
  <c r="F28" i="46" s="1"/>
  <c r="G28" i="46" s="1"/>
  <c r="E27" i="46"/>
  <c r="F27" i="46" s="1"/>
  <c r="G27" i="46" s="1"/>
  <c r="C27" i="46"/>
  <c r="E26" i="46"/>
  <c r="F26" i="46" s="1"/>
  <c r="G26" i="46" s="1"/>
  <c r="C26" i="46"/>
  <c r="E25" i="46"/>
  <c r="F25" i="46" s="1"/>
  <c r="G25" i="46" s="1"/>
  <c r="C25" i="46"/>
  <c r="E24" i="46"/>
  <c r="F24" i="46" s="1"/>
  <c r="G24" i="46" s="1"/>
  <c r="C24" i="46"/>
  <c r="E23" i="46"/>
  <c r="F23" i="46" s="1"/>
  <c r="G23" i="46" s="1"/>
  <c r="C23" i="46"/>
  <c r="E22" i="46"/>
  <c r="F22" i="46" s="1"/>
  <c r="G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E12" i="46"/>
  <c r="F12" i="46" s="1"/>
  <c r="G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H113" i="48" l="1"/>
  <c r="F75" i="55"/>
  <c r="J101" i="48"/>
  <c r="R101" i="48"/>
  <c r="Z101" i="48"/>
  <c r="O117" i="48"/>
  <c r="I113" i="48"/>
  <c r="M131" i="48"/>
  <c r="G132" i="48"/>
  <c r="O132" i="48"/>
  <c r="Q21" i="48"/>
  <c r="J113" i="48"/>
  <c r="M101" i="48"/>
  <c r="AC101" i="48"/>
  <c r="H117" i="48"/>
  <c r="I117" i="48"/>
  <c r="Q117" i="48"/>
  <c r="AB101" i="48"/>
  <c r="P117" i="48"/>
  <c r="AA101" i="48"/>
  <c r="F131" i="48"/>
  <c r="N131" i="48"/>
  <c r="H132" i="48"/>
  <c r="P132" i="48"/>
  <c r="U101" i="48"/>
  <c r="G131" i="48"/>
  <c r="O131" i="48"/>
  <c r="I132" i="48"/>
  <c r="Q132" i="48"/>
  <c r="E84" i="48"/>
  <c r="G9" i="48"/>
  <c r="O9" i="48"/>
  <c r="N116" i="48"/>
  <c r="H86" i="48" s="1"/>
  <c r="V101" i="48"/>
  <c r="O101" i="48"/>
  <c r="X101" i="48"/>
  <c r="N117" i="48"/>
  <c r="I87" i="48" s="1"/>
  <c r="J87" i="48" s="1"/>
  <c r="K87" i="48" s="1"/>
  <c r="L87" i="48" s="1"/>
  <c r="J131" i="48"/>
  <c r="R131" i="48"/>
  <c r="L132" i="48"/>
  <c r="I101" i="48"/>
  <c r="Q101" i="48"/>
  <c r="Y101" i="48"/>
  <c r="K9" i="48"/>
  <c r="K113" i="48"/>
  <c r="P101" i="48"/>
  <c r="M115" i="48"/>
  <c r="H101" i="48"/>
  <c r="L131" i="48"/>
  <c r="F132" i="48"/>
  <c r="N132" i="48"/>
  <c r="K101" i="48"/>
  <c r="S101" i="48"/>
  <c r="G34" i="48"/>
  <c r="G55" i="48" s="1"/>
  <c r="G62" i="48" s="1"/>
  <c r="G85" i="48" s="1"/>
  <c r="H115" i="48"/>
  <c r="K117" i="48"/>
  <c r="N101" i="48"/>
  <c r="L117" i="48"/>
  <c r="G101" i="48"/>
  <c r="W101" i="48"/>
  <c r="O115" i="48"/>
  <c r="I116" i="48"/>
  <c r="L101" i="48"/>
  <c r="T101" i="48"/>
  <c r="T93" i="48" s="1"/>
  <c r="P130" i="48"/>
  <c r="N9" i="48"/>
  <c r="P21" i="48"/>
  <c r="R117" i="48"/>
  <c r="M9" i="48"/>
  <c r="O21" i="48"/>
  <c r="M21" i="48"/>
  <c r="F9" i="48"/>
  <c r="P131" i="48"/>
  <c r="I54" i="48"/>
  <c r="I61" i="48" s="1"/>
  <c r="I21" i="48"/>
  <c r="D24" i="55"/>
  <c r="D99" i="55" s="1"/>
  <c r="L8" i="50"/>
  <c r="F21" i="48"/>
  <c r="N21" i="48"/>
  <c r="S120" i="48"/>
  <c r="S113" i="48" s="1"/>
  <c r="T113" i="48" s="1"/>
  <c r="Q120" i="48"/>
  <c r="Q129" i="48" s="1"/>
  <c r="I35" i="48"/>
  <c r="J35" i="48" s="1"/>
  <c r="J56" i="48" s="1"/>
  <c r="J63" i="48" s="1"/>
  <c r="M120" i="48"/>
  <c r="M129" i="48" s="1"/>
  <c r="G21" i="48"/>
  <c r="I130" i="48"/>
  <c r="Q130" i="48"/>
  <c r="K131" i="48"/>
  <c r="S131" i="48"/>
  <c r="T131" i="48" s="1"/>
  <c r="U131" i="48" s="1"/>
  <c r="M132" i="48"/>
  <c r="H63" i="48"/>
  <c r="K129" i="48"/>
  <c r="Q115" i="48"/>
  <c r="S116" i="48"/>
  <c r="T116" i="48" s="1"/>
  <c r="U116" i="48" s="1"/>
  <c r="V116" i="48" s="1"/>
  <c r="W116" i="48" s="1"/>
  <c r="X116" i="48" s="1"/>
  <c r="Y116" i="48" s="1"/>
  <c r="Z116" i="48" s="1"/>
  <c r="AA116" i="48" s="1"/>
  <c r="AB116" i="48" s="1"/>
  <c r="AC116" i="48" s="1"/>
  <c r="E85" i="48"/>
  <c r="O120" i="48"/>
  <c r="O113" i="48" s="1"/>
  <c r="I37" i="48"/>
  <c r="G129" i="48"/>
  <c r="M117" i="48"/>
  <c r="H87" i="48" s="1"/>
  <c r="K33" i="48"/>
  <c r="K54" i="48" s="1"/>
  <c r="K61" i="48" s="1"/>
  <c r="J37" i="48"/>
  <c r="T11" i="48" s="1"/>
  <c r="J132" i="48"/>
  <c r="I131" i="48"/>
  <c r="Q131" i="48"/>
  <c r="K132" i="48"/>
  <c r="S132" i="48"/>
  <c r="T132" i="48" s="1"/>
  <c r="T26" i="48" s="1"/>
  <c r="D22" i="35" s="1"/>
  <c r="E24" i="55" s="1"/>
  <c r="I40" i="48"/>
  <c r="E87" i="48"/>
  <c r="P120" i="48"/>
  <c r="P113" i="48" s="1"/>
  <c r="H131" i="48"/>
  <c r="I55" i="48"/>
  <c r="I62" i="48" s="1"/>
  <c r="R132" i="48"/>
  <c r="H21" i="48"/>
  <c r="F63" i="48"/>
  <c r="F86" i="48" s="1"/>
  <c r="F129" i="48"/>
  <c r="N120" i="48"/>
  <c r="N129" i="48" s="1"/>
  <c r="H129" i="48"/>
  <c r="L129" i="48"/>
  <c r="I9" i="48"/>
  <c r="P116" i="48"/>
  <c r="L21" i="48"/>
  <c r="I129" i="48"/>
  <c r="S9" i="48"/>
  <c r="C19" i="35" s="1"/>
  <c r="D21" i="55" s="1"/>
  <c r="D96" i="55" s="1"/>
  <c r="D23" i="55"/>
  <c r="R9" i="48"/>
  <c r="Q116" i="48"/>
  <c r="Q32" i="59"/>
  <c r="Q65" i="59"/>
  <c r="S65" i="59"/>
  <c r="R65" i="59"/>
  <c r="T35" i="20"/>
  <c r="D5" i="35" s="1"/>
  <c r="E7" i="55" s="1"/>
  <c r="E82" i="55" s="1"/>
  <c r="T12" i="20"/>
  <c r="U12" i="20" s="1"/>
  <c r="C5" i="35"/>
  <c r="D7" i="55" s="1"/>
  <c r="D82" i="55" s="1"/>
  <c r="L85" i="55"/>
  <c r="L60" i="55"/>
  <c r="K65" i="55"/>
  <c r="D89" i="55"/>
  <c r="N91" i="55"/>
  <c r="S16" i="38"/>
  <c r="L15" i="38"/>
  <c r="P36" i="38"/>
  <c r="I69" i="38"/>
  <c r="I66" i="38"/>
  <c r="E85" i="55"/>
  <c r="E60" i="55"/>
  <c r="M85" i="55"/>
  <c r="M60" i="55"/>
  <c r="D57" i="55"/>
  <c r="L65" i="55"/>
  <c r="N93" i="55"/>
  <c r="N68" i="55"/>
  <c r="M16" i="38"/>
  <c r="Q39" i="38"/>
  <c r="R39" i="38" s="1"/>
  <c r="N19" i="59"/>
  <c r="K16" i="40"/>
  <c r="L13" i="25"/>
  <c r="S19" i="25"/>
  <c r="C8" i="35" s="1"/>
  <c r="D10" i="55" s="1"/>
  <c r="D88" i="55"/>
  <c r="D63" i="55"/>
  <c r="M91" i="55"/>
  <c r="M66" i="55"/>
  <c r="F85" i="55"/>
  <c r="F60" i="55"/>
  <c r="N85" i="55"/>
  <c r="N60" i="55"/>
  <c r="E90" i="55"/>
  <c r="E65" i="55"/>
  <c r="M90" i="55"/>
  <c r="M65" i="55"/>
  <c r="G100" i="55"/>
  <c r="G75" i="55"/>
  <c r="J60" i="55"/>
  <c r="H66" i="55"/>
  <c r="D81" i="55"/>
  <c r="I100" i="55"/>
  <c r="I75" i="55"/>
  <c r="P28" i="38"/>
  <c r="S31" i="38"/>
  <c r="O30" i="38"/>
  <c r="T42" i="38"/>
  <c r="P41" i="38"/>
  <c r="I70" i="38"/>
  <c r="O19" i="59"/>
  <c r="L14" i="40"/>
  <c r="L16" i="40"/>
  <c r="J14" i="40"/>
  <c r="R14" i="40"/>
  <c r="R16" i="40" s="1"/>
  <c r="R17" i="40"/>
  <c r="J19" i="25"/>
  <c r="J20" i="25"/>
  <c r="R14" i="59"/>
  <c r="E91" i="55"/>
  <c r="E66" i="55"/>
  <c r="G85" i="55"/>
  <c r="G60" i="55"/>
  <c r="F90" i="55"/>
  <c r="F65" i="55"/>
  <c r="N90" i="55"/>
  <c r="N65" i="55"/>
  <c r="H100" i="55"/>
  <c r="H75" i="55"/>
  <c r="K60" i="55"/>
  <c r="I66" i="55"/>
  <c r="D84" i="55"/>
  <c r="J100" i="55"/>
  <c r="J75" i="55"/>
  <c r="N14" i="38"/>
  <c r="S25" i="38"/>
  <c r="M24" i="38"/>
  <c r="O24" i="38" s="1"/>
  <c r="O28" i="38"/>
  <c r="Q28" i="38" s="1"/>
  <c r="M16" i="40"/>
  <c r="K17" i="40"/>
  <c r="S17" i="40"/>
  <c r="S16" i="40"/>
  <c r="K20" i="25"/>
  <c r="S14" i="59"/>
  <c r="T20" i="25"/>
  <c r="E2" i="50"/>
  <c r="L64" i="20"/>
  <c r="L65" i="20" s="1"/>
  <c r="L36" i="20" s="1"/>
  <c r="AD46" i="26"/>
  <c r="AE19" i="26" s="1"/>
  <c r="G90" i="55"/>
  <c r="G65" i="55"/>
  <c r="J91" i="55"/>
  <c r="J66" i="55"/>
  <c r="I90" i="55"/>
  <c r="O14" i="40"/>
  <c r="O17" i="40" s="1"/>
  <c r="P17" i="40"/>
  <c r="M19" i="38"/>
  <c r="D86" i="55"/>
  <c r="D61" i="55"/>
  <c r="H90" i="55"/>
  <c r="H65" i="55"/>
  <c r="K91" i="55"/>
  <c r="K66" i="55"/>
  <c r="J90" i="55"/>
  <c r="N12" i="38"/>
  <c r="Q43" i="38"/>
  <c r="N22" i="59"/>
  <c r="N55" i="38"/>
  <c r="N56" i="38" s="1"/>
  <c r="J65" i="38"/>
  <c r="O55" i="38"/>
  <c r="K67" i="38" s="1"/>
  <c r="O16" i="40"/>
  <c r="Q17" i="40"/>
  <c r="D83" i="55"/>
  <c r="D58" i="55"/>
  <c r="D91" i="55"/>
  <c r="D66" i="55"/>
  <c r="L91" i="55"/>
  <c r="L66" i="55"/>
  <c r="D62" i="55"/>
  <c r="H85" i="55"/>
  <c r="F91" i="55"/>
  <c r="O23" i="38"/>
  <c r="N23" i="38"/>
  <c r="P32" i="38"/>
  <c r="R38" i="38"/>
  <c r="O22" i="59"/>
  <c r="K65" i="38"/>
  <c r="K70" i="38" s="1"/>
  <c r="L70" i="38"/>
  <c r="N14" i="40"/>
  <c r="N16" i="40" s="1"/>
  <c r="V12" i="25"/>
  <c r="U14" i="25"/>
  <c r="U13" i="25" s="1"/>
  <c r="D2" i="50"/>
  <c r="K64" i="20"/>
  <c r="K65" i="20" s="1"/>
  <c r="U17" i="30"/>
  <c r="K56" i="38"/>
  <c r="D20" i="25"/>
  <c r="D19" i="25"/>
  <c r="L20" i="25"/>
  <c r="M85" i="26"/>
  <c r="C55" i="26"/>
  <c r="J36" i="26"/>
  <c r="U116" i="26"/>
  <c r="AC116" i="26"/>
  <c r="L63" i="59"/>
  <c r="L20" i="59" s="1"/>
  <c r="L65" i="59"/>
  <c r="L56" i="38"/>
  <c r="E20" i="25"/>
  <c r="E19" i="25" s="1"/>
  <c r="M20" i="25"/>
  <c r="M19" i="25"/>
  <c r="T14" i="25"/>
  <c r="T13" i="25" s="1"/>
  <c r="T11" i="25" s="1"/>
  <c r="E57" i="26"/>
  <c r="O93" i="26"/>
  <c r="V116" i="26"/>
  <c r="I35" i="20"/>
  <c r="I31" i="59"/>
  <c r="I32" i="59" s="1"/>
  <c r="I34" i="49"/>
  <c r="F20" i="25"/>
  <c r="N20" i="25"/>
  <c r="N19" i="25"/>
  <c r="D59" i="26"/>
  <c r="E59" i="26" s="1"/>
  <c r="N39" i="26"/>
  <c r="O40" i="26"/>
  <c r="N15" i="26"/>
  <c r="H63" i="20"/>
  <c r="H65" i="20" s="1"/>
  <c r="H36" i="20" s="1"/>
  <c r="AB116" i="26"/>
  <c r="T116" i="26"/>
  <c r="AA116" i="26"/>
  <c r="S116" i="26"/>
  <c r="R116" i="26"/>
  <c r="W116" i="26"/>
  <c r="J35" i="20"/>
  <c r="AC35" i="20"/>
  <c r="R34" i="20"/>
  <c r="AY71" i="20" s="1"/>
  <c r="O27" i="38"/>
  <c r="Q15" i="40"/>
  <c r="M17" i="40"/>
  <c r="G20" i="25"/>
  <c r="G19" i="25" s="1"/>
  <c r="O20" i="25"/>
  <c r="O19" i="25"/>
  <c r="I65" i="20"/>
  <c r="I14" i="20" s="1"/>
  <c r="D33" i="49"/>
  <c r="D32" i="49"/>
  <c r="L33" i="49"/>
  <c r="L32" i="49"/>
  <c r="L12" i="49"/>
  <c r="D24" i="49" s="1"/>
  <c r="D25" i="49" s="1"/>
  <c r="D26" i="49" s="1"/>
  <c r="M15" i="38"/>
  <c r="M22" i="38"/>
  <c r="N22" i="38" s="1"/>
  <c r="P27" i="38"/>
  <c r="Q27" i="38" s="1"/>
  <c r="P30" i="38"/>
  <c r="Q30" i="38" s="1"/>
  <c r="P34" i="38"/>
  <c r="Q41" i="38"/>
  <c r="R41" i="38" s="1"/>
  <c r="Q45" i="38"/>
  <c r="J15" i="40"/>
  <c r="R15" i="40"/>
  <c r="H20" i="25"/>
  <c r="H19" i="25"/>
  <c r="P20" i="25"/>
  <c r="P19" i="25"/>
  <c r="AD19" i="26"/>
  <c r="M88" i="26"/>
  <c r="X116" i="26"/>
  <c r="E33" i="49"/>
  <c r="E32" i="49"/>
  <c r="M33" i="49"/>
  <c r="M32" i="49"/>
  <c r="M12" i="49"/>
  <c r="P56" i="38"/>
  <c r="K15" i="40"/>
  <c r="S15" i="40"/>
  <c r="I20" i="25"/>
  <c r="I19" i="25" s="1"/>
  <c r="Q20" i="25"/>
  <c r="Q19" i="25" s="1"/>
  <c r="G11" i="26"/>
  <c r="G20" i="26" s="1"/>
  <c r="O11" i="26"/>
  <c r="D56" i="26"/>
  <c r="D55" i="26" s="1"/>
  <c r="AD12" i="26"/>
  <c r="AD14" i="26"/>
  <c r="AD42" i="26"/>
  <c r="AD43" i="26"/>
  <c r="N88" i="26"/>
  <c r="Y116" i="26"/>
  <c r="Z116" i="26"/>
  <c r="N34" i="20"/>
  <c r="AU71" i="20" s="1"/>
  <c r="M34" i="20"/>
  <c r="AF13" i="26"/>
  <c r="C68" i="26"/>
  <c r="C63" i="26" s="1"/>
  <c r="K35" i="20"/>
  <c r="F34" i="49"/>
  <c r="F31" i="59"/>
  <c r="F32" i="59" s="1"/>
  <c r="N34" i="49"/>
  <c r="N31" i="59"/>
  <c r="N32" i="59" s="1"/>
  <c r="J93" i="26"/>
  <c r="I15" i="30"/>
  <c r="G34" i="49"/>
  <c r="G31" i="59"/>
  <c r="G32" i="59" s="1"/>
  <c r="G34" i="59" s="1"/>
  <c r="O34" i="49"/>
  <c r="O31" i="59"/>
  <c r="O32" i="59" s="1"/>
  <c r="P34" i="49"/>
  <c r="P31" i="59"/>
  <c r="P32" i="59" s="1"/>
  <c r="Q34" i="59" s="1"/>
  <c r="G191" i="65"/>
  <c r="T27" i="59"/>
  <c r="Q5" i="21"/>
  <c r="AA17" i="59" s="1"/>
  <c r="K15" i="35" s="1"/>
  <c r="L17" i="55" s="1"/>
  <c r="P5" i="21"/>
  <c r="Z17" i="59" s="1"/>
  <c r="J15" i="35" s="1"/>
  <c r="K17" i="55" s="1"/>
  <c r="O5" i="21"/>
  <c r="Y17" i="59" s="1"/>
  <c r="I15" i="35" s="1"/>
  <c r="J17" i="55" s="1"/>
  <c r="N5" i="21"/>
  <c r="J87" i="26"/>
  <c r="N12" i="30"/>
  <c r="N13" i="30"/>
  <c r="F52" i="49"/>
  <c r="G52" i="49" s="1"/>
  <c r="H52" i="49" s="1"/>
  <c r="M41" i="26"/>
  <c r="AD41" i="26" s="1"/>
  <c r="L13" i="30"/>
  <c r="R34" i="59"/>
  <c r="O34" i="20"/>
  <c r="AV71" i="20" s="1"/>
  <c r="V12" i="30"/>
  <c r="AC12" i="30"/>
  <c r="U12" i="30"/>
  <c r="AB12" i="30"/>
  <c r="T12" i="30"/>
  <c r="AA12" i="30"/>
  <c r="Z12" i="30"/>
  <c r="H46" i="30"/>
  <c r="Y12" i="30"/>
  <c r="M13" i="30"/>
  <c r="M12" i="30" s="1"/>
  <c r="H13" i="30"/>
  <c r="H12" i="30" s="1"/>
  <c r="H35" i="20"/>
  <c r="P35" i="20"/>
  <c r="P34" i="20" s="1"/>
  <c r="AW71" i="20" s="1"/>
  <c r="S34" i="20"/>
  <c r="AZ71" i="20" s="1"/>
  <c r="M15" i="30"/>
  <c r="H34" i="49"/>
  <c r="H31" i="59"/>
  <c r="H32" i="59" s="1"/>
  <c r="H34" i="59" s="1"/>
  <c r="W12" i="33"/>
  <c r="V12" i="33"/>
  <c r="U12" i="33"/>
  <c r="T12" i="33"/>
  <c r="T10" i="33" s="1"/>
  <c r="I12" i="30"/>
  <c r="S63" i="59"/>
  <c r="K63" i="59"/>
  <c r="K20" i="59" s="1"/>
  <c r="M63" i="59"/>
  <c r="M20" i="59" s="1"/>
  <c r="M65" i="59"/>
  <c r="G35" i="48"/>
  <c r="L33" i="48"/>
  <c r="J12" i="30"/>
  <c r="K31" i="59"/>
  <c r="K32" i="59" s="1"/>
  <c r="K34" i="59" s="1"/>
  <c r="K34" i="49"/>
  <c r="S31" i="59"/>
  <c r="S32" i="59" s="1"/>
  <c r="S34" i="49"/>
  <c r="J130" i="48"/>
  <c r="J21" i="48"/>
  <c r="R21" i="48"/>
  <c r="K12" i="30"/>
  <c r="R33" i="49"/>
  <c r="R34" i="49" s="1"/>
  <c r="O24" i="59"/>
  <c r="H5" i="50" s="1"/>
  <c r="L12" i="30"/>
  <c r="S15" i="59"/>
  <c r="Q24" i="59"/>
  <c r="J5" i="50" s="1"/>
  <c r="N63" i="59"/>
  <c r="N20" i="59" s="1"/>
  <c r="P63" i="59"/>
  <c r="P20" i="59" s="1"/>
  <c r="K21" i="48"/>
  <c r="S21" i="48"/>
  <c r="C20" i="35" s="1"/>
  <c r="D22" i="55" s="1"/>
  <c r="K36" i="48"/>
  <c r="J57" i="48"/>
  <c r="J64" i="48" s="1"/>
  <c r="I57" i="48"/>
  <c r="I64" i="48" s="1"/>
  <c r="J190" i="65"/>
  <c r="K190" i="65" s="1"/>
  <c r="L190" i="65" s="1"/>
  <c r="M190" i="65" s="1"/>
  <c r="H21" i="33"/>
  <c r="H22" i="33" s="1"/>
  <c r="I24" i="33" s="1"/>
  <c r="P12" i="33"/>
  <c r="S12" i="33"/>
  <c r="R16" i="59"/>
  <c r="Q16" i="59"/>
  <c r="R24" i="59"/>
  <c r="K5" i="50" s="1"/>
  <c r="O63" i="59"/>
  <c r="O20" i="59" s="1"/>
  <c r="I63" i="59"/>
  <c r="I20" i="59" s="1"/>
  <c r="J63" i="59"/>
  <c r="J20" i="59" s="1"/>
  <c r="R63" i="59"/>
  <c r="R20" i="59" s="1"/>
  <c r="L9" i="48"/>
  <c r="L130" i="48"/>
  <c r="E78" i="48"/>
  <c r="E86" i="48" s="1"/>
  <c r="E85" i="59"/>
  <c r="E89" i="59" s="1"/>
  <c r="D15" i="59"/>
  <c r="L15" i="59"/>
  <c r="Q63" i="59"/>
  <c r="Q20" i="59" s="1"/>
  <c r="G36" i="48"/>
  <c r="F84" i="48"/>
  <c r="F85" i="48"/>
  <c r="I78" i="48"/>
  <c r="G194" i="65"/>
  <c r="T19" i="48"/>
  <c r="T16" i="48"/>
  <c r="G193" i="65"/>
  <c r="V3" i="21"/>
  <c r="C14" i="21"/>
  <c r="Q9" i="48"/>
  <c r="L192" i="65"/>
  <c r="Y12" i="48"/>
  <c r="U5" i="21"/>
  <c r="T5" i="21"/>
  <c r="S5" i="21"/>
  <c r="AC17" i="59" s="1"/>
  <c r="M15" i="35" s="1"/>
  <c r="N17" i="55" s="1"/>
  <c r="R5" i="21"/>
  <c r="E19" i="33"/>
  <c r="D23" i="33"/>
  <c r="O194" i="65"/>
  <c r="AC19" i="48" s="1"/>
  <c r="AB19" i="48"/>
  <c r="O193" i="65"/>
  <c r="AC16" i="48" s="1"/>
  <c r="AB16" i="48"/>
  <c r="L193" i="65"/>
  <c r="Y16" i="48"/>
  <c r="N9" i="21"/>
  <c r="Q9" i="21"/>
  <c r="P9" i="21"/>
  <c r="O9" i="21"/>
  <c r="T6" i="21"/>
  <c r="S6" i="21"/>
  <c r="AC45" i="30" s="1"/>
  <c r="M7" i="35" s="1"/>
  <c r="N9" i="55" s="1"/>
  <c r="R6" i="21"/>
  <c r="U6" i="21"/>
  <c r="E83" i="59"/>
  <c r="E84" i="59" s="1"/>
  <c r="E86" i="59"/>
  <c r="F19" i="33"/>
  <c r="E23" i="33"/>
  <c r="H9" i="48"/>
  <c r="P115" i="48"/>
  <c r="P9" i="48"/>
  <c r="S117" i="48"/>
  <c r="T117" i="48" s="1"/>
  <c r="T18" i="48"/>
  <c r="U18" i="48" s="1"/>
  <c r="V18" i="48" s="1"/>
  <c r="W18" i="48" s="1"/>
  <c r="H130" i="48"/>
  <c r="F5" i="5"/>
  <c r="C16" i="5"/>
  <c r="D3" i="21"/>
  <c r="D85" i="59"/>
  <c r="D89" i="59" s="1"/>
  <c r="P15" i="59"/>
  <c r="D86" i="59"/>
  <c r="J9" i="48"/>
  <c r="G33" i="48"/>
  <c r="I192" i="65"/>
  <c r="W12" i="48" s="1"/>
  <c r="V12" i="48"/>
  <c r="K194" i="65"/>
  <c r="E3" i="21"/>
  <c r="F130" i="48"/>
  <c r="M5" i="21"/>
  <c r="W17" i="59" s="1"/>
  <c r="G15" i="35" s="1"/>
  <c r="H17" i="55" s="1"/>
  <c r="L5" i="21"/>
  <c r="V17" i="59" s="1"/>
  <c r="F15" i="35" s="1"/>
  <c r="G17" i="55" s="1"/>
  <c r="K5" i="21"/>
  <c r="U17" i="59" s="1"/>
  <c r="E15" i="35" s="1"/>
  <c r="F17" i="55" s="1"/>
  <c r="J5" i="21"/>
  <c r="E8" i="5"/>
  <c r="Q10" i="21"/>
  <c r="AA49" i="26" s="1"/>
  <c r="AA17" i="26" s="1"/>
  <c r="P10" i="21"/>
  <c r="Z49" i="26" s="1"/>
  <c r="Z17" i="26" s="1"/>
  <c r="O10" i="21"/>
  <c r="Y49" i="26" s="1"/>
  <c r="Y17" i="26" s="1"/>
  <c r="N10" i="21"/>
  <c r="B16" i="5"/>
  <c r="N3" i="21"/>
  <c r="M130" i="48"/>
  <c r="J34" i="48"/>
  <c r="J54" i="48"/>
  <c r="J61" i="48" s="1"/>
  <c r="F9" i="21"/>
  <c r="I9" i="21"/>
  <c r="H9" i="21"/>
  <c r="G9" i="21"/>
  <c r="K18" i="21"/>
  <c r="L6" i="21"/>
  <c r="L24" i="21" s="1"/>
  <c r="K23" i="21"/>
  <c r="U41" i="30" s="1"/>
  <c r="U24" i="30" s="1"/>
  <c r="K6" i="21"/>
  <c r="K24" i="21"/>
  <c r="J20" i="21"/>
  <c r="T38" i="30" s="1"/>
  <c r="J6" i="21"/>
  <c r="M18" i="21"/>
  <c r="M6" i="21"/>
  <c r="M24" i="21" s="1"/>
  <c r="G3" i="21"/>
  <c r="O3" i="21"/>
  <c r="D6" i="21"/>
  <c r="S13" i="21"/>
  <c r="S14" i="21" s="1"/>
  <c r="C20" i="21"/>
  <c r="M38" i="30" s="1"/>
  <c r="C6" i="21"/>
  <c r="C24" i="21"/>
  <c r="M42" i="30" s="1"/>
  <c r="E19" i="21"/>
  <c r="O37" i="30" s="1"/>
  <c r="F4" i="21"/>
  <c r="I4" i="21"/>
  <c r="S18" i="59" s="1"/>
  <c r="S24" i="59" s="1"/>
  <c r="I10" i="21"/>
  <c r="S49" i="26" s="1"/>
  <c r="S17" i="26" s="1"/>
  <c r="H10" i="21"/>
  <c r="R49" i="26" s="1"/>
  <c r="R17" i="26" s="1"/>
  <c r="G10" i="21"/>
  <c r="Q49" i="26" s="1"/>
  <c r="Q17" i="26" s="1"/>
  <c r="U9" i="21"/>
  <c r="T9" i="21"/>
  <c r="R9" i="21"/>
  <c r="S9" i="21"/>
  <c r="E6" i="21"/>
  <c r="F10" i="21"/>
  <c r="F87" i="48"/>
  <c r="N125" i="48"/>
  <c r="N115" i="48" s="1"/>
  <c r="H85" i="48" s="1"/>
  <c r="I85" i="48" s="1"/>
  <c r="J85" i="48" s="1"/>
  <c r="K85" i="48" s="1"/>
  <c r="L85" i="48" s="1"/>
  <c r="C7" i="21"/>
  <c r="H16" i="5"/>
  <c r="U4" i="21"/>
  <c r="T4" i="21"/>
  <c r="R4" i="21"/>
  <c r="J16" i="5"/>
  <c r="V51" i="21"/>
  <c r="V50" i="21"/>
  <c r="M23" i="21"/>
  <c r="W41" i="30" s="1"/>
  <c r="W24" i="30" s="1"/>
  <c r="J129" i="48"/>
  <c r="R120" i="48"/>
  <c r="R129" i="48" s="1"/>
  <c r="R125" i="48"/>
  <c r="R130" i="48" s="1"/>
  <c r="M9" i="21"/>
  <c r="L9" i="21"/>
  <c r="J9" i="21"/>
  <c r="I21" i="21"/>
  <c r="S125" i="48"/>
  <c r="S130" i="48" s="1"/>
  <c r="T130" i="48" s="1"/>
  <c r="I5" i="21"/>
  <c r="S17" i="59" s="1"/>
  <c r="H5" i="21"/>
  <c r="R17" i="59" s="1"/>
  <c r="K4" i="50" s="1"/>
  <c r="G5" i="21"/>
  <c r="Q17" i="59" s="1"/>
  <c r="J4" i="50" s="1"/>
  <c r="F5" i="21"/>
  <c r="J19" i="21"/>
  <c r="T37" i="30" s="1"/>
  <c r="T20" i="30" s="1"/>
  <c r="E7" i="5"/>
  <c r="M19" i="21"/>
  <c r="W37" i="30" s="1"/>
  <c r="W20" i="30" s="1"/>
  <c r="G16" i="5"/>
  <c r="C3" i="21"/>
  <c r="D7" i="21"/>
  <c r="G12" i="21"/>
  <c r="F12" i="21"/>
  <c r="I12" i="21"/>
  <c r="M7" i="21"/>
  <c r="K7" i="21"/>
  <c r="J7" i="21"/>
  <c r="O12" i="21"/>
  <c r="N12" i="21"/>
  <c r="Q12" i="21"/>
  <c r="U7" i="21"/>
  <c r="S7" i="21"/>
  <c r="R7" i="21"/>
  <c r="L16" i="5"/>
  <c r="I3" i="21"/>
  <c r="Q3" i="21"/>
  <c r="V16" i="6"/>
  <c r="Q49" i="21"/>
  <c r="Q17" i="6"/>
  <c r="E9" i="21"/>
  <c r="E12" i="21"/>
  <c r="E7" i="21"/>
  <c r="E10" i="21"/>
  <c r="O49" i="26" s="1"/>
  <c r="O17" i="26" s="1"/>
  <c r="E5" i="21"/>
  <c r="O17" i="59" s="1"/>
  <c r="H4" i="50" s="1"/>
  <c r="L7" i="21"/>
  <c r="D81" i="21"/>
  <c r="F81" i="21"/>
  <c r="K13" i="21"/>
  <c r="K14" i="21" s="1"/>
  <c r="D8" i="21"/>
  <c r="I13" i="21"/>
  <c r="I14" i="21" s="1"/>
  <c r="H13" i="21"/>
  <c r="H14" i="21" s="1"/>
  <c r="F13" i="21"/>
  <c r="R17" i="6"/>
  <c r="D12" i="21"/>
  <c r="C82" i="21" s="1"/>
  <c r="C81" i="21"/>
  <c r="W11" i="21"/>
  <c r="G19" i="21"/>
  <c r="Q37" i="30" s="1"/>
  <c r="I18" i="21"/>
  <c r="I24" i="21"/>
  <c r="G18" i="21"/>
  <c r="H6" i="21"/>
  <c r="H24" i="21" s="1"/>
  <c r="G23" i="21"/>
  <c r="Q41" i="30" s="1"/>
  <c r="Q24" i="30" s="1"/>
  <c r="Q13" i="30" s="1"/>
  <c r="Q12" i="30" s="1"/>
  <c r="G6" i="21"/>
  <c r="G24" i="21"/>
  <c r="F20" i="21"/>
  <c r="P38" i="30" s="1"/>
  <c r="F6" i="21"/>
  <c r="F19" i="21" s="1"/>
  <c r="P37" i="30" s="1"/>
  <c r="M10" i="21"/>
  <c r="W49" i="26" s="1"/>
  <c r="W17" i="26" s="1"/>
  <c r="L10" i="21"/>
  <c r="V49" i="26" s="1"/>
  <c r="V17" i="26" s="1"/>
  <c r="K10" i="21"/>
  <c r="U49" i="26" s="1"/>
  <c r="U17" i="26" s="1"/>
  <c r="P23" i="21"/>
  <c r="P6" i="21"/>
  <c r="Z45" i="30" s="1"/>
  <c r="J7" i="35" s="1"/>
  <c r="K9" i="55" s="1"/>
  <c r="P24" i="21"/>
  <c r="O6" i="21"/>
  <c r="Y45" i="30" s="1"/>
  <c r="I7" i="35" s="1"/>
  <c r="J9" i="55" s="1"/>
  <c r="N6" i="21"/>
  <c r="U10" i="21"/>
  <c r="T10" i="21"/>
  <c r="S10" i="21"/>
  <c r="AC49" i="26" s="1"/>
  <c r="AC17" i="26" s="1"/>
  <c r="C8" i="21"/>
  <c r="J10" i="21"/>
  <c r="G7" i="21"/>
  <c r="F7" i="21"/>
  <c r="D77" i="21" s="1"/>
  <c r="I7" i="21"/>
  <c r="M12" i="21"/>
  <c r="K12" i="21"/>
  <c r="J12" i="21"/>
  <c r="E82" i="21" s="1"/>
  <c r="O7" i="21"/>
  <c r="N7" i="21"/>
  <c r="Q7" i="21"/>
  <c r="U12" i="21"/>
  <c r="S12" i="21"/>
  <c r="R12" i="21"/>
  <c r="C4" i="21"/>
  <c r="Q6" i="21"/>
  <c r="G81" i="21"/>
  <c r="P12" i="21"/>
  <c r="E13" i="21"/>
  <c r="E14" i="21" s="1"/>
  <c r="D13" i="21"/>
  <c r="D14" i="21" s="1"/>
  <c r="R13" i="21"/>
  <c r="J13" i="21"/>
  <c r="Q13" i="21"/>
  <c r="Q14" i="21" s="1"/>
  <c r="P13" i="21"/>
  <c r="P14" i="21" s="1"/>
  <c r="V13" i="21"/>
  <c r="V14" i="21" s="1"/>
  <c r="V15" i="21" s="1"/>
  <c r="N13" i="21"/>
  <c r="U13" i="21"/>
  <c r="U14" i="21" s="1"/>
  <c r="U15" i="21" s="1"/>
  <c r="M13" i="21"/>
  <c r="M14" i="21" s="1"/>
  <c r="T13" i="21"/>
  <c r="T14" i="21" s="1"/>
  <c r="T15" i="21" s="1"/>
  <c r="L13" i="21"/>
  <c r="L14" i="21" s="1"/>
  <c r="R10" i="21"/>
  <c r="T12" i="21"/>
  <c r="I20" i="21"/>
  <c r="S38" i="30" s="1"/>
  <c r="I23" i="21"/>
  <c r="S41" i="30" s="1"/>
  <c r="S24" i="30" s="1"/>
  <c r="S15" i="30" s="1"/>
  <c r="D5" i="21"/>
  <c r="N17" i="59" s="1"/>
  <c r="G4" i="50" s="1"/>
  <c r="D10" i="21"/>
  <c r="N49" i="26" s="1"/>
  <c r="D4" i="21"/>
  <c r="N18" i="59" s="1"/>
  <c r="N24" i="59" s="1"/>
  <c r="G5" i="50" s="1"/>
  <c r="D9" i="21"/>
  <c r="S129" i="48" l="1"/>
  <c r="T129" i="48" s="1"/>
  <c r="U93" i="48"/>
  <c r="V93" i="48" s="1"/>
  <c r="W93" i="48" s="1"/>
  <c r="X93" i="48" s="1"/>
  <c r="Y93" i="48" s="1"/>
  <c r="Z93" i="48" s="1"/>
  <c r="AA93" i="48" s="1"/>
  <c r="AB93" i="48" s="1"/>
  <c r="AC93" i="48" s="1"/>
  <c r="K37" i="48"/>
  <c r="J39" i="48"/>
  <c r="T15" i="48" s="1"/>
  <c r="H38" i="48"/>
  <c r="Q113" i="48"/>
  <c r="T25" i="48"/>
  <c r="U132" i="48"/>
  <c r="V132" i="48" s="1"/>
  <c r="K130" i="48"/>
  <c r="O129" i="48"/>
  <c r="K35" i="48"/>
  <c r="K39" i="48" s="1"/>
  <c r="D74" i="55"/>
  <c r="I39" i="48"/>
  <c r="I56" i="48"/>
  <c r="I63" i="48" s="1"/>
  <c r="M113" i="48"/>
  <c r="P129" i="48"/>
  <c r="N113" i="48"/>
  <c r="H84" i="48" s="1"/>
  <c r="I84" i="48" s="1"/>
  <c r="J84" i="48" s="1"/>
  <c r="K84" i="48" s="1"/>
  <c r="L84" i="48" s="1"/>
  <c r="D71" i="55"/>
  <c r="S115" i="48"/>
  <c r="T115" i="48" s="1"/>
  <c r="U115" i="48" s="1"/>
  <c r="V115" i="48" s="1"/>
  <c r="W115" i="48" s="1"/>
  <c r="X115" i="48" s="1"/>
  <c r="Y115" i="48" s="1"/>
  <c r="Z115" i="48" s="1"/>
  <c r="AA115" i="48" s="1"/>
  <c r="AB115" i="48" s="1"/>
  <c r="AC115" i="48" s="1"/>
  <c r="D98" i="55"/>
  <c r="D73" i="55"/>
  <c r="O34" i="59"/>
  <c r="U35" i="20"/>
  <c r="T13" i="20"/>
  <c r="E57" i="55"/>
  <c r="U130" i="48"/>
  <c r="T24" i="48"/>
  <c r="T15" i="59"/>
  <c r="U10" i="33"/>
  <c r="D12" i="35"/>
  <c r="E14" i="55" s="1"/>
  <c r="T12" i="49"/>
  <c r="I52" i="49"/>
  <c r="I34" i="59"/>
  <c r="J34" i="59"/>
  <c r="Q23" i="21"/>
  <c r="AA45" i="30"/>
  <c r="K7" i="35" s="1"/>
  <c r="L9" i="55" s="1"/>
  <c r="E80" i="21"/>
  <c r="T49" i="26"/>
  <c r="T17" i="26" s="1"/>
  <c r="J84" i="55"/>
  <c r="J59" i="55"/>
  <c r="D83" i="21"/>
  <c r="F14" i="21"/>
  <c r="D75" i="21"/>
  <c r="P17" i="59"/>
  <c r="I4" i="50" s="1"/>
  <c r="E21" i="21"/>
  <c r="O45" i="30"/>
  <c r="C16" i="35"/>
  <c r="D18" i="55" s="1"/>
  <c r="L5" i="50"/>
  <c r="E24" i="21"/>
  <c r="O42" i="30" s="1"/>
  <c r="W36" i="30"/>
  <c r="Q33" i="21"/>
  <c r="I33" i="21"/>
  <c r="P33" i="21"/>
  <c r="H33" i="21"/>
  <c r="O33" i="21"/>
  <c r="U33" i="21"/>
  <c r="M33" i="21"/>
  <c r="T33" i="21"/>
  <c r="L33" i="21"/>
  <c r="S33" i="21"/>
  <c r="K33" i="21"/>
  <c r="V33" i="21"/>
  <c r="N33" i="21"/>
  <c r="J33" i="21"/>
  <c r="R33" i="21"/>
  <c r="R47" i="26"/>
  <c r="F92" i="55"/>
  <c r="F67" i="55"/>
  <c r="U15" i="48"/>
  <c r="T14" i="48"/>
  <c r="R113" i="48"/>
  <c r="N84" i="55"/>
  <c r="N59" i="55"/>
  <c r="C80" i="21"/>
  <c r="L36" i="21"/>
  <c r="R36" i="21"/>
  <c r="H40" i="48"/>
  <c r="G57" i="48"/>
  <c r="G64" i="48" s="1"/>
  <c r="G87" i="48" s="1"/>
  <c r="S13" i="30"/>
  <c r="S12" i="30" s="1"/>
  <c r="J92" i="55"/>
  <c r="J67" i="55"/>
  <c r="M34" i="49"/>
  <c r="M31" i="59"/>
  <c r="M32" i="59" s="1"/>
  <c r="E56" i="26"/>
  <c r="E55" i="26" s="1"/>
  <c r="U20" i="25"/>
  <c r="U11" i="25" s="1"/>
  <c r="T14" i="59"/>
  <c r="D9" i="35"/>
  <c r="V14" i="40"/>
  <c r="J16" i="40"/>
  <c r="T43" i="38"/>
  <c r="P42" i="38"/>
  <c r="R42" i="38" s="1"/>
  <c r="E26" i="49"/>
  <c r="G80" i="21"/>
  <c r="AB49" i="26"/>
  <c r="AB17" i="26" s="1"/>
  <c r="Q15" i="21"/>
  <c r="AA48" i="26"/>
  <c r="C74" i="21"/>
  <c r="M18" i="59"/>
  <c r="M24" i="59" s="1"/>
  <c r="F5" i="50" s="1"/>
  <c r="C78" i="21"/>
  <c r="O23" i="21"/>
  <c r="D76" i="21"/>
  <c r="F21" i="21"/>
  <c r="P45" i="30"/>
  <c r="H15" i="21"/>
  <c r="R48" i="26"/>
  <c r="E77" i="21"/>
  <c r="W3" i="21"/>
  <c r="V44" i="21"/>
  <c r="U44" i="21"/>
  <c r="T44" i="21"/>
  <c r="S44" i="21"/>
  <c r="AC47" i="26"/>
  <c r="D74" i="21"/>
  <c r="P18" i="59"/>
  <c r="P24" i="59" s="1"/>
  <c r="I5" i="50" s="1"/>
  <c r="W6" i="21"/>
  <c r="C76" i="21"/>
  <c r="C21" i="21"/>
  <c r="M39" i="30" s="1"/>
  <c r="M45" i="30"/>
  <c r="S15" i="21"/>
  <c r="AC48" i="26"/>
  <c r="E76" i="21"/>
  <c r="J21" i="21"/>
  <c r="T45" i="30"/>
  <c r="D7" i="35" s="1"/>
  <c r="E9" i="55" s="1"/>
  <c r="S34" i="21"/>
  <c r="K34" i="21"/>
  <c r="R34" i="21"/>
  <c r="J34" i="21"/>
  <c r="Q34" i="21"/>
  <c r="I34" i="21"/>
  <c r="O34" i="21"/>
  <c r="V34" i="21"/>
  <c r="N34" i="21"/>
  <c r="U34" i="21"/>
  <c r="M34" i="21"/>
  <c r="P34" i="21"/>
  <c r="L34" i="21"/>
  <c r="T34" i="21"/>
  <c r="S47" i="26"/>
  <c r="F80" i="21"/>
  <c r="X49" i="26"/>
  <c r="X17" i="26" s="1"/>
  <c r="G92" i="55"/>
  <c r="G67" i="55"/>
  <c r="G75" i="21"/>
  <c r="AB17" i="59"/>
  <c r="L15" i="35" s="1"/>
  <c r="M17" i="55" s="1"/>
  <c r="C83" i="21"/>
  <c r="T36" i="21"/>
  <c r="H193" i="65"/>
  <c r="U16" i="48"/>
  <c r="K67" i="55"/>
  <c r="K92" i="55"/>
  <c r="AR79" i="20"/>
  <c r="AR77" i="20"/>
  <c r="AR78" i="20"/>
  <c r="K14" i="20"/>
  <c r="K36" i="20"/>
  <c r="I14" i="59"/>
  <c r="L34" i="49"/>
  <c r="L31" i="59"/>
  <c r="L32" i="59" s="1"/>
  <c r="L34" i="59" s="1"/>
  <c r="R63" i="20"/>
  <c r="K9" i="50"/>
  <c r="P40" i="26"/>
  <c r="O15" i="26"/>
  <c r="O88" i="26"/>
  <c r="O39" i="26"/>
  <c r="V63" i="20"/>
  <c r="F3" i="35"/>
  <c r="G5" i="55" s="1"/>
  <c r="W12" i="25"/>
  <c r="V14" i="25"/>
  <c r="V13" i="25" s="1"/>
  <c r="K69" i="38"/>
  <c r="K66" i="38"/>
  <c r="D85" i="55"/>
  <c r="D60" i="55"/>
  <c r="I71" i="38"/>
  <c r="I73" i="38"/>
  <c r="S29" i="21"/>
  <c r="K29" i="21"/>
  <c r="R29" i="21"/>
  <c r="J29" i="21"/>
  <c r="Q29" i="21"/>
  <c r="I29" i="21"/>
  <c r="O29" i="21"/>
  <c r="G29" i="21"/>
  <c r="V29" i="21"/>
  <c r="N29" i="21"/>
  <c r="F29" i="21"/>
  <c r="U29" i="21"/>
  <c r="M29" i="21"/>
  <c r="E29" i="21"/>
  <c r="P29" i="21"/>
  <c r="L29" i="21"/>
  <c r="T29" i="21"/>
  <c r="H29" i="21"/>
  <c r="D29" i="21"/>
  <c r="D28" i="21" s="1"/>
  <c r="N47" i="26"/>
  <c r="H21" i="21"/>
  <c r="H18" i="21"/>
  <c r="R45" i="30"/>
  <c r="H19" i="21"/>
  <c r="R37" i="30" s="1"/>
  <c r="I15" i="21"/>
  <c r="S48" i="26"/>
  <c r="R43" i="21"/>
  <c r="V43" i="21"/>
  <c r="U43" i="21"/>
  <c r="T43" i="21"/>
  <c r="G79" i="21"/>
  <c r="S43" i="21"/>
  <c r="AB47" i="26"/>
  <c r="D21" i="21"/>
  <c r="N45" i="30"/>
  <c r="L21" i="21"/>
  <c r="V45" i="30"/>
  <c r="F7" i="35" s="1"/>
  <c r="G9" i="55" s="1"/>
  <c r="P31" i="21"/>
  <c r="H31" i="21"/>
  <c r="O31" i="21"/>
  <c r="G31" i="21"/>
  <c r="V31" i="21"/>
  <c r="N31" i="21"/>
  <c r="F31" i="21"/>
  <c r="T31" i="21"/>
  <c r="L31" i="21"/>
  <c r="S31" i="21"/>
  <c r="K31" i="21"/>
  <c r="D79" i="21"/>
  <c r="R31" i="21"/>
  <c r="J31" i="21"/>
  <c r="U31" i="21"/>
  <c r="M31" i="21"/>
  <c r="I31" i="21"/>
  <c r="Q31" i="21"/>
  <c r="P47" i="26"/>
  <c r="H92" i="55"/>
  <c r="H67" i="55"/>
  <c r="G54" i="48"/>
  <c r="G61" i="48" s="1"/>
  <c r="G84" i="48" s="1"/>
  <c r="H37" i="48"/>
  <c r="T40" i="21"/>
  <c r="S40" i="21"/>
  <c r="R40" i="21"/>
  <c r="P40" i="21"/>
  <c r="O40" i="21"/>
  <c r="V40" i="21"/>
  <c r="Q40" i="21"/>
  <c r="U40" i="21"/>
  <c r="Y47" i="26"/>
  <c r="M193" i="65"/>
  <c r="AA16" i="48" s="1"/>
  <c r="Z16" i="48"/>
  <c r="N92" i="55"/>
  <c r="N67" i="55"/>
  <c r="W13" i="21"/>
  <c r="M36" i="21"/>
  <c r="V131" i="48"/>
  <c r="U25" i="48"/>
  <c r="E99" i="55"/>
  <c r="E74" i="55"/>
  <c r="L36" i="48"/>
  <c r="K57" i="48"/>
  <c r="K64" i="48" s="1"/>
  <c r="K40" i="48"/>
  <c r="X18" i="48" s="1"/>
  <c r="L54" i="48"/>
  <c r="L37" i="48"/>
  <c r="L67" i="55"/>
  <c r="L92" i="55"/>
  <c r="E34" i="49"/>
  <c r="E31" i="59"/>
  <c r="E32" i="59" s="1"/>
  <c r="O14" i="59"/>
  <c r="O75" i="59" s="1"/>
  <c r="O76" i="59" s="1"/>
  <c r="M5" i="35"/>
  <c r="N7" i="55" s="1"/>
  <c r="S63" i="20"/>
  <c r="C3" i="35"/>
  <c r="D5" i="55" s="1"/>
  <c r="L9" i="50"/>
  <c r="M14" i="59"/>
  <c r="D14" i="59"/>
  <c r="R75" i="59"/>
  <c r="R76" i="59" s="1"/>
  <c r="L17" i="40"/>
  <c r="L15" i="40"/>
  <c r="S32" i="38"/>
  <c r="O31" i="38"/>
  <c r="Q31" i="38" s="1"/>
  <c r="G82" i="21"/>
  <c r="G83" i="21"/>
  <c r="R14" i="21"/>
  <c r="K59" i="55"/>
  <c r="K84" i="55"/>
  <c r="F23" i="21"/>
  <c r="P41" i="30" s="1"/>
  <c r="P24" i="30" s="1"/>
  <c r="Q36" i="30"/>
  <c r="O48" i="21"/>
  <c r="G48" i="21"/>
  <c r="G47" i="21" s="1"/>
  <c r="V48" i="21"/>
  <c r="N48" i="21"/>
  <c r="F48" i="21"/>
  <c r="F47" i="21" s="1"/>
  <c r="P95" i="26" s="1"/>
  <c r="U48" i="21"/>
  <c r="M48" i="21"/>
  <c r="E48" i="21"/>
  <c r="E47" i="21" s="1"/>
  <c r="O95" i="26" s="1"/>
  <c r="S48" i="21"/>
  <c r="K48" i="21"/>
  <c r="R48" i="21"/>
  <c r="J48" i="21"/>
  <c r="H8" i="21"/>
  <c r="Q48" i="21"/>
  <c r="I48" i="21"/>
  <c r="T48" i="21"/>
  <c r="P48" i="21"/>
  <c r="L48" i="21"/>
  <c r="D48" i="21"/>
  <c r="D47" i="21" s="1"/>
  <c r="N95" i="26" s="1"/>
  <c r="H48" i="21"/>
  <c r="G77" i="21"/>
  <c r="C15" i="35"/>
  <c r="D17" i="55" s="1"/>
  <c r="L4" i="50"/>
  <c r="W7" i="21"/>
  <c r="C77" i="21"/>
  <c r="E20" i="21"/>
  <c r="O38" i="30" s="1"/>
  <c r="C23" i="21"/>
  <c r="M41" i="30" s="1"/>
  <c r="J23" i="21"/>
  <c r="T41" i="30" s="1"/>
  <c r="T24" i="30" s="1"/>
  <c r="T13" i="30" s="1"/>
  <c r="T11" i="30" s="1"/>
  <c r="T46" i="30" s="1"/>
  <c r="D6" i="35" s="1"/>
  <c r="E8" i="55" s="1"/>
  <c r="U36" i="30"/>
  <c r="U41" i="21"/>
  <c r="T41" i="21"/>
  <c r="S41" i="21"/>
  <c r="Q41" i="21"/>
  <c r="P41" i="21"/>
  <c r="V41" i="21"/>
  <c r="R41" i="21"/>
  <c r="Z47" i="26"/>
  <c r="N130" i="48"/>
  <c r="C15" i="21"/>
  <c r="C84" i="21"/>
  <c r="U36" i="21"/>
  <c r="T17" i="48"/>
  <c r="D21" i="35" s="1"/>
  <c r="E23" i="55" s="1"/>
  <c r="D72" i="55"/>
  <c r="D97" i="55"/>
  <c r="T63" i="59"/>
  <c r="S20" i="59"/>
  <c r="S75" i="59" s="1"/>
  <c r="S76" i="59" s="1"/>
  <c r="M20" i="21"/>
  <c r="W38" i="30" s="1"/>
  <c r="P14" i="59"/>
  <c r="P75" i="59" s="1"/>
  <c r="P76" i="59" s="1"/>
  <c r="D34" i="49"/>
  <c r="D31" i="59"/>
  <c r="D32" i="59" s="1"/>
  <c r="AA63" i="20"/>
  <c r="K3" i="35"/>
  <c r="L5" i="55" s="1"/>
  <c r="AC63" i="20"/>
  <c r="M3" i="35"/>
  <c r="N5" i="55" s="1"/>
  <c r="K19" i="25"/>
  <c r="K14" i="59" s="1"/>
  <c r="K75" i="59" s="1"/>
  <c r="K76" i="59" s="1"/>
  <c r="S26" i="38"/>
  <c r="M26" i="38" s="1"/>
  <c r="O26" i="38" s="1"/>
  <c r="M25" i="38"/>
  <c r="O25" i="38" s="1"/>
  <c r="J14" i="59"/>
  <c r="J75" i="59" s="1"/>
  <c r="J76" i="59" s="1"/>
  <c r="O15" i="40"/>
  <c r="N15" i="38"/>
  <c r="N17" i="26"/>
  <c r="P25" i="21"/>
  <c r="Z43" i="30" s="1"/>
  <c r="Z41" i="30"/>
  <c r="Z24" i="30" s="1"/>
  <c r="H20" i="21"/>
  <c r="R38" i="30" s="1"/>
  <c r="K15" i="21"/>
  <c r="U48" i="26"/>
  <c r="U45" i="26" s="1"/>
  <c r="Q30" i="21"/>
  <c r="I30" i="21"/>
  <c r="P30" i="21"/>
  <c r="H30" i="21"/>
  <c r="O30" i="21"/>
  <c r="G30" i="21"/>
  <c r="U30" i="21"/>
  <c r="M30" i="21"/>
  <c r="E30" i="21"/>
  <c r="T30" i="21"/>
  <c r="L30" i="21"/>
  <c r="S30" i="21"/>
  <c r="K30" i="21"/>
  <c r="N30" i="21"/>
  <c r="J30" i="21"/>
  <c r="F30" i="21"/>
  <c r="V30" i="21"/>
  <c r="R30" i="21"/>
  <c r="O47" i="26"/>
  <c r="M4" i="21"/>
  <c r="W18" i="59" s="1"/>
  <c r="W24" i="59" s="1"/>
  <c r="L4" i="21"/>
  <c r="V18" i="59" s="1"/>
  <c r="V24" i="59" s="1"/>
  <c r="J4" i="21"/>
  <c r="W4" i="21" s="1"/>
  <c r="K4" i="21"/>
  <c r="U18" i="59" s="1"/>
  <c r="U24" i="59" s="1"/>
  <c r="W9" i="21"/>
  <c r="I22" i="21"/>
  <c r="S40" i="30" s="1"/>
  <c r="S39" i="30"/>
  <c r="E23" i="21"/>
  <c r="O41" i="30" s="1"/>
  <c r="O24" i="30" s="1"/>
  <c r="D24" i="21"/>
  <c r="N42" i="30" s="1"/>
  <c r="L20" i="21"/>
  <c r="V38" i="30" s="1"/>
  <c r="J38" i="48"/>
  <c r="T13" i="48" s="1"/>
  <c r="K34" i="48"/>
  <c r="J55" i="48"/>
  <c r="J62" i="48" s="1"/>
  <c r="V42" i="21"/>
  <c r="U42" i="21"/>
  <c r="S42" i="21"/>
  <c r="R42" i="21"/>
  <c r="Q42" i="21"/>
  <c r="T42" i="21"/>
  <c r="AA47" i="26"/>
  <c r="N36" i="21"/>
  <c r="H194" i="65"/>
  <c r="U19" i="48"/>
  <c r="U17" i="48" s="1"/>
  <c r="E21" i="35" s="1"/>
  <c r="F23" i="55" s="1"/>
  <c r="R115" i="48"/>
  <c r="U129" i="48"/>
  <c r="T23" i="48"/>
  <c r="H39" i="48"/>
  <c r="G56" i="48"/>
  <c r="G63" i="48" s="1"/>
  <c r="I86" i="48" s="1"/>
  <c r="Q15" i="30"/>
  <c r="N34" i="59"/>
  <c r="Z63" i="20"/>
  <c r="J3" i="35"/>
  <c r="K5" i="55" s="1"/>
  <c r="O20" i="26"/>
  <c r="O90" i="26" s="1"/>
  <c r="X63" i="20"/>
  <c r="H3" i="35"/>
  <c r="I5" i="55" s="1"/>
  <c r="G14" i="59"/>
  <c r="T63" i="20"/>
  <c r="D3" i="35"/>
  <c r="E5" i="55" s="1"/>
  <c r="Q34" i="20"/>
  <c r="AX71" i="20" s="1"/>
  <c r="E14" i="59"/>
  <c r="U63" i="20"/>
  <c r="E3" i="35"/>
  <c r="F5" i="55" s="1"/>
  <c r="M64" i="20"/>
  <c r="M65" i="20" s="1"/>
  <c r="F2" i="50"/>
  <c r="P48" i="38"/>
  <c r="J67" i="38"/>
  <c r="J70" i="38" s="1"/>
  <c r="N15" i="40"/>
  <c r="P15" i="21"/>
  <c r="Z48" i="26"/>
  <c r="D15" i="21"/>
  <c r="N48" i="26"/>
  <c r="E15" i="21"/>
  <c r="O48" i="26"/>
  <c r="N24" i="21"/>
  <c r="F76" i="21"/>
  <c r="X45" i="30"/>
  <c r="H7" i="35" s="1"/>
  <c r="I9" i="55" s="1"/>
  <c r="Q24" i="21"/>
  <c r="G21" i="21"/>
  <c r="Q45" i="30"/>
  <c r="H23" i="21"/>
  <c r="R41" i="30" s="1"/>
  <c r="R24" i="30" s="1"/>
  <c r="T51" i="21"/>
  <c r="T50" i="21"/>
  <c r="V17" i="6"/>
  <c r="D82" i="21"/>
  <c r="C79" i="21"/>
  <c r="V35" i="21"/>
  <c r="N35" i="21"/>
  <c r="U35" i="21"/>
  <c r="M35" i="21"/>
  <c r="T35" i="21"/>
  <c r="L35" i="21"/>
  <c r="R35" i="21"/>
  <c r="J35" i="21"/>
  <c r="E79" i="21"/>
  <c r="Q35" i="21"/>
  <c r="P35" i="21"/>
  <c r="S35" i="21"/>
  <c r="O35" i="21"/>
  <c r="K35" i="21"/>
  <c r="T47" i="26"/>
  <c r="E18" i="21"/>
  <c r="C18" i="21"/>
  <c r="L18" i="21"/>
  <c r="K21" i="21"/>
  <c r="U45" i="30"/>
  <c r="E7" i="35" s="1"/>
  <c r="F9" i="55" s="1"/>
  <c r="L23" i="21"/>
  <c r="V41" i="30" s="1"/>
  <c r="V24" i="30" s="1"/>
  <c r="N4" i="21"/>
  <c r="Q4" i="21"/>
  <c r="AA18" i="59" s="1"/>
  <c r="AA24" i="59" s="1"/>
  <c r="P4" i="21"/>
  <c r="Z18" i="59" s="1"/>
  <c r="Z24" i="59" s="1"/>
  <c r="O4" i="21"/>
  <c r="Y18" i="59" s="1"/>
  <c r="Y24" i="59" s="1"/>
  <c r="L194" i="65"/>
  <c r="Y19" i="48"/>
  <c r="T39" i="21"/>
  <c r="S39" i="21"/>
  <c r="R39" i="21"/>
  <c r="F79" i="21"/>
  <c r="P39" i="21"/>
  <c r="O39" i="21"/>
  <c r="V39" i="21"/>
  <c r="N39" i="21"/>
  <c r="U39" i="21"/>
  <c r="Q39" i="21"/>
  <c r="X47" i="26"/>
  <c r="K36" i="21"/>
  <c r="V36" i="21"/>
  <c r="S34" i="59"/>
  <c r="C18" i="35"/>
  <c r="D20" i="55" s="1"/>
  <c r="AS79" i="20"/>
  <c r="AS77" i="20"/>
  <c r="L14" i="20"/>
  <c r="AS78" i="20"/>
  <c r="H191" i="65"/>
  <c r="U27" i="59"/>
  <c r="Y63" i="20"/>
  <c r="I3" i="35"/>
  <c r="J5" i="55" s="1"/>
  <c r="H14" i="59"/>
  <c r="AB63" i="20"/>
  <c r="L3" i="35"/>
  <c r="M5" i="55" s="1"/>
  <c r="M39" i="26"/>
  <c r="O56" i="38"/>
  <c r="L15" i="21"/>
  <c r="V48" i="26"/>
  <c r="M15" i="21"/>
  <c r="W48" i="26"/>
  <c r="F83" i="21"/>
  <c r="N14" i="21"/>
  <c r="F77" i="21"/>
  <c r="W12" i="21"/>
  <c r="N23" i="21"/>
  <c r="X41" i="30" s="1"/>
  <c r="X24" i="30" s="1"/>
  <c r="F18" i="21"/>
  <c r="U51" i="21"/>
  <c r="U50" i="21"/>
  <c r="K19" i="21"/>
  <c r="U37" i="30" s="1"/>
  <c r="U20" i="30" s="1"/>
  <c r="O37" i="21"/>
  <c r="V37" i="21"/>
  <c r="N37" i="21"/>
  <c r="U37" i="21"/>
  <c r="M37" i="21"/>
  <c r="S37" i="21"/>
  <c r="R37" i="21"/>
  <c r="Q37" i="21"/>
  <c r="L37" i="21"/>
  <c r="P37" i="21"/>
  <c r="T37" i="21"/>
  <c r="V47" i="26"/>
  <c r="U11" i="48"/>
  <c r="T10" i="48"/>
  <c r="C19" i="21"/>
  <c r="M37" i="30" s="1"/>
  <c r="D20" i="21"/>
  <c r="N38" i="30" s="1"/>
  <c r="J24" i="21"/>
  <c r="J18" i="21"/>
  <c r="N19" i="21"/>
  <c r="C5" i="21"/>
  <c r="F16" i="5"/>
  <c r="F24" i="21"/>
  <c r="M192" i="65"/>
  <c r="AA12" i="48" s="1"/>
  <c r="Z12" i="48"/>
  <c r="O36" i="21"/>
  <c r="P36" i="21"/>
  <c r="J85" i="26"/>
  <c r="P34" i="59"/>
  <c r="F34" i="59"/>
  <c r="N17" i="40"/>
  <c r="AP78" i="20"/>
  <c r="AP79" i="20"/>
  <c r="AP77" i="20"/>
  <c r="AO77" i="20"/>
  <c r="AO78" i="20"/>
  <c r="AO79" i="20"/>
  <c r="H14" i="20"/>
  <c r="N14" i="59"/>
  <c r="N75" i="59" s="1"/>
  <c r="N76" i="59" s="1"/>
  <c r="I36" i="20"/>
  <c r="V12" i="20"/>
  <c r="U13" i="20"/>
  <c r="E83" i="21"/>
  <c r="J14" i="21"/>
  <c r="W14" i="21" s="1"/>
  <c r="O24" i="21"/>
  <c r="G20" i="21"/>
  <c r="Q38" i="30" s="1"/>
  <c r="I25" i="21"/>
  <c r="S36" i="30"/>
  <c r="E16" i="5"/>
  <c r="F82" i="21"/>
  <c r="D18" i="21"/>
  <c r="L19" i="21"/>
  <c r="V37" i="30" s="1"/>
  <c r="V20" i="30" s="1"/>
  <c r="U38" i="21"/>
  <c r="M38" i="21"/>
  <c r="T38" i="21"/>
  <c r="S38" i="21"/>
  <c r="Q38" i="21"/>
  <c r="P38" i="21"/>
  <c r="O38" i="21"/>
  <c r="R38" i="21"/>
  <c r="N38" i="21"/>
  <c r="V38" i="21"/>
  <c r="W47" i="26"/>
  <c r="G74" i="21"/>
  <c r="AB18" i="59"/>
  <c r="AB24" i="59" s="1"/>
  <c r="D80" i="21"/>
  <c r="P49" i="26"/>
  <c r="P17" i="26" s="1"/>
  <c r="D19" i="21"/>
  <c r="N37" i="30" s="1"/>
  <c r="D23" i="21"/>
  <c r="N41" i="30" s="1"/>
  <c r="M21" i="21"/>
  <c r="W45" i="30"/>
  <c r="G7" i="35" s="1"/>
  <c r="H9" i="55" s="1"/>
  <c r="K20" i="21"/>
  <c r="U38" i="30" s="1"/>
  <c r="P32" i="21"/>
  <c r="H32" i="21"/>
  <c r="O32" i="21"/>
  <c r="G32" i="21"/>
  <c r="V32" i="21"/>
  <c r="N32" i="21"/>
  <c r="T32" i="21"/>
  <c r="L32" i="21"/>
  <c r="S32" i="21"/>
  <c r="K32" i="21"/>
  <c r="R32" i="21"/>
  <c r="J32" i="21"/>
  <c r="M32" i="21"/>
  <c r="I32" i="21"/>
  <c r="U32" i="21"/>
  <c r="Q32" i="21"/>
  <c r="Q47" i="26"/>
  <c r="Q45" i="26" s="1"/>
  <c r="E75" i="21"/>
  <c r="T17" i="59"/>
  <c r="D15" i="35" s="1"/>
  <c r="E17" i="55" s="1"/>
  <c r="G76" i="21"/>
  <c r="AB45" i="30"/>
  <c r="L7" i="35" s="1"/>
  <c r="M9" i="55" s="1"/>
  <c r="W10" i="21"/>
  <c r="S36" i="21"/>
  <c r="Q36" i="21"/>
  <c r="F75" i="21"/>
  <c r="X17" i="59"/>
  <c r="H15" i="35" s="1"/>
  <c r="I17" i="55" s="1"/>
  <c r="Q14" i="59"/>
  <c r="Q75" i="59" s="1"/>
  <c r="Q76" i="59" s="1"/>
  <c r="W63" i="20"/>
  <c r="G3" i="35"/>
  <c r="H5" i="55" s="1"/>
  <c r="F19" i="25"/>
  <c r="F14" i="59" s="1"/>
  <c r="AD36" i="26"/>
  <c r="AE12" i="26" s="1"/>
  <c r="J35" i="26"/>
  <c r="AD35" i="26" s="1"/>
  <c r="L19" i="25"/>
  <c r="L14" i="59" s="1"/>
  <c r="L75" i="59" s="1"/>
  <c r="L76" i="59" s="1"/>
  <c r="U15" i="30"/>
  <c r="U13" i="30"/>
  <c r="U11" i="30" s="1"/>
  <c r="U46" i="30" s="1"/>
  <c r="E6" i="35" s="1"/>
  <c r="F8" i="55" s="1"/>
  <c r="V17" i="30"/>
  <c r="D4" i="35"/>
  <c r="E6" i="55" s="1"/>
  <c r="J17" i="40"/>
  <c r="S17" i="38"/>
  <c r="L16" i="38"/>
  <c r="U26" i="48" l="1"/>
  <c r="E22" i="35" s="1"/>
  <c r="F24" i="55" s="1"/>
  <c r="K56" i="48"/>
  <c r="K63" i="48" s="1"/>
  <c r="L35" i="48"/>
  <c r="L39" i="48" s="1"/>
  <c r="T21" i="48"/>
  <c r="D20" i="35" s="1"/>
  <c r="E22" i="55" s="1"/>
  <c r="E72" i="55" s="1"/>
  <c r="E5" i="35"/>
  <c r="F7" i="55" s="1"/>
  <c r="V35" i="20"/>
  <c r="F75" i="59"/>
  <c r="F76" i="59" s="1"/>
  <c r="F77" i="59"/>
  <c r="F25" i="59" s="1"/>
  <c r="U32" i="59"/>
  <c r="D18" i="35"/>
  <c r="E20" i="55" s="1"/>
  <c r="F58" i="55"/>
  <c r="F83" i="55"/>
  <c r="Y18" i="48"/>
  <c r="Z18" i="48" s="1"/>
  <c r="AA18" i="48" s="1"/>
  <c r="X17" i="48"/>
  <c r="H21" i="35" s="1"/>
  <c r="I23" i="55" s="1"/>
  <c r="E83" i="55"/>
  <c r="E58" i="55"/>
  <c r="V15" i="30"/>
  <c r="V13" i="30"/>
  <c r="V11" i="30" s="1"/>
  <c r="V46" i="30" s="1"/>
  <c r="F6" i="35" s="1"/>
  <c r="G8" i="55" s="1"/>
  <c r="W17" i="30"/>
  <c r="M84" i="55"/>
  <c r="M59" i="55"/>
  <c r="M22" i="21"/>
  <c r="W40" i="30" s="1"/>
  <c r="W39" i="30"/>
  <c r="T9" i="48"/>
  <c r="D19" i="35" s="1"/>
  <c r="E21" i="55" s="1"/>
  <c r="M49" i="62"/>
  <c r="H75" i="59"/>
  <c r="H76" i="59" s="1"/>
  <c r="H79" i="59" s="1"/>
  <c r="H23" i="59" s="1"/>
  <c r="H77" i="59"/>
  <c r="H25" i="59" s="1"/>
  <c r="J16" i="35"/>
  <c r="K18" i="55" s="1"/>
  <c r="C25" i="21"/>
  <c r="M43" i="30" s="1"/>
  <c r="M36" i="30"/>
  <c r="G22" i="21"/>
  <c r="Q40" i="30" s="1"/>
  <c r="Q39" i="30"/>
  <c r="F98" i="55"/>
  <c r="F73" i="55"/>
  <c r="AD17" i="26"/>
  <c r="G84" i="21"/>
  <c r="R15" i="21"/>
  <c r="G85" i="21" s="1"/>
  <c r="AB48" i="26"/>
  <c r="AB13" i="26"/>
  <c r="AB45" i="26"/>
  <c r="H28" i="21"/>
  <c r="N28" i="21"/>
  <c r="X93" i="26" s="1"/>
  <c r="K28" i="21"/>
  <c r="U93" i="26" s="1"/>
  <c r="I193" i="65"/>
  <c r="W16" i="48" s="1"/>
  <c r="V16" i="48"/>
  <c r="AC13" i="26"/>
  <c r="AC45" i="26"/>
  <c r="F15" i="21"/>
  <c r="D85" i="21" s="1"/>
  <c r="D84" i="21"/>
  <c r="P48" i="26"/>
  <c r="AD48" i="26" s="1"/>
  <c r="AE14" i="26" s="1"/>
  <c r="E64" i="55"/>
  <c r="E89" i="55"/>
  <c r="V11" i="48"/>
  <c r="U10" i="48"/>
  <c r="P36" i="30"/>
  <c r="J80" i="55"/>
  <c r="J55" i="55"/>
  <c r="K16" i="35"/>
  <c r="L18" i="55" s="1"/>
  <c r="O36" i="30"/>
  <c r="AT77" i="20"/>
  <c r="AT78" i="20"/>
  <c r="AT79" i="20"/>
  <c r="M36" i="20"/>
  <c r="M14" i="20"/>
  <c r="G75" i="59"/>
  <c r="G76" i="59" s="1"/>
  <c r="G77" i="59"/>
  <c r="G25" i="59" s="1"/>
  <c r="I194" i="65"/>
  <c r="W19" i="48" s="1"/>
  <c r="W17" i="48" s="1"/>
  <c r="G21" i="35" s="1"/>
  <c r="H23" i="55" s="1"/>
  <c r="V19" i="48"/>
  <c r="V17" i="48" s="1"/>
  <c r="F21" i="35" s="1"/>
  <c r="G23" i="55" s="1"/>
  <c r="Q95" i="26"/>
  <c r="G87" i="21"/>
  <c r="Y13" i="26"/>
  <c r="Y45" i="26"/>
  <c r="T28" i="21"/>
  <c r="V28" i="21"/>
  <c r="S28" i="21"/>
  <c r="AC93" i="26" s="1"/>
  <c r="Q40" i="26"/>
  <c r="P15" i="26"/>
  <c r="P88" i="26"/>
  <c r="P39" i="26"/>
  <c r="I6" i="50"/>
  <c r="P46" i="30"/>
  <c r="T44" i="38"/>
  <c r="P43" i="38"/>
  <c r="D87" i="21"/>
  <c r="U15" i="59"/>
  <c r="V10" i="33"/>
  <c r="E12" i="35"/>
  <c r="F14" i="55" s="1"/>
  <c r="I92" i="55"/>
  <c r="I67" i="55"/>
  <c r="E92" i="55"/>
  <c r="E67" i="55"/>
  <c r="E84" i="21"/>
  <c r="J15" i="21"/>
  <c r="E85" i="21" s="1"/>
  <c r="T48" i="26"/>
  <c r="T45" i="26" s="1"/>
  <c r="J64" i="20"/>
  <c r="J65" i="20" s="1"/>
  <c r="C2" i="50"/>
  <c r="W5" i="21"/>
  <c r="C75" i="21"/>
  <c r="M17" i="59"/>
  <c r="F4" i="50" s="1"/>
  <c r="V45" i="26"/>
  <c r="V13" i="26"/>
  <c r="X13" i="26"/>
  <c r="F74" i="21"/>
  <c r="X18" i="59"/>
  <c r="X24" i="59" s="1"/>
  <c r="T13" i="26"/>
  <c r="F80" i="55"/>
  <c r="F55" i="55"/>
  <c r="I80" i="55"/>
  <c r="I55" i="55"/>
  <c r="L80" i="55"/>
  <c r="L55" i="55"/>
  <c r="U63" i="59"/>
  <c r="T20" i="59"/>
  <c r="D75" i="59"/>
  <c r="D76" i="59" s="1"/>
  <c r="D79" i="59" s="1"/>
  <c r="D23" i="59" s="1"/>
  <c r="D77" i="59"/>
  <c r="D25" i="59" s="1"/>
  <c r="E34" i="59"/>
  <c r="W131" i="48"/>
  <c r="V25" i="48"/>
  <c r="G84" i="55"/>
  <c r="G59" i="55"/>
  <c r="K6" i="50"/>
  <c r="R46" i="30"/>
  <c r="L28" i="21"/>
  <c r="V93" i="26" s="1"/>
  <c r="G28" i="21"/>
  <c r="F6" i="50"/>
  <c r="M46" i="30"/>
  <c r="F22" i="21"/>
  <c r="P40" i="30" s="1"/>
  <c r="P39" i="30"/>
  <c r="D93" i="55"/>
  <c r="D68" i="55"/>
  <c r="M46" i="38"/>
  <c r="M47" i="38" s="1"/>
  <c r="T15" i="30"/>
  <c r="N16" i="38"/>
  <c r="D25" i="21"/>
  <c r="N36" i="30"/>
  <c r="E87" i="21"/>
  <c r="N25" i="21"/>
  <c r="X43" i="30" s="1"/>
  <c r="X37" i="30"/>
  <c r="X20" i="30" s="1"/>
  <c r="D95" i="55"/>
  <c r="D70" i="55"/>
  <c r="I84" i="55"/>
  <c r="I59" i="55"/>
  <c r="J86" i="48"/>
  <c r="K86" i="48" s="1"/>
  <c r="L86" i="48" s="1"/>
  <c r="G86" i="48"/>
  <c r="AA13" i="26"/>
  <c r="AA45" i="26"/>
  <c r="L34" i="48"/>
  <c r="K55" i="48"/>
  <c r="K62" i="48" s="1"/>
  <c r="K38" i="48"/>
  <c r="E16" i="35"/>
  <c r="F18" i="55" s="1"/>
  <c r="C85" i="21"/>
  <c r="C87" i="21" s="1"/>
  <c r="M75" i="59"/>
  <c r="M76" i="59" s="1"/>
  <c r="L22" i="21"/>
  <c r="V40" i="30" s="1"/>
  <c r="V39" i="30"/>
  <c r="R36" i="30"/>
  <c r="P28" i="21"/>
  <c r="Z93" i="26" s="1"/>
  <c r="O28" i="21"/>
  <c r="Y93" i="26" s="1"/>
  <c r="W14" i="25"/>
  <c r="W13" i="25" s="1"/>
  <c r="X12" i="25"/>
  <c r="M92" i="55"/>
  <c r="M67" i="55"/>
  <c r="M34" i="59"/>
  <c r="U14" i="48"/>
  <c r="V15" i="48"/>
  <c r="H6" i="50"/>
  <c r="O46" i="30"/>
  <c r="S18" i="38"/>
  <c r="L17" i="38"/>
  <c r="N17" i="38" s="1"/>
  <c r="E4" i="35"/>
  <c r="F6" i="55" s="1"/>
  <c r="J25" i="21"/>
  <c r="T36" i="30"/>
  <c r="I191" i="65"/>
  <c r="W27" i="59" s="1"/>
  <c r="V27" i="59"/>
  <c r="F84" i="55"/>
  <c r="F59" i="55"/>
  <c r="E75" i="59"/>
  <c r="E76" i="59" s="1"/>
  <c r="E77" i="59"/>
  <c r="E25" i="59" s="1"/>
  <c r="U13" i="48"/>
  <c r="V13" i="48" s="1"/>
  <c r="W13" i="48" s="1"/>
  <c r="M48" i="62"/>
  <c r="E74" i="21"/>
  <c r="T18" i="59"/>
  <c r="T24" i="59" s="1"/>
  <c r="G25" i="21"/>
  <c r="S33" i="38"/>
  <c r="O32" i="38"/>
  <c r="H22" i="21"/>
  <c r="R40" i="30" s="1"/>
  <c r="R39" i="30"/>
  <c r="E28" i="21"/>
  <c r="I28" i="21"/>
  <c r="G55" i="55"/>
  <c r="G80" i="55"/>
  <c r="E84" i="55"/>
  <c r="E59" i="55"/>
  <c r="M33" i="62"/>
  <c r="E11" i="55"/>
  <c r="L16" i="35"/>
  <c r="M18" i="55" s="1"/>
  <c r="W12" i="20"/>
  <c r="V13" i="20"/>
  <c r="N15" i="21"/>
  <c r="F85" i="21" s="1"/>
  <c r="F84" i="21"/>
  <c r="X48" i="26"/>
  <c r="X45" i="26" s="1"/>
  <c r="M80" i="55"/>
  <c r="M55" i="55"/>
  <c r="Y17" i="48"/>
  <c r="I21" i="35" s="1"/>
  <c r="J23" i="55" s="1"/>
  <c r="K22" i="21"/>
  <c r="U40" i="30" s="1"/>
  <c r="U39" i="30"/>
  <c r="J69" i="38"/>
  <c r="J66" i="38"/>
  <c r="K80" i="55"/>
  <c r="K55" i="55"/>
  <c r="F16" i="35"/>
  <c r="G18" i="55" s="1"/>
  <c r="F74" i="55"/>
  <c r="F99" i="55"/>
  <c r="Z13" i="26"/>
  <c r="Z45" i="26"/>
  <c r="D67" i="55"/>
  <c r="D92" i="55"/>
  <c r="U47" i="21"/>
  <c r="P13" i="30"/>
  <c r="P12" i="30" s="1"/>
  <c r="P15" i="30"/>
  <c r="D80" i="55"/>
  <c r="D55" i="55"/>
  <c r="N46" i="30"/>
  <c r="G6" i="50"/>
  <c r="M28" i="21"/>
  <c r="W93" i="26" s="1"/>
  <c r="Q28" i="21"/>
  <c r="AA93" i="26" s="1"/>
  <c r="S45" i="26"/>
  <c r="J22" i="21"/>
  <c r="T40" i="30" s="1"/>
  <c r="T39" i="30"/>
  <c r="O25" i="21"/>
  <c r="Y43" i="30" s="1"/>
  <c r="Y41" i="30"/>
  <c r="Y24" i="30" s="1"/>
  <c r="E22" i="21"/>
  <c r="O40" i="30" s="1"/>
  <c r="O39" i="30"/>
  <c r="U12" i="49"/>
  <c r="V12" i="49" s="1"/>
  <c r="W12" i="49" s="1"/>
  <c r="X12" i="49" s="1"/>
  <c r="E56" i="55"/>
  <c r="E81" i="55"/>
  <c r="H84" i="55"/>
  <c r="H59" i="55"/>
  <c r="F87" i="21"/>
  <c r="M194" i="65"/>
  <c r="AA19" i="48" s="1"/>
  <c r="AA17" i="48" s="1"/>
  <c r="K21" i="35" s="1"/>
  <c r="L23" i="55" s="1"/>
  <c r="Z19" i="48"/>
  <c r="Z17" i="48" s="1"/>
  <c r="J21" i="35" s="1"/>
  <c r="K23" i="55" s="1"/>
  <c r="R15" i="30"/>
  <c r="R13" i="30"/>
  <c r="R12" i="30" s="1"/>
  <c r="V129" i="48"/>
  <c r="U23" i="48"/>
  <c r="G16" i="35"/>
  <c r="H18" i="55" s="1"/>
  <c r="W132" i="48"/>
  <c r="V26" i="48"/>
  <c r="F22" i="35" s="1"/>
  <c r="G24" i="55" s="1"/>
  <c r="K25" i="21"/>
  <c r="U52" i="21"/>
  <c r="M52" i="21"/>
  <c r="M47" i="21" s="1"/>
  <c r="W95" i="26" s="1"/>
  <c r="T52" i="21"/>
  <c r="T47" i="21" s="1"/>
  <c r="L52" i="21"/>
  <c r="L47" i="21" s="1"/>
  <c r="V95" i="26" s="1"/>
  <c r="S52" i="21"/>
  <c r="S47" i="21" s="1"/>
  <c r="AC95" i="26" s="1"/>
  <c r="K52" i="21"/>
  <c r="K47" i="21" s="1"/>
  <c r="U95" i="26" s="1"/>
  <c r="Q52" i="21"/>
  <c r="Q47" i="21" s="1"/>
  <c r="AA95" i="26" s="1"/>
  <c r="I52" i="21"/>
  <c r="I47" i="21" s="1"/>
  <c r="S95" i="26" s="1"/>
  <c r="P52" i="21"/>
  <c r="P47" i="21" s="1"/>
  <c r="Z95" i="26" s="1"/>
  <c r="H52" i="21"/>
  <c r="H47" i="21" s="1"/>
  <c r="O52" i="21"/>
  <c r="O47" i="21" s="1"/>
  <c r="Y95" i="26" s="1"/>
  <c r="V52" i="21"/>
  <c r="V47" i="21" s="1"/>
  <c r="R52" i="21"/>
  <c r="R47" i="21" s="1"/>
  <c r="AB95" i="26" s="1"/>
  <c r="J52" i="21"/>
  <c r="D78" i="21"/>
  <c r="N52" i="21"/>
  <c r="L57" i="48"/>
  <c r="L40" i="48"/>
  <c r="D22" i="21"/>
  <c r="N40" i="30" s="1"/>
  <c r="N39" i="30"/>
  <c r="AD47" i="26"/>
  <c r="AE13" i="26" s="1"/>
  <c r="N45" i="26"/>
  <c r="U28" i="21"/>
  <c r="J28" i="21"/>
  <c r="T93" i="26" s="1"/>
  <c r="I75" i="59"/>
  <c r="I76" i="59" s="1"/>
  <c r="I77" i="59"/>
  <c r="W8" i="21"/>
  <c r="U14" i="59"/>
  <c r="V20" i="25"/>
  <c r="E9" i="35"/>
  <c r="F11" i="55" s="1"/>
  <c r="R45" i="26"/>
  <c r="L59" i="55"/>
  <c r="L84" i="55"/>
  <c r="N20" i="26"/>
  <c r="N90" i="26" s="1"/>
  <c r="N85" i="26" s="1"/>
  <c r="H55" i="55"/>
  <c r="H80" i="55"/>
  <c r="W45" i="26"/>
  <c r="W13" i="26"/>
  <c r="S43" i="30"/>
  <c r="I26" i="21"/>
  <c r="I16" i="35"/>
  <c r="J18" i="55" s="1"/>
  <c r="L25" i="21"/>
  <c r="V36" i="30"/>
  <c r="J6" i="50"/>
  <c r="Q46" i="30"/>
  <c r="E80" i="55"/>
  <c r="E55" i="55"/>
  <c r="O15" i="30"/>
  <c r="O13" i="30"/>
  <c r="O12" i="30" s="1"/>
  <c r="O45" i="26"/>
  <c r="AD49" i="26"/>
  <c r="AE16" i="26" s="1"/>
  <c r="N80" i="55"/>
  <c r="N55" i="55"/>
  <c r="E98" i="55"/>
  <c r="E73" i="55"/>
  <c r="J47" i="21"/>
  <c r="T95" i="26" s="1"/>
  <c r="N47" i="21"/>
  <c r="X95" i="26" s="1"/>
  <c r="N82" i="55"/>
  <c r="N57" i="55"/>
  <c r="P45" i="26"/>
  <c r="F28" i="21"/>
  <c r="R28" i="21"/>
  <c r="AB93" i="26" s="1"/>
  <c r="K71" i="38"/>
  <c r="K73" i="38"/>
  <c r="O85" i="26"/>
  <c r="M25" i="21"/>
  <c r="Q25" i="21"/>
  <c r="AA43" i="30" s="1"/>
  <c r="AA41" i="30"/>
  <c r="AA24" i="30" s="1"/>
  <c r="V130" i="48"/>
  <c r="U24" i="48"/>
  <c r="E97" i="55" l="1"/>
  <c r="L56" i="48"/>
  <c r="X13" i="48"/>
  <c r="Y13" i="48" s="1"/>
  <c r="Z13" i="48" s="1"/>
  <c r="AA13" i="48" s="1"/>
  <c r="U21" i="48"/>
  <c r="E20" i="35" s="1"/>
  <c r="F22" i="55" s="1"/>
  <c r="F97" i="55" s="1"/>
  <c r="D28" i="59"/>
  <c r="F28" i="59"/>
  <c r="F79" i="59"/>
  <c r="F23" i="59" s="1"/>
  <c r="W35" i="20"/>
  <c r="F5" i="35"/>
  <c r="G7" i="55" s="1"/>
  <c r="F82" i="55"/>
  <c r="F57" i="55"/>
  <c r="R95" i="26"/>
  <c r="W47" i="21"/>
  <c r="F61" i="55"/>
  <c r="F86" i="55"/>
  <c r="AD45" i="26"/>
  <c r="W129" i="48"/>
  <c r="V23" i="48"/>
  <c r="X12" i="20"/>
  <c r="W13" i="20"/>
  <c r="Q43" i="30"/>
  <c r="G26" i="21"/>
  <c r="E79" i="59"/>
  <c r="E23" i="59" s="1"/>
  <c r="F81" i="55"/>
  <c r="F56" i="55"/>
  <c r="W15" i="21"/>
  <c r="L55" i="48"/>
  <c r="L38" i="48"/>
  <c r="P20" i="26"/>
  <c r="P90" i="26" s="1"/>
  <c r="G79" i="59"/>
  <c r="G23" i="59" s="1"/>
  <c r="L93" i="55"/>
  <c r="L68" i="55"/>
  <c r="W43" i="30"/>
  <c r="M26" i="21"/>
  <c r="O64" i="20"/>
  <c r="O65" i="20" s="1"/>
  <c r="H2" i="50"/>
  <c r="V14" i="59"/>
  <c r="W20" i="25"/>
  <c r="F9" i="35"/>
  <c r="G11" i="55" s="1"/>
  <c r="U43" i="30"/>
  <c r="K26" i="21"/>
  <c r="J73" i="55"/>
  <c r="J98" i="55"/>
  <c r="M93" i="55"/>
  <c r="M68" i="55"/>
  <c r="R40" i="26"/>
  <c r="Q15" i="26"/>
  <c r="Q20" i="26" s="1"/>
  <c r="Q90" i="26" s="1"/>
  <c r="Q88" i="26"/>
  <c r="Q39" i="26"/>
  <c r="K93" i="55"/>
  <c r="K68" i="55"/>
  <c r="V43" i="30"/>
  <c r="L26" i="21"/>
  <c r="G74" i="55"/>
  <c r="G99" i="55"/>
  <c r="W25" i="48"/>
  <c r="X131" i="48"/>
  <c r="V63" i="59"/>
  <c r="U20" i="59"/>
  <c r="AD13" i="26"/>
  <c r="R43" i="38"/>
  <c r="V11" i="25"/>
  <c r="W130" i="48"/>
  <c r="V24" i="48"/>
  <c r="J93" i="55"/>
  <c r="J68" i="55"/>
  <c r="X132" i="48"/>
  <c r="W26" i="48"/>
  <c r="G22" i="35" s="1"/>
  <c r="H24" i="55" s="1"/>
  <c r="D16" i="35"/>
  <c r="E18" i="55" s="1"/>
  <c r="S19" i="38"/>
  <c r="L18" i="38"/>
  <c r="N18" i="38" s="1"/>
  <c r="H25" i="21"/>
  <c r="H16" i="35"/>
  <c r="I18" i="55" s="1"/>
  <c r="P44" i="38"/>
  <c r="R44" i="38" s="1"/>
  <c r="T45" i="38"/>
  <c r="P45" i="38" s="1"/>
  <c r="R45" i="38" s="1"/>
  <c r="R46" i="38" s="1"/>
  <c r="R47" i="38" s="1"/>
  <c r="H28" i="59"/>
  <c r="I73" i="55"/>
  <c r="I98" i="55"/>
  <c r="N64" i="20"/>
  <c r="N65" i="20" s="1"/>
  <c r="G2" i="50"/>
  <c r="J77" i="59"/>
  <c r="I25" i="59"/>
  <c r="K98" i="55"/>
  <c r="K73" i="55"/>
  <c r="E61" i="55"/>
  <c r="E86" i="55"/>
  <c r="F93" i="55"/>
  <c r="F68" i="55"/>
  <c r="W13" i="30"/>
  <c r="W11" i="30" s="1"/>
  <c r="W46" i="30" s="1"/>
  <c r="G6" i="35" s="1"/>
  <c r="H8" i="55" s="1"/>
  <c r="X17" i="30"/>
  <c r="W15" i="30"/>
  <c r="AB18" i="48"/>
  <c r="E95" i="55"/>
  <c r="E70" i="55"/>
  <c r="I79" i="59"/>
  <c r="I23" i="59" s="1"/>
  <c r="H68" i="55"/>
  <c r="H93" i="55"/>
  <c r="L98" i="55"/>
  <c r="L73" i="55"/>
  <c r="F24" i="49"/>
  <c r="F25" i="49" s="1"/>
  <c r="T32" i="49" s="1"/>
  <c r="J71" i="38"/>
  <c r="J73" i="38"/>
  <c r="X14" i="25"/>
  <c r="X13" i="25" s="1"/>
  <c r="Y12" i="25"/>
  <c r="G98" i="55"/>
  <c r="G73" i="55"/>
  <c r="F25" i="21"/>
  <c r="G58" i="55"/>
  <c r="G83" i="55"/>
  <c r="V32" i="59"/>
  <c r="E18" i="35"/>
  <c r="F20" i="55" s="1"/>
  <c r="Y12" i="49"/>
  <c r="Z12" i="49" s="1"/>
  <c r="AA12" i="49" s="1"/>
  <c r="AB12" i="49" s="1"/>
  <c r="AC12" i="49" s="1"/>
  <c r="G24" i="49"/>
  <c r="G25" i="49" s="1"/>
  <c r="Q32" i="38"/>
  <c r="AB13" i="48"/>
  <c r="AC13" i="48" s="1"/>
  <c r="AQ78" i="20"/>
  <c r="AQ79" i="20"/>
  <c r="AQ77" i="20"/>
  <c r="J36" i="20"/>
  <c r="J14" i="20"/>
  <c r="F89" i="55"/>
  <c r="F64" i="55"/>
  <c r="H98" i="55"/>
  <c r="H73" i="55"/>
  <c r="U9" i="48"/>
  <c r="E19" i="35" s="1"/>
  <c r="F21" i="55" s="1"/>
  <c r="E96" i="55"/>
  <c r="E71" i="55"/>
  <c r="G93" i="55"/>
  <c r="G68" i="55"/>
  <c r="F4" i="35"/>
  <c r="G6" i="55" s="1"/>
  <c r="O33" i="38"/>
  <c r="Q33" i="38" s="1"/>
  <c r="S34" i="38"/>
  <c r="E28" i="59"/>
  <c r="T43" i="30"/>
  <c r="J26" i="21"/>
  <c r="W15" i="48"/>
  <c r="V14" i="48"/>
  <c r="N43" i="30"/>
  <c r="D26" i="21"/>
  <c r="V15" i="59"/>
  <c r="W10" i="33"/>
  <c r="F12" i="35"/>
  <c r="G14" i="55" s="1"/>
  <c r="P85" i="26"/>
  <c r="G28" i="59"/>
  <c r="E25" i="21"/>
  <c r="V10" i="48"/>
  <c r="W11" i="48"/>
  <c r="F72" i="55" l="1"/>
  <c r="V9" i="48"/>
  <c r="F19" i="35" s="1"/>
  <c r="G21" i="55" s="1"/>
  <c r="G96" i="55" s="1"/>
  <c r="G82" i="55"/>
  <c r="G57" i="55"/>
  <c r="X35" i="20"/>
  <c r="G5" i="35"/>
  <c r="H7" i="55" s="1"/>
  <c r="X15" i="48"/>
  <c r="W14" i="48"/>
  <c r="W32" i="59"/>
  <c r="F18" i="35"/>
  <c r="G20" i="55" s="1"/>
  <c r="Y132" i="48"/>
  <c r="X26" i="48"/>
  <c r="H22" i="35" s="1"/>
  <c r="I24" i="55" s="1"/>
  <c r="AV77" i="20"/>
  <c r="AV78" i="20"/>
  <c r="AV79" i="20"/>
  <c r="O14" i="20"/>
  <c r="O36" i="20"/>
  <c r="P64" i="20"/>
  <c r="P65" i="20" s="1"/>
  <c r="I2" i="50"/>
  <c r="AU77" i="20"/>
  <c r="AU78" i="20"/>
  <c r="AU79" i="20"/>
  <c r="N14" i="20"/>
  <c r="N36" i="20"/>
  <c r="R43" i="30"/>
  <c r="H26" i="21"/>
  <c r="G4" i="35"/>
  <c r="H6" i="55" s="1"/>
  <c r="G89" i="55"/>
  <c r="G64" i="55"/>
  <c r="Q85" i="26"/>
  <c r="Y12" i="20"/>
  <c r="X13" i="20"/>
  <c r="W15" i="59"/>
  <c r="X10" i="33"/>
  <c r="G12" i="35"/>
  <c r="H14" i="55" s="1"/>
  <c r="F83" i="59"/>
  <c r="F84" i="59" s="1"/>
  <c r="P43" i="30"/>
  <c r="F26" i="21"/>
  <c r="T31" i="59"/>
  <c r="T33" i="49"/>
  <c r="U32" i="49"/>
  <c r="D11" i="35"/>
  <c r="AC18" i="48"/>
  <c r="AC17" i="48" s="1"/>
  <c r="M21" i="35" s="1"/>
  <c r="N23" i="55" s="1"/>
  <c r="AB17" i="48"/>
  <c r="L21" i="35" s="1"/>
  <c r="M23" i="55" s="1"/>
  <c r="S20" i="38"/>
  <c r="L20" i="38" s="1"/>
  <c r="N20" i="38" s="1"/>
  <c r="L19" i="38"/>
  <c r="N19" i="38" s="1"/>
  <c r="V20" i="59"/>
  <c r="W63" i="59"/>
  <c r="V21" i="48"/>
  <c r="F20" i="35" s="1"/>
  <c r="G22" i="55" s="1"/>
  <c r="G19" i="33"/>
  <c r="S35" i="38"/>
  <c r="O34" i="38"/>
  <c r="E93" i="55"/>
  <c r="E68" i="55"/>
  <c r="W24" i="48"/>
  <c r="X130" i="48"/>
  <c r="X25" i="48"/>
  <c r="Y131" i="48"/>
  <c r="S40" i="26"/>
  <c r="R15" i="26"/>
  <c r="R20" i="26" s="1"/>
  <c r="R90" i="26" s="1"/>
  <c r="R88" i="26"/>
  <c r="R39" i="26"/>
  <c r="G86" i="55"/>
  <c r="G61" i="55"/>
  <c r="W23" i="48"/>
  <c r="X129" i="48"/>
  <c r="W10" i="48"/>
  <c r="X11" i="48"/>
  <c r="F96" i="55"/>
  <c r="F71" i="55"/>
  <c r="G26" i="49"/>
  <c r="X13" i="30"/>
  <c r="X11" i="30" s="1"/>
  <c r="X46" i="30" s="1"/>
  <c r="H6" i="35" s="1"/>
  <c r="I8" i="55" s="1"/>
  <c r="Y17" i="30"/>
  <c r="X15" i="30"/>
  <c r="L46" i="38"/>
  <c r="L47" i="38" s="1"/>
  <c r="W14" i="59"/>
  <c r="X20" i="25"/>
  <c r="G9" i="35"/>
  <c r="H11" i="55" s="1"/>
  <c r="W11" i="25"/>
  <c r="G71" i="55"/>
  <c r="G81" i="55"/>
  <c r="G56" i="55"/>
  <c r="Z12" i="25"/>
  <c r="Y14" i="25"/>
  <c r="Y13" i="25" s="1"/>
  <c r="H83" i="55"/>
  <c r="H58" i="55"/>
  <c r="I28" i="59"/>
  <c r="F86" i="59"/>
  <c r="O43" i="30"/>
  <c r="E26" i="21"/>
  <c r="F95" i="55"/>
  <c r="F70" i="55"/>
  <c r="J25" i="59"/>
  <c r="K77" i="59"/>
  <c r="J79" i="59"/>
  <c r="J23" i="59" s="1"/>
  <c r="I68" i="55"/>
  <c r="I93" i="55"/>
  <c r="H99" i="55"/>
  <c r="H74" i="55"/>
  <c r="P46" i="38"/>
  <c r="P47" i="38" s="1"/>
  <c r="W21" i="48" l="1"/>
  <c r="G20" i="35" s="1"/>
  <c r="H22" i="55" s="1"/>
  <c r="W9" i="48"/>
  <c r="G19" i="35" s="1"/>
  <c r="H21" i="55" s="1"/>
  <c r="H71" i="55" s="1"/>
  <c r="H5" i="35"/>
  <c r="I7" i="55" s="1"/>
  <c r="Y35" i="20"/>
  <c r="H82" i="55"/>
  <c r="H57" i="55"/>
  <c r="H86" i="55"/>
  <c r="H61" i="55"/>
  <c r="I83" i="55"/>
  <c r="I58" i="55"/>
  <c r="X24" i="48"/>
  <c r="Y130" i="48"/>
  <c r="G97" i="55"/>
  <c r="G72" i="55"/>
  <c r="U33" i="49"/>
  <c r="V32" i="49"/>
  <c r="U31" i="59"/>
  <c r="E11" i="35"/>
  <c r="F13" i="55" s="1"/>
  <c r="X15" i="59"/>
  <c r="Y10" i="33"/>
  <c r="H12" i="35"/>
  <c r="I14" i="55" s="1"/>
  <c r="H81" i="55"/>
  <c r="H56" i="55"/>
  <c r="Z132" i="48"/>
  <c r="Y26" i="48"/>
  <c r="I22" i="35" s="1"/>
  <c r="J24" i="55" s="1"/>
  <c r="AA12" i="25"/>
  <c r="Z14" i="25"/>
  <c r="Z13" i="25" s="1"/>
  <c r="X14" i="59"/>
  <c r="Y20" i="25"/>
  <c r="H9" i="35"/>
  <c r="I11" i="55" s="1"/>
  <c r="X63" i="59"/>
  <c r="W20" i="59"/>
  <c r="T10" i="26"/>
  <c r="D10" i="35"/>
  <c r="E12" i="55" s="1"/>
  <c r="AW77" i="20"/>
  <c r="AW78" i="20"/>
  <c r="AW79" i="20"/>
  <c r="P14" i="20"/>
  <c r="P36" i="20"/>
  <c r="G95" i="55"/>
  <c r="G70" i="55"/>
  <c r="H4" i="35"/>
  <c r="I6" i="55" s="1"/>
  <c r="X32" i="59"/>
  <c r="G18" i="35"/>
  <c r="H20" i="55" s="1"/>
  <c r="R85" i="26"/>
  <c r="T34" i="49"/>
  <c r="Z12" i="20"/>
  <c r="Y13" i="20"/>
  <c r="L77" i="59"/>
  <c r="K25" i="59"/>
  <c r="K28" i="59" s="1"/>
  <c r="D3" i="50" s="1"/>
  <c r="K79" i="59"/>
  <c r="K23" i="59" s="1"/>
  <c r="X10" i="48"/>
  <c r="Y11" i="48"/>
  <c r="N46" i="38"/>
  <c r="N47" i="38" s="1"/>
  <c r="Q64" i="20"/>
  <c r="Q65" i="20" s="1"/>
  <c r="J2" i="50"/>
  <c r="Y15" i="48"/>
  <c r="X14" i="48"/>
  <c r="J28" i="59"/>
  <c r="C3" i="50" s="1"/>
  <c r="H96" i="55"/>
  <c r="T40" i="26"/>
  <c r="S15" i="26"/>
  <c r="S88" i="26"/>
  <c r="S39" i="26"/>
  <c r="Q34" i="38"/>
  <c r="M98" i="55"/>
  <c r="M73" i="55"/>
  <c r="X23" i="48"/>
  <c r="X21" i="48" s="1"/>
  <c r="H20" i="35" s="1"/>
  <c r="I22" i="55" s="1"/>
  <c r="Y129" i="48"/>
  <c r="Z131" i="48"/>
  <c r="Y25" i="48"/>
  <c r="S36" i="38"/>
  <c r="O36" i="38" s="1"/>
  <c r="Q36" i="38" s="1"/>
  <c r="O35" i="38"/>
  <c r="Q35" i="38" s="1"/>
  <c r="N98" i="55"/>
  <c r="N73" i="55"/>
  <c r="Z17" i="30"/>
  <c r="Y15" i="30"/>
  <c r="Y13" i="30"/>
  <c r="Y11" i="30" s="1"/>
  <c r="Y46" i="30" s="1"/>
  <c r="I6" i="35" s="1"/>
  <c r="J8" i="55" s="1"/>
  <c r="H97" i="55"/>
  <c r="H72" i="55"/>
  <c r="M32" i="62"/>
  <c r="E13" i="55"/>
  <c r="H89" i="55"/>
  <c r="H64" i="55"/>
  <c r="I99" i="55"/>
  <c r="I74" i="55"/>
  <c r="X11" i="25"/>
  <c r="X9" i="48" l="1"/>
  <c r="H19" i="35" s="1"/>
  <c r="I21" i="55" s="1"/>
  <c r="I96" i="55" s="1"/>
  <c r="Z35" i="20"/>
  <c r="I5" i="35"/>
  <c r="J7" i="55" s="1"/>
  <c r="I82" i="55"/>
  <c r="I57" i="55"/>
  <c r="J83" i="55"/>
  <c r="J58" i="55"/>
  <c r="AA131" i="48"/>
  <c r="Z25" i="48"/>
  <c r="J99" i="55"/>
  <c r="J74" i="55"/>
  <c r="Y15" i="59"/>
  <c r="Z10" i="33"/>
  <c r="I12" i="35"/>
  <c r="J14" i="55" s="1"/>
  <c r="Z129" i="48"/>
  <c r="Y23" i="48"/>
  <c r="Y63" i="59"/>
  <c r="X20" i="59"/>
  <c r="AA132" i="48"/>
  <c r="Z26" i="48"/>
  <c r="J22" i="35" s="1"/>
  <c r="K24" i="55" s="1"/>
  <c r="Z130" i="48"/>
  <c r="Y24" i="48"/>
  <c r="AA17" i="30"/>
  <c r="Z15" i="30"/>
  <c r="Z13" i="30"/>
  <c r="Z11" i="30" s="1"/>
  <c r="Z46" i="30" s="1"/>
  <c r="J6" i="35" s="1"/>
  <c r="K8" i="55" s="1"/>
  <c r="I97" i="55"/>
  <c r="I72" i="55"/>
  <c r="S20" i="26"/>
  <c r="H95" i="55"/>
  <c r="H70" i="55"/>
  <c r="I86" i="55"/>
  <c r="I61" i="55"/>
  <c r="F88" i="55"/>
  <c r="F63" i="55"/>
  <c r="T88" i="26"/>
  <c r="T39" i="26"/>
  <c r="U40" i="26"/>
  <c r="T15" i="26"/>
  <c r="Y14" i="48"/>
  <c r="Z15" i="48"/>
  <c r="M77" i="59"/>
  <c r="L25" i="59"/>
  <c r="L79" i="59"/>
  <c r="L23" i="59" s="1"/>
  <c r="Y32" i="59"/>
  <c r="H18" i="35"/>
  <c r="I20" i="55" s="1"/>
  <c r="Y14" i="59"/>
  <c r="I9" i="35"/>
  <c r="J11" i="55" s="1"/>
  <c r="Z20" i="25"/>
  <c r="E88" i="55"/>
  <c r="E63" i="55"/>
  <c r="I4" i="35"/>
  <c r="J6" i="55" s="1"/>
  <c r="I89" i="55"/>
  <c r="I64" i="55"/>
  <c r="V31" i="59"/>
  <c r="W32" i="49"/>
  <c r="V33" i="49"/>
  <c r="F11" i="35"/>
  <c r="G13" i="55" s="1"/>
  <c r="O46" i="38"/>
  <c r="O47" i="38" s="1"/>
  <c r="AX78" i="20"/>
  <c r="AX79" i="20"/>
  <c r="AX77" i="20"/>
  <c r="Q36" i="20"/>
  <c r="Q14" i="20"/>
  <c r="Z13" i="20"/>
  <c r="AA12" i="20"/>
  <c r="I81" i="55"/>
  <c r="I56" i="55"/>
  <c r="U10" i="26"/>
  <c r="E10" i="35"/>
  <c r="F12" i="55" s="1"/>
  <c r="Q46" i="38"/>
  <c r="Q47" i="38" s="1"/>
  <c r="E87" i="55"/>
  <c r="E62" i="55"/>
  <c r="U34" i="49"/>
  <c r="Z11" i="48"/>
  <c r="Y10" i="48"/>
  <c r="R64" i="20"/>
  <c r="R65" i="20" s="1"/>
  <c r="K2" i="50"/>
  <c r="AB12" i="25"/>
  <c r="AA14" i="25"/>
  <c r="AA13" i="25" s="1"/>
  <c r="Y11" i="25"/>
  <c r="I71" i="55" l="1"/>
  <c r="Y9" i="48"/>
  <c r="I19" i="35" s="1"/>
  <c r="J21" i="55" s="1"/>
  <c r="Y21" i="48"/>
  <c r="I20" i="35" s="1"/>
  <c r="J22" i="55" s="1"/>
  <c r="J72" i="55" s="1"/>
  <c r="J57" i="55"/>
  <c r="J82" i="55"/>
  <c r="AA35" i="20"/>
  <c r="J5" i="35"/>
  <c r="K7" i="55" s="1"/>
  <c r="AY78" i="20"/>
  <c r="AY79" i="20"/>
  <c r="AY77" i="20"/>
  <c r="R36" i="20"/>
  <c r="R14" i="20"/>
  <c r="AA13" i="20"/>
  <c r="AB12" i="20"/>
  <c r="G63" i="55"/>
  <c r="G88" i="55"/>
  <c r="J81" i="55"/>
  <c r="J56" i="55"/>
  <c r="Z32" i="59"/>
  <c r="I18" i="35"/>
  <c r="J20" i="55" s="1"/>
  <c r="AA130" i="48"/>
  <c r="Z24" i="48"/>
  <c r="J96" i="55"/>
  <c r="J71" i="55"/>
  <c r="J4" i="35"/>
  <c r="K6" i="55" s="1"/>
  <c r="V10" i="26"/>
  <c r="F10" i="35"/>
  <c r="G12" i="55" s="1"/>
  <c r="S90" i="26"/>
  <c r="S85" i="26" s="1"/>
  <c r="T20" i="26"/>
  <c r="K99" i="55"/>
  <c r="K74" i="55"/>
  <c r="J97" i="55"/>
  <c r="AA11" i="48"/>
  <c r="Z10" i="48"/>
  <c r="W31" i="59"/>
  <c r="X32" i="49"/>
  <c r="W33" i="49"/>
  <c r="G11" i="35"/>
  <c r="H13" i="55" s="1"/>
  <c r="L28" i="59"/>
  <c r="E3" i="50" s="1"/>
  <c r="AB132" i="48"/>
  <c r="AA26" i="48"/>
  <c r="K22" i="35" s="1"/>
  <c r="L24" i="55" s="1"/>
  <c r="AA129" i="48"/>
  <c r="Z23" i="48"/>
  <c r="F87" i="55"/>
  <c r="F62" i="55"/>
  <c r="N77" i="59"/>
  <c r="M25" i="59"/>
  <c r="M79" i="59"/>
  <c r="M23" i="59" s="1"/>
  <c r="J89" i="55"/>
  <c r="J64" i="55"/>
  <c r="AB131" i="48"/>
  <c r="AA25" i="48"/>
  <c r="V34" i="49"/>
  <c r="Z14" i="59"/>
  <c r="AA20" i="25"/>
  <c r="J9" i="35"/>
  <c r="K11" i="55" s="1"/>
  <c r="Z14" i="48"/>
  <c r="AA15" i="48"/>
  <c r="K83" i="55"/>
  <c r="K58" i="55"/>
  <c r="Z63" i="59"/>
  <c r="Y20" i="59"/>
  <c r="AA10" i="33"/>
  <c r="Z15" i="59"/>
  <c r="J12" i="35"/>
  <c r="K14" i="55" s="1"/>
  <c r="J86" i="55"/>
  <c r="J61" i="55"/>
  <c r="AC12" i="25"/>
  <c r="AB14" i="25"/>
  <c r="AB13" i="25" s="1"/>
  <c r="T11" i="26"/>
  <c r="T9" i="26" s="1"/>
  <c r="AB17" i="30"/>
  <c r="AA15" i="30"/>
  <c r="AA13" i="30"/>
  <c r="AA11" i="30" s="1"/>
  <c r="AA46" i="30" s="1"/>
  <c r="K6" i="35" s="1"/>
  <c r="L8" i="55" s="1"/>
  <c r="I95" i="55"/>
  <c r="I70" i="55"/>
  <c r="U39" i="26"/>
  <c r="V40" i="26"/>
  <c r="U15" i="26"/>
  <c r="U88" i="26"/>
  <c r="Z11" i="25"/>
  <c r="Z21" i="48" l="1"/>
  <c r="J20" i="35" s="1"/>
  <c r="K22" i="55" s="1"/>
  <c r="Z9" i="48"/>
  <c r="J19" i="35" s="1"/>
  <c r="K21" i="55" s="1"/>
  <c r="K96" i="55" s="1"/>
  <c r="M28" i="59"/>
  <c r="F3" i="50" s="1"/>
  <c r="K57" i="55"/>
  <c r="K82" i="55"/>
  <c r="AB35" i="20"/>
  <c r="L5" i="35" s="1"/>
  <c r="M7" i="55" s="1"/>
  <c r="M82" i="55" s="1"/>
  <c r="K5" i="35"/>
  <c r="L7" i="55" s="1"/>
  <c r="AA15" i="59"/>
  <c r="AB10" i="33"/>
  <c r="K12" i="35"/>
  <c r="L14" i="55" s="1"/>
  <c r="H19" i="33"/>
  <c r="G86" i="59"/>
  <c r="G83" i="59"/>
  <c r="G84" i="59" s="1"/>
  <c r="AB20" i="25"/>
  <c r="AA14" i="59"/>
  <c r="K9" i="35"/>
  <c r="L11" i="55" s="1"/>
  <c r="AC132" i="48"/>
  <c r="AC26" i="48" s="1"/>
  <c r="M22" i="35" s="1"/>
  <c r="N24" i="55" s="1"/>
  <c r="AB26" i="48"/>
  <c r="L22" i="35" s="1"/>
  <c r="M24" i="55" s="1"/>
  <c r="AB130" i="48"/>
  <c r="AA24" i="48"/>
  <c r="K4" i="35"/>
  <c r="L6" i="55" s="1"/>
  <c r="AB11" i="48"/>
  <c r="AA10" i="48"/>
  <c r="G87" i="55"/>
  <c r="G62" i="55"/>
  <c r="J70" i="55"/>
  <c r="J95" i="55"/>
  <c r="L83" i="55"/>
  <c r="L58" i="55"/>
  <c r="AA63" i="59"/>
  <c r="Z20" i="59"/>
  <c r="O77" i="59"/>
  <c r="N25" i="59"/>
  <c r="N79" i="59"/>
  <c r="N23" i="59" s="1"/>
  <c r="AA32" i="59"/>
  <c r="J18" i="35"/>
  <c r="K20" i="55" s="1"/>
  <c r="H63" i="55"/>
  <c r="H88" i="55"/>
  <c r="K81" i="55"/>
  <c r="K56" i="55"/>
  <c r="V39" i="26"/>
  <c r="W40" i="26"/>
  <c r="V15" i="26"/>
  <c r="V88" i="26"/>
  <c r="AB15" i="30"/>
  <c r="AB13" i="30"/>
  <c r="AB11" i="30" s="1"/>
  <c r="AB46" i="30" s="1"/>
  <c r="L6" i="35" s="1"/>
  <c r="M8" i="55" s="1"/>
  <c r="AC17" i="30"/>
  <c r="W10" i="26"/>
  <c r="G10" i="35"/>
  <c r="H12" i="55" s="1"/>
  <c r="AA14" i="48"/>
  <c r="AB15" i="48"/>
  <c r="AC131" i="48"/>
  <c r="AC25" i="48" s="1"/>
  <c r="AB25" i="48"/>
  <c r="K97" i="55"/>
  <c r="K72" i="55"/>
  <c r="X31" i="59"/>
  <c r="X33" i="49"/>
  <c r="X34" i="49" s="1"/>
  <c r="H11" i="35"/>
  <c r="I13" i="55" s="1"/>
  <c r="Y32" i="49"/>
  <c r="K89" i="55"/>
  <c r="K64" i="55"/>
  <c r="AA23" i="48"/>
  <c r="AB129" i="48"/>
  <c r="T90" i="26"/>
  <c r="T85" i="26" s="1"/>
  <c r="U20" i="26"/>
  <c r="U11" i="26" s="1"/>
  <c r="U9" i="26" s="1"/>
  <c r="AC14" i="25"/>
  <c r="AC13" i="25" s="1"/>
  <c r="K86" i="55"/>
  <c r="K61" i="55"/>
  <c r="L99" i="55"/>
  <c r="L74" i="55"/>
  <c r="W34" i="49"/>
  <c r="S64" i="20"/>
  <c r="S65" i="20" s="1"/>
  <c r="L2" i="50"/>
  <c r="C2" i="35"/>
  <c r="D4" i="55" s="1"/>
  <c r="AB13" i="20"/>
  <c r="AC12" i="20"/>
  <c r="AC13" i="20" s="1"/>
  <c r="AA11" i="25"/>
  <c r="AA21" i="48" l="1"/>
  <c r="K20" i="35" s="1"/>
  <c r="L22" i="55" s="1"/>
  <c r="K71" i="55"/>
  <c r="N28" i="59"/>
  <c r="G3" i="50" s="1"/>
  <c r="M57" i="55"/>
  <c r="L82" i="55"/>
  <c r="L57" i="55"/>
  <c r="I88" i="55"/>
  <c r="I63" i="55"/>
  <c r="AC15" i="48"/>
  <c r="AC14" i="48" s="1"/>
  <c r="AB14" i="48"/>
  <c r="AA9" i="48"/>
  <c r="K19" i="35" s="1"/>
  <c r="L21" i="55" s="1"/>
  <c r="AB63" i="59"/>
  <c r="AA20" i="59"/>
  <c r="AC11" i="48"/>
  <c r="AC10" i="48" s="1"/>
  <c r="AB10" i="48"/>
  <c r="M99" i="55"/>
  <c r="M74" i="55"/>
  <c r="L64" i="55"/>
  <c r="L89" i="55"/>
  <c r="K70" i="55"/>
  <c r="K95" i="55"/>
  <c r="T64" i="20"/>
  <c r="T65" i="20" s="1"/>
  <c r="D2" i="35"/>
  <c r="E4" i="55" s="1"/>
  <c r="H87" i="55"/>
  <c r="H62" i="55"/>
  <c r="AB32" i="59"/>
  <c r="K18" i="35"/>
  <c r="L20" i="55" s="1"/>
  <c r="N74" i="55"/>
  <c r="N99" i="55"/>
  <c r="AB15" i="59"/>
  <c r="AC10" i="33"/>
  <c r="I19" i="33" s="1"/>
  <c r="L12" i="35"/>
  <c r="M14" i="55" s="1"/>
  <c r="AZ79" i="20"/>
  <c r="AZ77" i="20"/>
  <c r="S14" i="20"/>
  <c r="AZ78" i="20"/>
  <c r="S36" i="20"/>
  <c r="X40" i="26"/>
  <c r="W15" i="26"/>
  <c r="W88" i="26"/>
  <c r="W39" i="26"/>
  <c r="AC129" i="48"/>
  <c r="AC23" i="48" s="1"/>
  <c r="AB23" i="48"/>
  <c r="L56" i="55"/>
  <c r="L81" i="55"/>
  <c r="L86" i="55"/>
  <c r="L61" i="55"/>
  <c r="X10" i="26"/>
  <c r="H10" i="35"/>
  <c r="I12" i="55" s="1"/>
  <c r="L72" i="55"/>
  <c r="L97" i="55"/>
  <c r="AC15" i="30"/>
  <c r="AC13" i="30"/>
  <c r="AC11" i="30" s="1"/>
  <c r="AC46" i="30" s="1"/>
  <c r="M6" i="35" s="1"/>
  <c r="N8" i="55" s="1"/>
  <c r="M4" i="35"/>
  <c r="N6" i="55" s="1"/>
  <c r="M83" i="55"/>
  <c r="M58" i="55"/>
  <c r="AB14" i="59"/>
  <c r="AC20" i="25"/>
  <c r="L9" i="35"/>
  <c r="M11" i="55" s="1"/>
  <c r="L4" i="35"/>
  <c r="M6" i="55" s="1"/>
  <c r="AC130" i="48"/>
  <c r="AC24" i="48" s="1"/>
  <c r="AB24" i="48"/>
  <c r="AB11" i="25"/>
  <c r="U90" i="26"/>
  <c r="U85" i="26" s="1"/>
  <c r="V20" i="26"/>
  <c r="V11" i="26" s="1"/>
  <c r="V9" i="26" s="1"/>
  <c r="D79" i="55"/>
  <c r="D54" i="55"/>
  <c r="Y31" i="59"/>
  <c r="Y33" i="49"/>
  <c r="Z32" i="49"/>
  <c r="I11" i="35"/>
  <c r="J13" i="55" s="1"/>
  <c r="P77" i="59"/>
  <c r="O25" i="59"/>
  <c r="O79" i="59"/>
  <c r="O23" i="59" s="1"/>
  <c r="AB9" i="48" l="1"/>
  <c r="L19" i="35" s="1"/>
  <c r="M21" i="55" s="1"/>
  <c r="M96" i="55" s="1"/>
  <c r="AC9" i="48"/>
  <c r="M19" i="35" s="1"/>
  <c r="N21" i="55" s="1"/>
  <c r="N96" i="55" s="1"/>
  <c r="Y10" i="26"/>
  <c r="I10" i="35"/>
  <c r="J12" i="55" s="1"/>
  <c r="I87" i="55"/>
  <c r="I62" i="55"/>
  <c r="AC21" i="48"/>
  <c r="M20" i="35" s="1"/>
  <c r="N22" i="55" s="1"/>
  <c r="L95" i="55"/>
  <c r="L70" i="55"/>
  <c r="L96" i="55"/>
  <c r="L71" i="55"/>
  <c r="Y34" i="49"/>
  <c r="N81" i="55"/>
  <c r="N56" i="55"/>
  <c r="AC32" i="59"/>
  <c r="M18" i="35" s="1"/>
  <c r="N20" i="55" s="1"/>
  <c r="L18" i="35"/>
  <c r="M20" i="55" s="1"/>
  <c r="M56" i="55"/>
  <c r="M81" i="55"/>
  <c r="M64" i="55"/>
  <c r="M89" i="55"/>
  <c r="O28" i="59"/>
  <c r="H3" i="50" s="1"/>
  <c r="D87" i="59"/>
  <c r="Q77" i="59"/>
  <c r="P25" i="59"/>
  <c r="P79" i="59"/>
  <c r="P23" i="59" s="1"/>
  <c r="N58" i="55"/>
  <c r="N83" i="55"/>
  <c r="X15" i="26"/>
  <c r="X88" i="26"/>
  <c r="X39" i="26"/>
  <c r="AD39" i="26" s="1"/>
  <c r="AD40" i="26"/>
  <c r="AE15" i="26" s="1"/>
  <c r="AC15" i="59"/>
  <c r="M12" i="35"/>
  <c r="N14" i="55" s="1"/>
  <c r="E79" i="55"/>
  <c r="E54" i="55"/>
  <c r="BA79" i="20"/>
  <c r="BA77" i="20"/>
  <c r="BA78" i="20"/>
  <c r="T36" i="20"/>
  <c r="T14" i="20"/>
  <c r="N71" i="55"/>
  <c r="M61" i="55"/>
  <c r="M86" i="55"/>
  <c r="AC14" i="59"/>
  <c r="M9" i="35"/>
  <c r="N11" i="55" s="1"/>
  <c r="J88" i="55"/>
  <c r="J63" i="55"/>
  <c r="U64" i="20"/>
  <c r="U65" i="20" s="1"/>
  <c r="E2" i="35"/>
  <c r="F4" i="55" s="1"/>
  <c r="W20" i="26"/>
  <c r="V90" i="26"/>
  <c r="V85" i="26" s="1"/>
  <c r="Z31" i="59"/>
  <c r="Z33" i="49"/>
  <c r="AA32" i="49"/>
  <c r="J11" i="35"/>
  <c r="K13" i="55" s="1"/>
  <c r="AB21" i="48"/>
  <c r="L20" i="35" s="1"/>
  <c r="M22" i="55" s="1"/>
  <c r="AC63" i="59"/>
  <c r="AC20" i="59" s="1"/>
  <c r="AB20" i="59"/>
  <c r="AC11" i="25"/>
  <c r="M71" i="55" l="1"/>
  <c r="V64" i="20"/>
  <c r="V65" i="20" s="1"/>
  <c r="F2" i="35"/>
  <c r="G4" i="55" s="1"/>
  <c r="R77" i="59"/>
  <c r="Q25" i="59"/>
  <c r="Q79" i="59"/>
  <c r="Q23" i="59" s="1"/>
  <c r="X20" i="26"/>
  <c r="W90" i="26"/>
  <c r="W85" i="26" s="1"/>
  <c r="W11" i="26"/>
  <c r="W9" i="26" s="1"/>
  <c r="M95" i="55"/>
  <c r="M70" i="55"/>
  <c r="N95" i="55"/>
  <c r="N70" i="55"/>
  <c r="N97" i="55"/>
  <c r="N72" i="55"/>
  <c r="K88" i="55"/>
  <c r="K63" i="55"/>
  <c r="BB77" i="20"/>
  <c r="BB78" i="20"/>
  <c r="BB79" i="20"/>
  <c r="U36" i="20"/>
  <c r="U14" i="20"/>
  <c r="Z10" i="26"/>
  <c r="J10" i="35"/>
  <c r="K12" i="55" s="1"/>
  <c r="F79" i="55"/>
  <c r="F54" i="55"/>
  <c r="AD15" i="26"/>
  <c r="Z34" i="49"/>
  <c r="N89" i="55"/>
  <c r="N64" i="55"/>
  <c r="J62" i="55"/>
  <c r="J87" i="55"/>
  <c r="M72" i="55"/>
  <c r="M97" i="55"/>
  <c r="AA31" i="59"/>
  <c r="AA33" i="49"/>
  <c r="AB32" i="49"/>
  <c r="K11" i="35"/>
  <c r="L13" i="55" s="1"/>
  <c r="N61" i="55"/>
  <c r="N86" i="55"/>
  <c r="P28" i="59"/>
  <c r="I3" i="50" s="1"/>
  <c r="Y20" i="26" l="1"/>
  <c r="X90" i="26"/>
  <c r="X85" i="26" s="1"/>
  <c r="Q28" i="59"/>
  <c r="J3" i="50" s="1"/>
  <c r="X11" i="26"/>
  <c r="X9" i="26" s="1"/>
  <c r="S77" i="59"/>
  <c r="R25" i="59"/>
  <c r="R79" i="59"/>
  <c r="R23" i="59" s="1"/>
  <c r="AA10" i="26"/>
  <c r="K10" i="35"/>
  <c r="L12" i="55" s="1"/>
  <c r="AA34" i="49"/>
  <c r="G79" i="55"/>
  <c r="G54" i="55"/>
  <c r="L88" i="55"/>
  <c r="L63" i="55"/>
  <c r="K62" i="55"/>
  <c r="K87" i="55"/>
  <c r="V36" i="20"/>
  <c r="V14" i="20"/>
  <c r="AB33" i="49"/>
  <c r="AC32" i="49"/>
  <c r="AB31" i="59"/>
  <c r="L11" i="35"/>
  <c r="M13" i="55" s="1"/>
  <c r="W64" i="20"/>
  <c r="W65" i="20" s="1"/>
  <c r="G2" i="35"/>
  <c r="H4" i="55" s="1"/>
  <c r="R28" i="59" l="1"/>
  <c r="K3" i="50" s="1"/>
  <c r="AC33" i="49"/>
  <c r="AC31" i="59"/>
  <c r="M11" i="35"/>
  <c r="N13" i="55" s="1"/>
  <c r="T77" i="59"/>
  <c r="S25" i="59"/>
  <c r="E87" i="59" s="1"/>
  <c r="S79" i="59"/>
  <c r="M88" i="55"/>
  <c r="M63" i="55"/>
  <c r="AB10" i="26"/>
  <c r="L10" i="35"/>
  <c r="M12" i="55" s="1"/>
  <c r="AB34" i="49"/>
  <c r="H79" i="55"/>
  <c r="H54" i="55"/>
  <c r="X64" i="20"/>
  <c r="X65" i="20" s="1"/>
  <c r="H2" i="35"/>
  <c r="I4" i="55" s="1"/>
  <c r="W36" i="20"/>
  <c r="W14" i="20"/>
  <c r="L87" i="55"/>
  <c r="L62" i="55"/>
  <c r="Z20" i="26"/>
  <c r="Y90" i="26"/>
  <c r="Y85" i="26" s="1"/>
  <c r="Y11" i="26"/>
  <c r="Y9" i="26" s="1"/>
  <c r="N88" i="55" l="1"/>
  <c r="N63" i="55"/>
  <c r="U77" i="59"/>
  <c r="T25" i="59"/>
  <c r="M87" i="55"/>
  <c r="M62" i="55"/>
  <c r="AA20" i="26"/>
  <c r="Z90" i="26"/>
  <c r="Z85" i="26" s="1"/>
  <c r="Z11" i="26"/>
  <c r="Z9" i="26" s="1"/>
  <c r="AC10" i="26"/>
  <c r="M10" i="35"/>
  <c r="N12" i="55" s="1"/>
  <c r="AC34" i="49"/>
  <c r="I79" i="55"/>
  <c r="I54" i="55"/>
  <c r="X36" i="20"/>
  <c r="X14" i="20"/>
  <c r="T79" i="59"/>
  <c r="S23" i="59"/>
  <c r="Y64" i="20"/>
  <c r="Y65" i="20" s="1"/>
  <c r="I2" i="35"/>
  <c r="J4" i="55" s="1"/>
  <c r="S28" i="59"/>
  <c r="Z64" i="20" l="1"/>
  <c r="Z65" i="20" s="1"/>
  <c r="J2" i="35"/>
  <c r="K4" i="55" s="1"/>
  <c r="AA90" i="26"/>
  <c r="AA85" i="26" s="1"/>
  <c r="AB20" i="26"/>
  <c r="AA11" i="26"/>
  <c r="AA9" i="26" s="1"/>
  <c r="N87" i="55"/>
  <c r="N62" i="55"/>
  <c r="V77" i="59"/>
  <c r="U25" i="59"/>
  <c r="L3" i="50"/>
  <c r="C17" i="35"/>
  <c r="D19" i="55" s="1"/>
  <c r="U79" i="59"/>
  <c r="T23" i="59"/>
  <c r="T12" i="59" s="1"/>
  <c r="J54" i="55"/>
  <c r="J79" i="55"/>
  <c r="Y36" i="20"/>
  <c r="Y14" i="20"/>
  <c r="AB90" i="26" l="1"/>
  <c r="AB85" i="26" s="1"/>
  <c r="AC20" i="26"/>
  <c r="AB11" i="26"/>
  <c r="AB9" i="26" s="1"/>
  <c r="V79" i="59"/>
  <c r="U23" i="59"/>
  <c r="U28" i="59"/>
  <c r="E17" i="35" s="1"/>
  <c r="F19" i="55" s="1"/>
  <c r="U12" i="59"/>
  <c r="AA64" i="20"/>
  <c r="AA65" i="20" s="1"/>
  <c r="K2" i="35"/>
  <c r="L4" i="55" s="1"/>
  <c r="V25" i="59"/>
  <c r="W77" i="59"/>
  <c r="K54" i="55"/>
  <c r="K79" i="55"/>
  <c r="D94" i="55"/>
  <c r="D69" i="55"/>
  <c r="T28" i="59"/>
  <c r="D17" i="35" s="1"/>
  <c r="E19" i="55" s="1"/>
  <c r="Z36" i="20"/>
  <c r="Z14" i="20"/>
  <c r="F69" i="55" l="1"/>
  <c r="F94" i="55"/>
  <c r="AA36" i="20"/>
  <c r="AA14" i="20"/>
  <c r="W25" i="59"/>
  <c r="X77" i="59"/>
  <c r="V23" i="59"/>
  <c r="V12" i="59" s="1"/>
  <c r="W79" i="59"/>
  <c r="F87" i="59"/>
  <c r="AC90" i="26"/>
  <c r="AC85" i="26" s="1"/>
  <c r="AC11" i="26"/>
  <c r="AC9" i="26" s="1"/>
  <c r="E69" i="55"/>
  <c r="E94" i="55"/>
  <c r="L79" i="55"/>
  <c r="L54" i="55"/>
  <c r="AB64" i="20"/>
  <c r="AB65" i="20" s="1"/>
  <c r="L2" i="35"/>
  <c r="M4" i="55" s="1"/>
  <c r="Y77" i="59" l="1"/>
  <c r="X25" i="59"/>
  <c r="AC64" i="20"/>
  <c r="AC65" i="20" s="1"/>
  <c r="M2" i="35"/>
  <c r="N4" i="55" s="1"/>
  <c r="AB36" i="20"/>
  <c r="AB14" i="20"/>
  <c r="V28" i="59"/>
  <c r="F17" i="35" s="1"/>
  <c r="G19" i="55" s="1"/>
  <c r="M79" i="55"/>
  <c r="M54" i="55"/>
  <c r="X79" i="59"/>
  <c r="W23" i="59"/>
  <c r="W28" i="59" s="1"/>
  <c r="G17" i="35" s="1"/>
  <c r="H19" i="55" s="1"/>
  <c r="H94" i="55" l="1"/>
  <c r="H69" i="55"/>
  <c r="AC36" i="20"/>
  <c r="AC14" i="20"/>
  <c r="W12" i="59"/>
  <c r="F85" i="59" s="1"/>
  <c r="F89" i="59" s="1"/>
  <c r="N79" i="55"/>
  <c r="N54" i="55"/>
  <c r="Y79" i="59"/>
  <c r="X23" i="59"/>
  <c r="X28" i="59"/>
  <c r="H17" i="35" s="1"/>
  <c r="I19" i="55" s="1"/>
  <c r="X12" i="59"/>
  <c r="G94" i="55"/>
  <c r="G69" i="55"/>
  <c r="Z77" i="59"/>
  <c r="Y25" i="59"/>
  <c r="Z25" i="59" l="1"/>
  <c r="AA77" i="59"/>
  <c r="I94" i="55"/>
  <c r="I69" i="55"/>
  <c r="Z79" i="59"/>
  <c r="Y23" i="59"/>
  <c r="Y12" i="59" s="1"/>
  <c r="Y28" i="59" l="1"/>
  <c r="I17" i="35" s="1"/>
  <c r="J19" i="55" s="1"/>
  <c r="J94" i="55" s="1"/>
  <c r="AA79" i="59"/>
  <c r="Z23" i="59"/>
  <c r="Z12" i="59" s="1"/>
  <c r="AB77" i="59"/>
  <c r="AA25" i="59"/>
  <c r="Z28" i="59"/>
  <c r="J17" i="35" s="1"/>
  <c r="K19" i="55" s="1"/>
  <c r="J69" i="55" l="1"/>
  <c r="AA23" i="59"/>
  <c r="AA12" i="59" s="1"/>
  <c r="G85" i="59" s="1"/>
  <c r="G89" i="59" s="1"/>
  <c r="AB79" i="59"/>
  <c r="K94" i="55"/>
  <c r="K69" i="55"/>
  <c r="AC77" i="59"/>
  <c r="AC25" i="59" s="1"/>
  <c r="AB25" i="59"/>
  <c r="AA28" i="59"/>
  <c r="K17" i="35" s="1"/>
  <c r="L19" i="55" s="1"/>
  <c r="G87" i="59"/>
  <c r="AC79" i="59" l="1"/>
  <c r="AC23" i="59" s="1"/>
  <c r="AC12" i="59" s="1"/>
  <c r="AB23" i="59"/>
  <c r="AB28" i="59" s="1"/>
  <c r="L17" i="35" s="1"/>
  <c r="M19" i="55" s="1"/>
  <c r="L94" i="55"/>
  <c r="L69" i="55"/>
  <c r="M69" i="55" l="1"/>
  <c r="M94" i="55"/>
  <c r="AC28" i="59"/>
  <c r="M17" i="35" s="1"/>
  <c r="N19" i="55" s="1"/>
  <c r="AB12" i="59"/>
  <c r="N69" i="55" l="1"/>
  <c r="N9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37"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65"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6"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7"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93"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16"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16"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tc={EA2E560B-B4F0-4579-B2C7-C9B4B3176BED}</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33"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34"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R40" authorId="4" shapeId="0" xr:uid="{EA2E560B-B4F0-4579-B2C7-C9B4B3176BED}">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69" authorId="5"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70" authorId="6"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3" authorId="7"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4" authorId="8"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5" authorId="9"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tc={02CD4DDF-2C52-45CC-A7C0-F81AC2D1A26A}</author>
    <author>tc={7010EE95-CECC-419E-AEDA-DD810575C98C}</author>
  </authors>
  <commentList>
    <comment ref="R1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2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tc={581A763D-69E7-4316-A641-33877C6ED334}</author>
    <author>tc={88370A64-FBDF-4CF1-9910-136364F7D354}</author>
    <author>tc={49E36A45-17D3-41F8-A91D-8E2AE6FCD96D}</author>
    <author>tc={8624CBF8-0C25-4544-B55E-7210BBE07E41}</author>
    <author>tc={B38BAE8E-DF30-49E2-9F96-90A1041E4DF0}</author>
    <author>tc={FE50DF0B-94A1-45DC-903B-EE712149D3CA}</author>
  </authors>
  <commentList>
    <comment ref="S21"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7"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7"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77"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tc={A10CFC64-1C02-48DA-8AEE-48D50538ECF3}</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tc={6D3A4604-69CE-4F3F-813F-7F7EA08ED613}</author>
    <author>tc={2FAA442C-06B5-4B8F-BB61-A81BAEC7050D}</author>
    <author>tc={C4EBBB9E-22EA-4672-A509-43BCF8EEAB30}</author>
    <author>tc={DC8487FB-C6EB-42F5-AE71-8B2B07C2A8EE}</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R28" authorId="1" shapeId="0" xr:uid="{A10CFC64-1C02-48DA-8AEE-48D50538ECF3}">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46" authorId="2"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7" authorId="3"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49" authorId="4"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0" authorId="5"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1" authorId="6"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69" authorId="7"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0" authorId="8"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71" authorId="9"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72" authorId="10"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94" authorId="11" shapeId="0" xr:uid="{3DA40B3D-4A5D-452E-A72D-B2030842DDB4}">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95" authorId="12" shapeId="0" xr:uid="{D99B9B54-6076-41EB-BC07-437AE218B08B}">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96" authorId="13" shapeId="0" xr:uid="{623F5CCB-51DE-44FD-917A-D45F49A14B56}">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97" authorId="14" shapeId="0" xr:uid="{76D39B51-9B45-4C9D-BC1F-F3C52C7844F2}">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02" authorId="15" shapeId="0" xr:uid="{261212D0-3270-4BCA-9A94-F5349DB2897B}">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03" authorId="16" shapeId="0" xr:uid="{093CFE5E-1370-4B7D-A6E3-831D81F9257A}">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04" authorId="17" shapeId="0" xr:uid="{8471787A-6E7E-4D0B-B7B0-44BB3DD67EEC}">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05" authorId="18" shapeId="0" xr:uid="{C0761490-DB03-459E-80D6-455B0C07D43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0" authorId="19"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1" authorId="20"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2" authorId="21"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3" authorId="22"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<sst xmlns="http://schemas.openxmlformats.org/spreadsheetml/2006/main" count="4400" uniqueCount="2116">
  <si>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</si>
  <si>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</si>
  <si>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</si>
  <si>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</si>
  <si>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</si>
  <si>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</si>
  <si>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</si>
  <si>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</si>
  <si>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</si>
  <si>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</si>
  <si>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</si>
  <si>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</si>
  <si>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</si>
  <si>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</si>
  <si>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</si>
  <si>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</si>
  <si>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</si>
  <si>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</si>
  <si>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</si>
  <si>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</si>
  <si>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</si>
  <si>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</si>
  <si>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</si>
  <si>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</si>
  <si>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</si>
  <si>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</si>
  <si>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</si>
  <si>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</si>
  <si>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</si>
  <si>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</si>
  <si>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</si>
  <si>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</si>
  <si>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</si>
  <si>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</si>
  <si>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</si>
  <si>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</si>
  <si>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</si>
  <si>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</si>
  <si>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</si>
  <si>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</si>
  <si>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</si>
  <si>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</si>
  <si>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</si>
  <si>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</si>
  <si>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</si>
  <si>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</si>
  <si>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</si>
  <si>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</si>
  <si>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</si>
  <si>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</si>
  <si>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</si>
  <si>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</si>
  <si>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</si>
  <si>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</si>
  <si>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</si>
  <si>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</si>
  <si>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</si>
  <si>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</si>
  <si>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</si>
  <si>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</si>
  <si>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</si>
  <si>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</si>
  <si>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</si>
  <si>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</si>
  <si>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</si>
  <si>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</si>
  <si>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</si>
  <si>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</si>
  <si>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</si>
  <si>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</si>
  <si>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</si>
  <si>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</si>
  <si>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</si>
  <si>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</si>
  <si>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</si>
  <si>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</si>
  <si>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</si>
  <si>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</si>
  <si>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</si>
  <si>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</si>
  <si>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</si>
  <si>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</si>
  <si>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</si>
  <si>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</si>
  <si>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</si>
  <si>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</si>
  <si>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</si>
  <si>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</si>
  <si>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</si>
  <si>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</si>
  <si>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</si>
  <si>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</si>
  <si>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</si>
  <si>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</si>
  <si>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</si>
  <si>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</si>
  <si>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</si>
  <si>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</si>
  <si>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</si>
  <si>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</si>
  <si>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</si>
  <si>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</si>
  <si>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</si>
  <si>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</si>
  <si>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</si>
  <si>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</si>
  <si>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</si>
  <si>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</si>
  <si>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</si>
  <si>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</si>
  <si>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</si>
  <si>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</si>
  <si>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</si>
  <si>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</si>
  <si>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</si>
  <si>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</si>
  <si>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</si>
  <si>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</si>
  <si>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</si>
  <si>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</si>
  <si>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</si>
  <si>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</si>
  <si>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</si>
  <si>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</si>
  <si>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</si>
  <si>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</si>
  <si>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</si>
  <si>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</si>
  <si>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</si>
  <si>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</si>
  <si>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</si>
  <si>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</si>
  <si>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</si>
  <si>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</si>
  <si>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</si>
  <si>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</si>
  <si>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</si>
  <si>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</si>
  <si>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</si>
  <si>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</si>
  <si>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</si>
  <si>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</si>
  <si>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</si>
  <si>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</si>
  <si>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</si>
  <si>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</si>
  <si>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</si>
  <si>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</si>
  <si>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</si>
  <si>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</si>
  <si>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</si>
  <si>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</si>
  <si>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</si>
  <si>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</si>
  <si>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</si>
  <si>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</si>
  <si>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</si>
  <si>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</si>
  <si>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</si>
  <si>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</si>
  <si>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</si>
  <si>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</si>
  <si>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</si>
  <si>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</si>
  <si>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</si>
  <si>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</si>
  <si>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</si>
  <si>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</si>
  <si>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</si>
  <si>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</si>
  <si>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</si>
  <si>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</si>
  <si>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</si>
  <si>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</si>
  <si>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</si>
  <si>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</si>
  <si>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</si>
  <si>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</si>
  <si>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</si>
  <si>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</si>
  <si>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</si>
  <si>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</si>
  <si>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</si>
  <si>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</si>
  <si>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</si>
  <si>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</si>
  <si>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</si>
  <si>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</si>
  <si>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</si>
  <si>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</si>
  <si>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</si>
  <si>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</si>
  <si>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</si>
  <si>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</si>
  <si>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</si>
  <si>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</si>
  <si>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</si>
  <si>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</si>
  <si>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</si>
  <si>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</si>
  <si>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</si>
  <si>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</si>
  <si>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</si>
  <si>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</si>
  <si>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</si>
  <si>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</si>
  <si>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</si>
  <si>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</si>
  <si>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</si>
  <si>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</si>
  <si>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</si>
  <si>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</si>
  <si>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</si>
  <si>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</si>
  <si>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</si>
  <si>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</si>
  <si>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</si>
  <si>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</si>
  <si>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</si>
  <si>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</si>
  <si>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</si>
  <si>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</si>
  <si>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</si>
  <si>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</si>
  <si>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</si>
  <si>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</si>
  <si>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</si>
  <si>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</si>
  <si>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</si>
  <si>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</si>
  <si>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</si>
  <si>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</si>
  <si>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</si>
  <si>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</si>
  <si>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</si>
  <si>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</si>
  <si>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</si>
  <si>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</si>
  <si>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</si>
  <si>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</si>
  <si>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</si>
  <si>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</si>
  <si>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</si>
  <si>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</si>
  <si>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</si>
  <si>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</si>
  <si>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</si>
  <si>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</si>
  <si>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</si>
  <si>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</si>
  <si>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</si>
  <si>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</si>
  <si>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</si>
  <si>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</si>
  <si>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</si>
  <si>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</si>
  <si>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</si>
  <si>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</si>
  <si>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</si>
  <si>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</si>
  <si>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</si>
  <si>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</si>
  <si>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</si>
  <si>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</si>
  <si>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</si>
  <si>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</si>
  <si>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</si>
  <si>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</si>
  <si>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</si>
  <si>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</si>
  <si>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</si>
  <si>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</si>
  <si>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</si>
  <si>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</si>
  <si>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</si>
  <si>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</si>
  <si>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</si>
  <si>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</si>
  <si>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</si>
  <si>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</si>
  <si>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</si>
  <si>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</si>
  <si>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</si>
  <si>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</si>
  <si>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</si>
  <si>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</si>
  <si>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</si>
  <si>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</si>
  <si>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</si>
  <si>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</si>
  <si>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</si>
  <si>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</si>
  <si>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</si>
  <si>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</si>
  <si>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</si>
  <si>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</si>
  <si>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</si>
  <si>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</si>
  <si>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</si>
  <si>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</si>
  <si>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</si>
  <si>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</si>
  <si>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</si>
  <si>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</si>
  <si>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</si>
  <si>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</si>
  <si>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</si>
  <si>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</si>
  <si>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</si>
  <si>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</si>
  <si>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</si>
  <si>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</si>
  <si>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</si>
  <si>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</si>
  <si>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</si>
  <si>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</si>
  <si>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</si>
  <si>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</si>
  <si>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</si>
  <si>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</si>
  <si>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</si>
  <si>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</si>
  <si>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</si>
  <si>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</si>
  <si>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</si>
  <si>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</si>
  <si>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</si>
  <si>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</si>
  <si>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</si>
  <si>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</si>
  <si>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</si>
  <si>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</si>
  <si>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</si>
  <si>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</si>
  <si>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</si>
  <si>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</si>
  <si>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</si>
  <si>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</si>
  <si>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</si>
  <si>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</si>
  <si>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</si>
  <si>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</si>
  <si>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</si>
  <si>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</si>
  <si>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</si>
  <si>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</si>
  <si>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</si>
  <si>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</si>
  <si>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</si>
  <si>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</si>
  <si>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</si>
  <si>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</si>
  <si>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</si>
  <si>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</si>
  <si>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</si>
  <si>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</si>
  <si>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</si>
  <si>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</si>
  <si>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</si>
  <si>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</si>
  <si>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</si>
  <si>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</si>
  <si>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</si>
  <si>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</si>
  <si>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</si>
  <si>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</si>
  <si>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</si>
  <si>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</si>
  <si>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</si>
  <si>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</si>
  <si>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</si>
  <si>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</si>
  <si>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</si>
  <si>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</si>
  <si>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</si>
  <si>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</si>
  <si>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</si>
  <si>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</si>
  <si>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</si>
  <si>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</si>
  <si>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</si>
  <si>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</si>
  <si>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</si>
  <si>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</si>
  <si>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</si>
  <si>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</si>
  <si>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</si>
  <si>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</si>
  <si>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</si>
  <si>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</si>
  <si>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</si>
  <si>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</si>
  <si>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</si>
  <si>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</si>
  <si>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</si>
  <si>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</si>
  <si>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</si>
  <si>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</si>
  <si>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</si>
  <si>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</si>
  <si>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</si>
  <si>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</si>
  <si>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</si>
  <si>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</si>
  <si>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</si>
  <si>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</si>
  <si>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</si>
  <si>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</si>
  <si>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</si>
  <si>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</si>
  <si>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</si>
  <si>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</si>
  <si>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</si>
  <si>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</si>
  <si>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</si>
  <si>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</si>
  <si>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</si>
  <si>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</si>
  <si>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</si>
  <si>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</si>
  <si>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</si>
  <si>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</si>
  <si>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</si>
  <si>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</si>
  <si>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</si>
  <si>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</si>
  <si>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</si>
  <si>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</si>
  <si>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</si>
  <si>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</si>
  <si>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</si>
  <si>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</si>
  <si>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</si>
  <si>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</si>
  <si>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</si>
  <si>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</si>
  <si>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</si>
  <si>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</si>
  <si>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</si>
  <si>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</si>
  <si>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</si>
  <si>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</si>
  <si>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</si>
  <si>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</si>
  <si>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</si>
  <si>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</si>
  <si>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</si>
  <si>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</si>
  <si>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</si>
  <si>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</si>
  <si>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</si>
  <si>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</si>
  <si>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</si>
  <si>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</si>
  <si>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</si>
  <si>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</si>
  <si>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</si>
  <si>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</si>
  <si>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</si>
  <si>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</si>
  <si>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</si>
  <si>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</si>
  <si>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</si>
  <si>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</si>
  <si>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</si>
  <si>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</si>
  <si>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</si>
  <si>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</si>
  <si>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</si>
  <si>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</si>
  <si>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</si>
  <si>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</si>
  <si>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</si>
  <si>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</si>
  <si>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</si>
  <si>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</si>
  <si>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</si>
  <si>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</si>
  <si>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</si>
  <si>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</si>
  <si>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</si>
  <si>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</si>
  <si>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</si>
  <si>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</si>
  <si>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</si>
  <si>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</si>
  <si>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</si>
  <si>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</si>
  <si>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</si>
  <si>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</si>
  <si>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</si>
  <si>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</si>
  <si>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</si>
  <si>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</si>
  <si>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</si>
  <si>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</si>
  <si>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</si>
  <si>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</si>
  <si>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</si>
  <si>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</si>
  <si>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</si>
  <si>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</si>
  <si>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</si>
  <si>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</si>
  <si>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</si>
  <si>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</si>
  <si>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</si>
  <si>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</si>
  <si>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</si>
  <si>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</si>
  <si>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</si>
  <si>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</si>
  <si>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</si>
  <si>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</si>
  <si>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</si>
  <si>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</si>
  <si>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</si>
  <si>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</si>
  <si>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</si>
  <si>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</si>
  <si>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</si>
  <si>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</si>
  <si>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</si>
  <si>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</si>
  <si>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</si>
  <si>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</si>
  <si>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</si>
  <si>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</si>
  <si>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</si>
  <si>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</si>
  <si>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</si>
  <si>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</si>
  <si>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</si>
  <si>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</si>
  <si>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</si>
  <si>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</si>
  <si>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</si>
  <si>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</si>
  <si>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</si>
  <si>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</si>
  <si>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</si>
  <si>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</si>
  <si>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</si>
  <si>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</si>
  <si>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</si>
  <si>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</si>
  <si>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</si>
  <si>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</si>
  <si>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</si>
  <si>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</si>
  <si>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</si>
  <si>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</si>
  <si>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</si>
  <si>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</si>
  <si>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</si>
  <si>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</si>
  <si>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</si>
  <si>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</si>
  <si>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</si>
  <si>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</si>
  <si>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</si>
  <si>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</si>
  <si>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</si>
  <si>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</si>
  <si>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</si>
  <si>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</si>
  <si>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</si>
  <si>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</si>
  <si>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</si>
  <si>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</si>
  <si>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</si>
  <si>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</si>
  <si>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</si>
  <si>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</si>
  <si>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</si>
  <si>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</si>
  <si>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</si>
  <si>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</si>
  <si>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</si>
  <si>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</si>
  <si>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</si>
  <si>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</si>
  <si>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</si>
  <si>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</si>
  <si>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</si>
  <si>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</si>
  <si>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</si>
  <si>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</si>
  <si>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</si>
  <si>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</si>
  <si>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</si>
  <si>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</si>
  <si>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</si>
  <si>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</si>
  <si>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</si>
  <si>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</si>
  <si>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</si>
  <si>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</si>
  <si>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</si>
  <si>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</si>
  <si>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</si>
  <si>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</si>
  <si>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</si>
  <si>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</si>
  <si>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</si>
  <si>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</si>
  <si>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</si>
  <si>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</si>
  <si>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</si>
  <si>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</si>
  <si>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</si>
  <si>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</si>
  <si>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</si>
  <si>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</si>
  <si>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</si>
  <si>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</si>
  <si>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</si>
  <si>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</si>
  <si>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</si>
  <si>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</si>
  <si>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</si>
  <si>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</si>
  <si>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</si>
  <si>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</si>
  <si>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</si>
  <si>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</si>
  <si>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</si>
  <si>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</si>
  <si>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</si>
  <si>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</si>
  <si>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</si>
  <si>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</si>
  <si>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</si>
  <si>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</si>
  <si>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</si>
  <si>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</si>
  <si>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</si>
  <si>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</si>
  <si>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</si>
  <si>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</si>
  <si>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</si>
  <si>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</si>
  <si>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</si>
  <si>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</si>
  <si>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</si>
  <si>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</si>
  <si>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</si>
  <si>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</si>
  <si>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</si>
  <si>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</si>
  <si>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</si>
  <si>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</si>
  <si>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</si>
  <si>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</si>
  <si>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</si>
  <si>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</si>
  <si>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</si>
  <si>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</si>
  <si>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</si>
  <si>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</si>
  <si>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</si>
  <si>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</si>
  <si>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</si>
  <si>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</si>
  <si>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</si>
  <si>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</si>
  <si>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</si>
  <si>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</si>
  <si>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</si>
  <si>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</si>
  <si>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</si>
  <si>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</si>
  <si>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</si>
  <si>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</si>
  <si>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</si>
  <si>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</si>
  <si>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</si>
  <si>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</si>
  <si>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</si>
  <si>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</si>
  <si>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</si>
  <si>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</si>
  <si>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</si>
  <si>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</si>
  <si>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</si>
  <si>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</si>
  <si>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</si>
  <si>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</si>
  <si>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</si>
  <si>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</si>
  <si>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</si>
  <si>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</si>
  <si>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</si>
  <si>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</si>
  <si>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</si>
  <si>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</si>
  <si>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</si>
  <si>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</si>
  <si>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</si>
  <si>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</si>
  <si>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</si>
  <si>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</si>
  <si>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</si>
  <si>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</si>
  <si>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</si>
  <si>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</si>
  <si>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</si>
  <si>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</si>
  <si>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</si>
  <si>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</si>
  <si>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</si>
  <si>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</si>
  <si>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</si>
  <si>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</si>
  <si>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</si>
  <si>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</si>
  <si>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</si>
  <si>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</si>
  <si>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</si>
  <si>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</si>
  <si>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</si>
  <si>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</si>
  <si>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</si>
  <si>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</si>
  <si>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</si>
  <si>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</si>
  <si>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</si>
  <si>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</si>
  <si>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</si>
  <si>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</si>
  <si>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</si>
  <si>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</si>
  <si>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</si>
  <si>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</si>
  <si>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</si>
  <si>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</si>
  <si>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</si>
  <si>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</si>
  <si>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</si>
  <si>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</si>
  <si>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</si>
  <si>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</si>
  <si>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</si>
  <si>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</si>
  <si>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</si>
  <si>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</si>
  <si>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</si>
  <si>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</si>
  <si>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</si>
  <si>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</si>
  <si>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</si>
  <si>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</si>
  <si>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</si>
  <si>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</si>
  <si>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</si>
  <si>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</si>
  <si>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</si>
  <si>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</si>
  <si>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</si>
  <si>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</si>
  <si>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</si>
  <si>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</si>
  <si>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</si>
  <si>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</si>
  <si>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</si>
  <si>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</si>
  <si>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</si>
  <si>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</si>
  <si>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</si>
  <si>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</si>
  <si>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</si>
  <si>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</si>
  <si>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</si>
  <si>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</si>
  <si>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</si>
  <si>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</si>
  <si>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</si>
  <si>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</si>
  <si>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</si>
  <si>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</si>
  <si>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</si>
  <si>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</si>
  <si>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</si>
  <si>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</si>
  <si>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</si>
  <si>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</si>
  <si>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</si>
  <si>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</si>
  <si>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</si>
  <si>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</si>
  <si>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</si>
  <si>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</si>
  <si>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</si>
  <si>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</si>
  <si>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</si>
  <si>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</si>
  <si>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</si>
  <si>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</si>
  <si>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</si>
  <si>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</si>
  <si>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</si>
  <si>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</si>
  <si>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</si>
  <si>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</si>
  <si>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</si>
  <si>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</si>
  <si>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</si>
  <si>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</si>
  <si>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</si>
  <si>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</si>
  <si>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</si>
  <si>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</si>
  <si>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</si>
  <si>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</si>
  <si>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</si>
  <si>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</si>
  <si>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</si>
  <si>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</si>
  <si>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</si>
  <si>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</si>
  <si>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</si>
  <si>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</si>
  <si>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</si>
  <si>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</si>
  <si>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</si>
  <si>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</si>
  <si>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</si>
  <si>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</si>
  <si>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</si>
  <si>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</si>
  <si>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</si>
  <si>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</si>
  <si>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</si>
  <si>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</si>
  <si>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</si>
  <si>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</si>
  <si>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</si>
  <si>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</si>
  <si>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</si>
  <si>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</si>
  <si>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</si>
  <si>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</si>
  <si>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</si>
  <si>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</si>
  <si>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</si>
  <si>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</si>
  <si>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</si>
  <si>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</si>
  <si>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</si>
  <si>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</si>
  <si>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</si>
  <si>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</si>
  <si>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</si>
  <si>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</si>
  <si>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</si>
  <si>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</si>
  <si>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</si>
  <si>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</si>
  <si>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</si>
  <si>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</si>
  <si>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</si>
  <si>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</si>
  <si>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</si>
  <si>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</si>
  <si>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</si>
  <si>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</si>
  <si>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</si>
  <si>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</si>
  <si>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</si>
  <si>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</si>
  <si>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</si>
  <si>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</si>
  <si>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</si>
  <si>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</si>
  <si>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</si>
  <si>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</si>
  <si>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</si>
  <si>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</si>
  <si>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</si>
  <si>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</si>
  <si>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</si>
  <si>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</si>
  <si>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</si>
  <si>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</si>
  <si>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</si>
  <si>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</si>
  <si>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</si>
  <si>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</si>
  <si>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</si>
  <si>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</si>
  <si>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</si>
  <si>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</si>
  <si>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</si>
  <si>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</si>
  <si>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</si>
  <si>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</si>
  <si>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</si>
  <si>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</si>
  <si>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</si>
  <si>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</si>
  <si>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</si>
  <si>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</si>
  <si>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</si>
  <si>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</si>
  <si>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</si>
  <si>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</si>
  <si>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</si>
  <si>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</si>
  <si>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</si>
  <si>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</si>
  <si>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</si>
  <si>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</si>
  <si>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</si>
  <si>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</si>
  <si>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</si>
  <si>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</si>
  <si>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</si>
  <si>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</si>
  <si>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</si>
  <si>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</si>
  <si>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</si>
  <si>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</si>
  <si>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</si>
  <si>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</si>
  <si>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</si>
  <si>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</si>
  <si>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</si>
  <si>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</si>
  <si>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</si>
  <si>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</si>
  <si>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</si>
  <si>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</si>
  <si>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</si>
  <si>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</si>
  <si>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</si>
  <si>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</si>
  <si>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</si>
  <si>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</si>
  <si>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</si>
  <si>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</si>
  <si>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</si>
  <si>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</si>
  <si>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</si>
  <si>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</si>
  <si>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</si>
  <si>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</si>
  <si>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</si>
  <si>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</si>
  <si>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</si>
  <si>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</si>
  <si>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</si>
  <si>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</si>
  <si>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</si>
  <si>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</si>
  <si>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</si>
  <si>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</si>
  <si>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</si>
  <si>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</si>
  <si>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</si>
  <si>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</si>
  <si>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</si>
  <si>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</si>
  <si>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</si>
  <si>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</si>
  <si>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</si>
  <si>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</si>
  <si>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</si>
  <si>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</si>
  <si>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</si>
  <si>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</si>
  <si>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</si>
  <si>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</si>
  <si>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</si>
  <si>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</si>
  <si>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</si>
  <si>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</si>
  <si>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</si>
  <si>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</si>
  <si>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</si>
  <si>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</si>
  <si>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</si>
  <si>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</si>
  <si>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</si>
  <si>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</si>
  <si>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</si>
  <si>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</si>
  <si>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</si>
  <si>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</si>
  <si>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</si>
  <si>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</si>
  <si>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</si>
  <si>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</si>
  <si>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</si>
  <si>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</si>
  <si>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</si>
  <si>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</si>
  <si>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</si>
  <si>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</si>
  <si>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</si>
  <si>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</si>
  <si>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</si>
  <si>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</si>
  <si>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</si>
  <si>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</si>
  <si>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</si>
  <si>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</si>
  <si>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</si>
  <si>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</si>
  <si>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</si>
  <si>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</si>
  <si>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</si>
  <si>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</si>
  <si>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</si>
  <si>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</si>
  <si>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</si>
  <si>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</si>
  <si>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</si>
  <si>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</si>
  <si>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</si>
  <si>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</si>
  <si>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</si>
  <si>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</si>
  <si>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</si>
  <si>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</si>
  <si>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</si>
  <si>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</si>
  <si>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</si>
  <si>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</si>
  <si>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</si>
  <si>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</si>
  <si>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</si>
  <si>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</si>
  <si>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</si>
  <si>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</si>
  <si>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</si>
  <si>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</si>
  <si>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</si>
  <si>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</si>
  <si>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</si>
  <si>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</si>
  <si>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</si>
  <si>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</si>
  <si>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</si>
  <si>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</si>
  <si>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</si>
  <si>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</si>
  <si>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</si>
  <si>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</si>
  <si>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</si>
  <si>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</si>
  <si>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</si>
  <si>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</si>
  <si>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</si>
  <si>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</si>
  <si>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</si>
  <si>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</si>
  <si>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</si>
  <si>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</si>
  <si>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</si>
  <si>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</si>
  <si>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</si>
  <si>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</si>
  <si>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</si>
  <si>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</si>
  <si>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</si>
  <si>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</si>
  <si>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</si>
  <si>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</si>
  <si>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</si>
  <si>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</si>
  <si>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</si>
  <si>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</si>
  <si>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</si>
  <si>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</si>
  <si>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</si>
  <si>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</si>
  <si>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</si>
  <si>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</si>
  <si>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</si>
  <si>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</si>
  <si>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</si>
  <si>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</si>
  <si>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</si>
  <si>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</si>
  <si>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</si>
  <si>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</si>
  <si>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</si>
  <si>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</si>
  <si>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</si>
  <si>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</si>
  <si>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</si>
  <si>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</si>
  <si>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</si>
  <si>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</si>
  <si>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</si>
  <si>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</si>
  <si>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</si>
  <si>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</si>
  <si>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</si>
  <si>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</si>
  <si>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</si>
  <si>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</si>
  <si>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</si>
  <si>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</si>
  <si>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</si>
  <si>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</si>
  <si>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</si>
  <si>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</si>
  <si>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</si>
  <si>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</si>
  <si>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</si>
  <si>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</si>
  <si>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</si>
  <si>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</si>
  <si>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</si>
  <si>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</si>
  <si>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</si>
  <si>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</si>
  <si>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</si>
  <si>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</si>
  <si>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</si>
  <si>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</si>
  <si>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</si>
  <si>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</si>
  <si>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</si>
  <si>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</si>
  <si>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</si>
  <si>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</si>
  <si>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</si>
  <si>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</si>
  <si>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</si>
  <si>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</si>
  <si>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</si>
  <si>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</si>
  <si>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</si>
  <si>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</si>
  <si>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</si>
  <si>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</si>
  <si>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</si>
  <si>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</si>
  <si>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</si>
  <si>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</si>
  <si>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</si>
  <si>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</si>
  <si>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</si>
  <si>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</si>
  <si>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</si>
  <si>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</si>
  <si>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</si>
  <si>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</si>
  <si>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</si>
  <si>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</si>
  <si>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</si>
  <si>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</si>
  <si>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</si>
  <si>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</si>
  <si>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</si>
  <si>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</si>
  <si>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</si>
  <si>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</si>
  <si>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</si>
  <si>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</si>
  <si>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</si>
  <si>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</si>
  <si>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</si>
  <si>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</si>
  <si>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</si>
  <si>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</si>
  <si>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</si>
  <si>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</si>
  <si>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</si>
  <si>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</si>
  <si>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</si>
  <si>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</si>
  <si>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</si>
  <si>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</si>
  <si>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</si>
  <si>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</si>
  <si>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</si>
  <si>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</si>
  <si>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</si>
  <si>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</si>
  <si>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</si>
  <si>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</si>
  <si>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</si>
  <si>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</si>
  <si>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</si>
  <si>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</si>
  <si>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</si>
  <si>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</si>
  <si>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</si>
  <si>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</si>
  <si>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</si>
  <si>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</si>
  <si>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</si>
  <si>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</si>
  <si>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</si>
  <si>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</si>
  <si>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</si>
  <si>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</si>
  <si>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</si>
  <si>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</si>
  <si>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</si>
  <si>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</si>
  <si>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</si>
  <si>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</si>
  <si>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</si>
  <si>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</si>
  <si>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</si>
  <si>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</si>
  <si>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</si>
  <si>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</si>
  <si>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</si>
  <si>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</si>
  <si>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</si>
  <si>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</si>
  <si>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</si>
  <si>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</si>
  <si>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</si>
  <si>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</si>
  <si>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</si>
  <si>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</si>
  <si>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</si>
  <si>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</si>
  <si>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</si>
  <si>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</si>
  <si>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</si>
  <si>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</si>
  <si>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</si>
  <si>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</si>
  <si>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</si>
  <si>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</si>
  <si>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</si>
  <si>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</si>
  <si>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</si>
  <si>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</si>
  <si>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</si>
  <si>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</si>
  <si>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</si>
  <si>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</si>
  <si>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</si>
  <si>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</si>
  <si>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</si>
  <si>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</si>
  <si>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</si>
  <si>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</si>
  <si>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</si>
  <si>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</si>
  <si>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</si>
  <si>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</si>
  <si>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</si>
  <si>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</si>
  <si>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</si>
  <si>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</si>
  <si>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</si>
  <si>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</si>
  <si>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</si>
  <si>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</si>
  <si>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</si>
  <si>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</si>
  <si>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</si>
  <si>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</si>
  <si>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</si>
  <si>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</si>
  <si>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</si>
  <si>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</si>
  <si>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</si>
  <si>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</si>
  <si>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</si>
  <si>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</si>
  <si>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</si>
  <si>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</si>
  <si>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</si>
  <si>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</si>
  <si>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</si>
  <si>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</si>
  <si>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</si>
  <si>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</si>
  <si>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</si>
  <si>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</si>
  <si>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</si>
  <si>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</si>
  <si>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</si>
  <si>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</si>
  <si>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</si>
  <si>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</si>
  <si>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</si>
  <si>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</si>
  <si>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</si>
  <si>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</si>
  <si>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</si>
  <si>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</si>
  <si>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</si>
  <si>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</si>
  <si>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</si>
  <si>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</si>
  <si>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</si>
  <si>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</si>
  <si>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</si>
  <si>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</si>
  <si>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</si>
  <si>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</si>
  <si>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</si>
  <si>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</si>
  <si>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</si>
  <si>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</si>
  <si>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</si>
  <si>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</si>
  <si>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</si>
  <si>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</si>
  <si>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</si>
  <si>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</si>
  <si>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</si>
  <si>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</si>
  <si>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</si>
  <si>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</si>
  <si>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</si>
  <si>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</si>
  <si>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</si>
  <si>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</si>
  <si>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</si>
  <si>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</si>
  <si>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</si>
  <si>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</si>
  <si>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</si>
  <si>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</si>
  <si>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</si>
  <si>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</si>
  <si>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</si>
  <si>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</si>
  <si>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</si>
  <si>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</si>
  <si>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</si>
  <si>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</si>
  <si>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</si>
  <si>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</si>
  <si>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</si>
  <si>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</si>
  <si>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</si>
  <si>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</si>
  <si>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</si>
  <si>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</si>
  <si>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</si>
  <si>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</si>
  <si>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</si>
  <si>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</si>
  <si>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</si>
  <si>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</si>
  <si>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</si>
  <si>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</si>
  <si>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</si>
  <si>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</si>
  <si>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</si>
  <si>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</si>
  <si>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</si>
  <si>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</si>
  <si>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</si>
  <si>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</si>
  <si>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</si>
  <si>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</si>
  <si>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</si>
  <si>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</si>
  <si>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</si>
  <si>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</si>
  <si>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</si>
  <si>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</si>
  <si>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</si>
  <si>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</si>
  <si>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</si>
  <si>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</si>
  <si>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</si>
  <si>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</si>
  <si>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</si>
  <si>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</si>
  <si>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</si>
  <si>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</si>
  <si>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</si>
  <si>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</si>
  <si>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</si>
  <si>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</si>
  <si>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</si>
  <si>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</si>
  <si>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</si>
  <si>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</si>
  <si>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</si>
  <si>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</si>
  <si>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</si>
  <si>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</si>
  <si>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</si>
  <si>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</si>
  <si>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</si>
  <si>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</si>
  <si>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</si>
  <si>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</si>
  <si>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</si>
  <si>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</si>
  <si>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</si>
  <si>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</si>
  <si>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</si>
  <si>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</si>
  <si>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</si>
  <si>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</si>
  <si>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</si>
  <si>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</si>
  <si>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</si>
  <si>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</si>
  <si>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</si>
  <si>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</si>
  <si>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</si>
  <si>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</si>
  <si>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</si>
  <si>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</si>
  <si>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</si>
  <si>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</si>
  <si>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</si>
  <si>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</si>
  <si>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</si>
  <si>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</si>
  <si>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</si>
  <si>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</si>
  <si>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</si>
  <si>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</si>
  <si>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</si>
  <si>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</si>
  <si>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</si>
  <si>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</si>
  <si>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</si>
  <si>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</si>
  <si>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</si>
  <si>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</si>
  <si>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</si>
  <si>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</si>
  <si>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</si>
  <si>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</si>
  <si>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</si>
  <si>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</si>
  <si>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</si>
  <si>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</si>
  <si>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</si>
  <si>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</si>
  <si>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</si>
  <si>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</si>
  <si>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</si>
  <si>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</si>
  <si>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</si>
  <si>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</si>
  <si>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</si>
  <si>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</si>
  <si>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</si>
  <si>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</si>
  <si>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</si>
  <si>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</si>
  <si>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</si>
  <si>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</si>
  <si>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</si>
  <si>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</si>
  <si>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</si>
  <si>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</si>
  <si>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</si>
  <si>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</si>
  <si>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</si>
  <si>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</si>
  <si>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</si>
  <si>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</si>
  <si>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</si>
  <si>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</si>
  <si>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</si>
  <si>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</si>
  <si>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</si>
  <si>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</si>
  <si>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</si>
  <si>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</si>
  <si>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</si>
  <si>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</si>
  <si>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</si>
  <si>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</si>
  <si>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</si>
  <si>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</si>
  <si>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</si>
  <si>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</si>
  <si>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</si>
  <si>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</si>
  <si>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</si>
  <si>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</si>
  <si>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</si>
  <si>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</si>
  <si>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</si>
  <si>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</si>
  <si>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</si>
  <si>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</si>
  <si>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</si>
  <si>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</si>
  <si>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</si>
  <si>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</si>
  <si>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</si>
  <si>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</si>
  <si>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</si>
  <si>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</si>
  <si>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</si>
  <si>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</si>
  <si>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</si>
  <si>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</si>
  <si>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</si>
  <si>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</si>
  <si>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</si>
  <si>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</si>
  <si>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</si>
  <si>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</si>
  <si>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</si>
  <si>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</si>
  <si>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</si>
  <si>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</si>
  <si>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</si>
  <si>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</si>
  <si>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</si>
  <si>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</si>
  <si>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</si>
  <si>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</si>
  <si>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</si>
  <si>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</si>
  <si>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</si>
  <si>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</si>
  <si>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</si>
  <si>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</si>
  <si>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</si>
  <si>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</si>
  <si>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</si>
  <si>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</si>
  <si>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</si>
  <si>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</si>
  <si>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</si>
  <si>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</si>
  <si>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</si>
  <si>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</si>
  <si>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</si>
  <si>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</si>
  <si>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</si>
  <si>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</si>
  <si>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Sep.</t>
  </si>
  <si>
    <t>NA</t>
  </si>
  <si>
    <t>Our forecast for Q4</t>
  </si>
  <si>
    <t>SNAP due to COVID and Thrifty Food Plan (All, including ARP) (Table 2)</t>
  </si>
  <si>
    <t>SNAP due to COVID and Thrifty Food Plan</t>
  </si>
  <si>
    <t>CBO (10 yr Budget Projections, line 25, Table 3.2)</t>
  </si>
  <si>
    <t>2022 Q3 Quarterly Update</t>
  </si>
  <si>
    <t>2022 Q3 First Revision</t>
  </si>
  <si>
    <t>Previous Forecast (October 2022)</t>
  </si>
  <si>
    <t xml:space="preserve"> 2022 Q3 plus Current Forecast (November 2022)</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</si>
  <si>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</si>
  <si>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</si>
  <si>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</si>
  <si>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</si>
  <si>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</si>
  <si>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</si>
  <si>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</si>
  <si>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</si>
  <si>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</si>
  <si>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</si>
  <si>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</si>
  <si>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</si>
  <si>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</si>
  <si>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</si>
  <si>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</si>
  <si>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</si>
  <si>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</si>
  <si>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</si>
  <si>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</si>
  <si>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</si>
  <si>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</si>
  <si>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</si>
  <si>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</si>
  <si>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</si>
  <si>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</si>
  <si>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</si>
  <si>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</si>
  <si>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</si>
  <si>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</si>
  <si>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</si>
  <si>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</si>
  <si>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</si>
  <si>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</si>
  <si>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</si>
  <si>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</si>
  <si>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</si>
  <si>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</si>
  <si>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</si>
  <si>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</si>
  <si>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</si>
  <si>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</si>
  <si>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</si>
  <si>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</si>
  <si>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</si>
  <si>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</si>
  <si>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</si>
  <si>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</si>
  <si>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</si>
  <si>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</si>
  <si>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</si>
  <si>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</si>
  <si>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</si>
  <si>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</si>
  <si>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</si>
  <si>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</si>
  <si>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</si>
  <si>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</si>
  <si>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</si>
  <si>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</si>
  <si>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</si>
  <si>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</si>
  <si>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</si>
  <si>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</si>
  <si>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</si>
  <si>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</si>
  <si>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</si>
  <si>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</si>
  <si>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</si>
  <si>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</si>
  <si>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</si>
  <si>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</si>
  <si>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</si>
  <si>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</si>
  <si>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</si>
  <si>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</si>
  <si>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</si>
  <si>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</si>
  <si>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</si>
  <si>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</si>
  <si>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</si>
  <si>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</si>
  <si>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</si>
  <si>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</si>
  <si>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</si>
  <si>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</si>
  <si>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</si>
  <si>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</si>
  <si>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</si>
  <si>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</si>
  <si>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</si>
  <si>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</si>
  <si>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</si>
  <si>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</si>
  <si>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</si>
  <si>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</si>
  <si>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</si>
  <si>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</si>
  <si>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</si>
  <si>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</si>
  <si>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</si>
  <si>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</si>
  <si>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</si>
  <si>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</si>
  <si>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</si>
  <si>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</si>
  <si>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</si>
  <si>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</si>
  <si>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</si>
  <si>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</si>
  <si>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</si>
  <si>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</si>
  <si>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</si>
  <si>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</si>
  <si>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</si>
  <si>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</si>
  <si>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</si>
  <si>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</si>
  <si>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</si>
  <si>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</si>
  <si>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</si>
  <si>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</si>
  <si>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</si>
  <si>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</si>
  <si>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</si>
  <si>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</si>
  <si>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</si>
  <si>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</si>
  <si>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</si>
  <si>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</si>
  <si>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</si>
  <si>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</si>
  <si>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</si>
  <si>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</si>
  <si>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</si>
  <si>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</si>
  <si>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</si>
  <si>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</si>
  <si>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</si>
  <si>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</si>
  <si>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</si>
  <si>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</si>
  <si>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</si>
  <si>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</si>
  <si>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</si>
  <si>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</si>
  <si>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</si>
  <si>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</si>
  <si>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</si>
  <si>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</si>
  <si>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</si>
  <si>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</si>
  <si>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</si>
  <si>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</si>
  <si>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</si>
  <si>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</si>
  <si>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</si>
  <si>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</si>
  <si>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</si>
  <si>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</si>
  <si>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</si>
  <si>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</si>
  <si>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</si>
  <si>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</si>
  <si>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</si>
  <si>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</si>
  <si>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</si>
  <si>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</si>
  <si>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</si>
  <si>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</si>
  <si>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</si>
  <si>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</si>
  <si>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</si>
  <si>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</si>
  <si>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</si>
  <si>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</si>
  <si>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</si>
  <si>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</si>
  <si>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</si>
  <si>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</si>
  <si>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</si>
  <si>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</si>
  <si>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</si>
  <si>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</si>
  <si>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</si>
  <si>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</si>
  <si>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</si>
  <si>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</si>
  <si>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</si>
  <si>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</si>
  <si>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</si>
  <si>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</si>
  <si>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</si>
  <si>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</si>
  <si>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</si>
  <si>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</si>
  <si>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</si>
  <si>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</si>
  <si>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</si>
  <si>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</si>
  <si>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</si>
  <si>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</si>
  <si>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</si>
  <si>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</si>
  <si>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</si>
  <si>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</si>
  <si>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</si>
  <si>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</si>
  <si>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</si>
  <si>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</si>
  <si>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</si>
  <si>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</si>
  <si>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</si>
  <si>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</si>
  <si>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</si>
  <si>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</si>
  <si>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</si>
  <si>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</si>
  <si>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</si>
  <si>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</si>
  <si>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</si>
  <si>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</si>
  <si>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</si>
  <si>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</si>
  <si>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</si>
  <si>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</si>
  <si>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</si>
  <si>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</si>
  <si>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</si>
  <si>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</si>
  <si>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</si>
  <si>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</si>
  <si>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</si>
  <si>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</si>
  <si>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</si>
  <si>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</si>
  <si>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</si>
  <si>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</si>
  <si>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</si>
  <si>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</si>
  <si>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</si>
  <si>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</si>
  <si>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</si>
  <si>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</si>
  <si>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</si>
  <si>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</si>
  <si>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</si>
  <si>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</si>
  <si>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</si>
  <si>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</si>
  <si>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</si>
  <si>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</si>
  <si>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</si>
  <si>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</si>
  <si>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</si>
  <si>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</si>
  <si>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</si>
  <si>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</si>
  <si>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</si>
  <si>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</si>
  <si>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</si>
  <si>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</si>
  <si>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</si>
  <si>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</si>
  <si>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</si>
  <si>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</si>
  <si>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</si>
  <si>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</si>
  <si>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</si>
  <si>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</si>
  <si>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</si>
  <si>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</si>
  <si>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</si>
  <si>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</si>
  <si>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</si>
  <si>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</si>
  <si>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</si>
  <si>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</si>
  <si>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</si>
  <si>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</si>
  <si>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</si>
  <si>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</si>
  <si>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</si>
  <si>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</si>
  <si>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</si>
  <si>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</si>
  <si>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</si>
  <si>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</si>
  <si>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</si>
  <si>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</si>
  <si>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</si>
  <si>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</si>
  <si>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</si>
  <si>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</si>
  <si>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</si>
  <si>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</si>
  <si>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</si>
  <si>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</si>
  <si>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</si>
  <si>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</si>
  <si>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</si>
  <si>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</si>
  <si>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</si>
  <si>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</si>
  <si>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</si>
  <si>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</si>
  <si>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</si>
  <si>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</si>
  <si>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</si>
  <si>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</si>
  <si>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</si>
  <si>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</si>
  <si>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</si>
  <si>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</si>
  <si>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</si>
  <si>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</si>
  <si>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</si>
  <si>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</si>
  <si>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</si>
  <si>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</si>
  <si>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</si>
  <si>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</si>
  <si>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</si>
  <si>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</si>
  <si>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</si>
  <si>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</si>
  <si>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</si>
  <si>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</si>
  <si>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</si>
  <si>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</si>
  <si>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</si>
  <si>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</si>
  <si>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</si>
  <si>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</si>
  <si>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</si>
  <si>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</si>
  <si>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</si>
  <si>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</si>
  <si>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</si>
  <si>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</si>
  <si>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</si>
  <si>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</si>
  <si>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</si>
  <si>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</si>
  <si>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</si>
  <si>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</si>
  <si>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</si>
  <si>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</si>
  <si>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</si>
  <si>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</si>
  <si>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</si>
  <si>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</si>
  <si>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</si>
  <si>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</si>
  <si>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</si>
  <si>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</si>
  <si>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</si>
  <si>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</si>
  <si>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</si>
  <si>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</si>
  <si>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</si>
  <si>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</si>
  <si>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</si>
  <si>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</si>
  <si>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</si>
  <si>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</si>
  <si>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</si>
  <si>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</si>
  <si>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</si>
  <si>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</si>
  <si>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</si>
  <si>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</si>
  <si>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</si>
  <si>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</si>
  <si>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</si>
  <si>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</si>
  <si>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</si>
  <si>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</si>
  <si>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</si>
  <si>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</si>
  <si>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</si>
  <si>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</si>
  <si>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</si>
  <si>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</si>
  <si>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</si>
  <si>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</si>
  <si>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</si>
  <si>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</si>
  <si>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</si>
  <si>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</si>
  <si>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</si>
  <si>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</si>
  <si>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</si>
  <si>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</si>
  <si>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</si>
  <si>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</si>
  <si>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</si>
  <si>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</si>
  <si>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</si>
  <si>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</si>
  <si>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</si>
  <si>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</si>
  <si>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</si>
  <si>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</si>
  <si>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</si>
  <si>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</si>
  <si>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</si>
  <si>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</si>
  <si>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</si>
  <si>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</si>
  <si>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</si>
  <si>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</si>
  <si>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</si>
  <si>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</si>
  <si>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</si>
  <si>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</si>
  <si>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</si>
  <si>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</si>
  <si>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</si>
  <si>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</si>
  <si>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</si>
  <si>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</si>
  <si>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</si>
  <si>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</si>
  <si>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</si>
  <si>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</si>
  <si>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</si>
  <si>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</si>
  <si>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</si>
  <si>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</si>
  <si>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</si>
  <si>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</si>
  <si>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</si>
  <si>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</si>
  <si>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</si>
  <si>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</si>
  <si>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</si>
  <si>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</si>
  <si>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</si>
  <si>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</si>
  <si>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</si>
  <si>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</si>
  <si>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</si>
  <si>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</si>
  <si>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</si>
  <si>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</si>
  <si>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</si>
  <si>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</si>
  <si>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</si>
  <si>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</si>
  <si>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</si>
  <si>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</si>
  <si>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</si>
  <si>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</si>
  <si>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</si>
  <si>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</si>
  <si>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</si>
  <si>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</si>
  <si>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</si>
  <si>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</si>
  <si>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</si>
  <si>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</si>
  <si>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</si>
  <si>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</si>
  <si>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</si>
  <si>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</si>
  <si>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</si>
  <si>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</si>
  <si>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</si>
  <si>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</si>
  <si>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</si>
  <si>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</si>
  <si>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</si>
  <si>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</si>
  <si>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</si>
  <si>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</si>
  <si>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</si>
  <si>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</si>
  <si>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</si>
  <si>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</si>
  <si>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</si>
  <si>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</si>
  <si>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</si>
  <si>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</si>
  <si>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</si>
  <si>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</si>
  <si>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</si>
  <si>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</si>
  <si>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</si>
  <si>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</si>
  <si>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</si>
  <si>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</si>
  <si>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</si>
  <si>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</si>
  <si>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</si>
  <si>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</si>
  <si>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</si>
  <si>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</si>
  <si>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</si>
  <si>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</si>
  <si>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</si>
  <si>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</si>
  <si>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</si>
  <si>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</si>
  <si>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</si>
  <si>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</si>
  <si>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</si>
  <si>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</si>
  <si>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</si>
  <si>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</si>
  <si>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</si>
  <si>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</si>
  <si>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</si>
  <si>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</si>
  <si>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</si>
  <si>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</si>
  <si>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</si>
  <si>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</si>
  <si>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</si>
  <si>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</si>
  <si>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</si>
  <si>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</si>
  <si>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</si>
  <si>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</si>
  <si>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</si>
  <si>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</si>
  <si>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</si>
  <si>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</si>
  <si>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</si>
  <si>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</si>
  <si>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</si>
  <si>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</si>
  <si>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</si>
  <si>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</si>
  <si>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</si>
  <si>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</si>
  <si>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</si>
  <si>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</si>
  <si>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</si>
  <si>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</si>
  <si>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</si>
  <si>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</si>
  <si>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</si>
  <si>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</si>
  <si>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</si>
  <si>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</si>
  <si>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</si>
  <si>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</si>
  <si>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</si>
  <si>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</si>
  <si>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</si>
  <si>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</si>
  <si>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</si>
  <si>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</si>
  <si>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</si>
  <si>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</si>
  <si>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</si>
  <si>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</si>
  <si>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</si>
  <si>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</si>
  <si>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</si>
  <si>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</si>
  <si>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state_purchases_deflator_growth_ann</t>
  </si>
  <si>
    <t>Add factor  for one-time state refunds</t>
  </si>
  <si>
    <t/>
  </si>
  <si>
    <t xml:space="preserve">CBO (original) </t>
  </si>
  <si>
    <t>CBO (with payment delay)</t>
  </si>
  <si>
    <t>Federal Tax Base Growth Rates</t>
  </si>
  <si>
    <t>Personal income add factor +IRA +CHIPS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</si>
</sst>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s>
  <fonts count="62" x14ac:knownFonts="1">
    <font>
      <sz val="11"/>
      <color theme="1"/>
      <name val="Calibri"/>
      <family val="2"/>
      <scheme val="minor"/>
    </font>
    <font>
      <sz val="11"/>
      <color theme="1"/>
      <name val="Calibri"/>
      <family val="2"/>
    </font>
    <font>
      <i/>
      <sz val="11"/>
      <color theme="1"/>
      <name val="Calibri"/>
      <family val="2"/>
      <scheme val="minor"/>
    </font>
    <font>
      <sz val="11"/>
      <color theme="1"/>
      <name val="Arial"/>
      <family val="2"/>
    </font>
    <font>
      <b/>
      <sz val="11"/>
      <color theme="1"/>
      <name val="Calibri"/>
      <family val="2"/>
      <scheme val="minor"/>
    </font>
    <font>
      <b/>
      <i/>
      <sz val="11"/>
      <color theme="1"/>
      <name val="Calibri"/>
      <family val="2"/>
      <scheme val="minor"/>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sz val="11"/>
      <color rgb="FF000000"/>
      <name val="Calibri"/>
      <family val="2"/>
      <scheme val="minor"/>
    </font>
    <font>
      <i/>
      <sz val="11"/>
      <color theme="1"/>
      <name val="Calibri"/>
      <family val="2"/>
    </font>
    <font>
      <b/>
      <sz val="11"/>
      <color theme="1"/>
      <name val="Calibri"/>
      <family val="2"/>
    </font>
    <font>
      <sz val="11"/>
      <color theme="1"/>
      <name val="Calibri"/>
      <family val="2"/>
      <scheme val="minor"/>
    </font>
    <font>
      <b/>
      <sz val="11"/>
      <color theme="1"/>
      <name val="Arial"/>
      <family val="2"/>
    </font>
    <font>
      <u/>
      <sz val="11"/>
      <color theme="10"/>
      <name val="Calibri"/>
      <family val="2"/>
      <scheme val="minor"/>
    </font>
    <font>
      <sz val="11"/>
      <color theme="1"/>
      <name val="Calibri Light"/>
      <family val="2"/>
      <scheme val="major"/>
    </font>
    <font>
      <sz val="12"/>
      <color theme="1"/>
      <name val="Calibri"/>
      <family val="2"/>
      <scheme val="minor"/>
    </font>
    <font>
      <b/>
      <sz val="12"/>
      <color theme="1"/>
      <name val="Calibri"/>
      <family val="2"/>
      <scheme val="minor"/>
    </font>
    <font>
      <i/>
      <sz val="11"/>
      <color theme="1"/>
      <name val="Arial"/>
      <family val="2"/>
    </font>
    <font>
      <sz val="11"/>
      <color rgb="FFFF0000"/>
      <name val="Arial"/>
      <family val="2"/>
    </font>
    <font>
      <sz val="11"/>
      <color rgb="FF393B3E"/>
      <name val="Arial"/>
      <family val="2"/>
    </font>
    <font>
      <sz val="12"/>
      <color rgb="FF000000"/>
      <name val="Courier New"/>
      <family val="3"/>
    </font>
    <font>
      <b/>
      <i/>
      <sz val="11"/>
      <color theme="1"/>
      <name val="Arial"/>
      <family val="2"/>
    </font>
    <font>
      <sz val="7"/>
      <color rgb="FF242424"/>
      <name val="Segoe UI"/>
      <family val="2"/>
    </font>
    <font>
      <b/>
      <sz val="11"/>
      <color rgb="FF000000"/>
      <name val="Arial"/>
      <family val="2"/>
    </font>
    <font>
      <sz val="11"/>
      <color rgb="FF000000"/>
      <name val="Arial"/>
      <family val="2"/>
    </font>
    <font>
      <b/>
      <sz val="10"/>
      <color theme="1"/>
      <name val="Arial"/>
      <family val="2"/>
    </font>
    <font>
      <i/>
      <sz val="10"/>
      <color theme="1"/>
      <name val="Arial"/>
      <family val="2"/>
    </font>
    <font>
      <b/>
      <i/>
      <sz val="10"/>
      <color theme="1"/>
      <name val="Arial"/>
      <family val="2"/>
    </font>
    <font>
      <b/>
      <sz val="9"/>
      <color theme="1"/>
      <name val="Arial"/>
      <family val="2"/>
    </font>
    <font>
      <sz val="11"/>
      <color indexed="8"/>
      <name val="Arial"/>
      <family val="2"/>
    </font>
    <font>
      <sz val="11"/>
      <color rgb="FF242424"/>
      <name val="Arial"/>
      <family val="2"/>
    </font>
    <font>
      <b/>
      <sz val="11"/>
      <color theme="0"/>
      <name val="Arial"/>
      <family val="2"/>
    </font>
    <font>
      <i/>
      <sz val="11"/>
      <color rgb="FF000000"/>
      <name val="Arial"/>
      <family val="2"/>
    </font>
    <font>
      <sz val="11"/>
      <color rgb="FF1F497D"/>
      <name val="Arial"/>
      <family val="2"/>
    </font>
    <font>
      <sz val="8.5"/>
      <color rgb="FF000000"/>
      <name val="Arial"/>
      <family val="2"/>
    </font>
    <font>
      <sz val="8"/>
      <color theme="1"/>
      <name val="Calibri"/>
      <family val="2"/>
      <scheme val="minor"/>
    </font>
    <font>
      <sz val="9"/>
      <color theme="1"/>
      <name val="Arial"/>
      <family val="2"/>
    </font>
    <font>
      <sz val="9"/>
      <color rgb="FF000000"/>
      <name val="Arial"/>
      <family val="2"/>
    </font>
    <font>
      <sz val="9"/>
      <color theme="1"/>
      <name val="Calibri"/>
      <family val="2"/>
      <scheme val="minor"/>
    </font>
    <font>
      <u/>
      <sz val="9"/>
      <color theme="10"/>
      <name val="Arial"/>
      <family val="2"/>
    </font>
    <font>
      <sz val="8.5"/>
      <color theme="1"/>
      <name val="Arial"/>
      <family val="2"/>
    </font>
    <font>
      <sz val="11"/>
      <color rgb="FF333333"/>
      <name val="Arial"/>
      <family val="2"/>
    </font>
    <font>
      <sz val="16"/>
      <color theme="1"/>
      <name val="Arial"/>
      <family val="2"/>
    </font>
    <font>
      <sz val="11"/>
      <color rgb="FF98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b/>
      <i/>
      <sz val="8"/>
      <color rgb="FF000000"/>
      <name val="Arial"/>
      <family val="2"/>
    </font>
    <font>
      <sz val="10"/>
      <color theme="1"/>
      <name val="Calibri"/>
      <family val="2"/>
      <scheme val="minor"/>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s>
  <fills count="37">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FFC000"/>
        <bgColor rgb="FFFFC000"/>
      </patternFill>
    </fill>
    <fill>
      <patternFill patternType="solid">
        <fgColor rgb="FFA9D08E"/>
        <bgColor rgb="FFA9D08E"/>
      </patternFill>
    </fill>
    <fill>
      <patternFill patternType="solid">
        <fgColor rgb="FFFADCBC"/>
        <bgColor indexed="64"/>
      </patternFill>
    </fill>
    <fill>
      <patternFill patternType="solid">
        <fgColor rgb="FFB3FFFF"/>
        <bgColor indexed="64"/>
      </patternFill>
    </fill>
  </fills>
  <borders count="62">
    <border>
      <left/>
      <right/>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medium">
        <color theme="0" tint="-0.499984740745262"/>
      </left>
      <right style="thin">
        <color theme="0" tint="-0.499984740745262"/>
      </right>
      <top/>
      <bottom/>
      <diagonal/>
    </border>
    <border>
      <left style="thin">
        <color theme="0" tint="-0.499984740745262"/>
      </left>
      <right/>
      <top style="medium">
        <color theme="0" tint="-0.499984740745262"/>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style="medium">
        <color theme="0" tint="-0.499984740745262"/>
      </left>
      <right/>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medium">
        <color theme="0" tint="-0.499984740745262"/>
      </left>
      <right/>
      <top/>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bottom style="hair">
        <color indexed="64"/>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style="thin">
        <color rgb="FF000000"/>
      </top>
      <bottom/>
      <diagonal/>
    </border>
    <border>
      <left/>
      <right/>
      <top/>
      <bottom style="thin">
        <color rgb="FF000000"/>
      </bottom>
      <diagonal/>
    </border>
  </borders>
  <cellStyleXfs count="3">
    <xf numFmtId="0" fontId="0" fillId="0" borderId="0"/>
    <xf numFmtId="9" fontId="15" fillId="0" borderId="0" applyFont="0" applyFill="0" applyBorder="0" applyAlignment="0" applyProtection="0"/>
    <xf numFmtId="0" fontId="15" fillId="0" borderId="0"/>
  </cellStyleXfs>
  <cellXfs count="1288">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5" xfId="0" applyFont="1" applyFill="1" applyBorder="1" applyAlignment="1">
      <alignment vertical="top"/>
    </xf>
    <xf numFmtId="0" fontId="1" fillId="2" borderId="7" xfId="0" applyFont="1" applyFill="1" applyBorder="1" applyAlignment="1">
      <alignment vertical="top"/>
    </xf>
    <xf numFmtId="0" fontId="1" fillId="2" borderId="1" xfId="0" applyFont="1" applyFill="1" applyBorder="1" applyAlignment="1">
      <alignment vertical="top"/>
    </xf>
    <xf numFmtId="0" fontId="4" fillId="2" borderId="4" xfId="0" applyFont="1" applyFill="1" applyBorder="1" applyAlignment="1">
      <alignment vertical="top"/>
    </xf>
    <xf numFmtId="0" fontId="4" fillId="2" borderId="1" xfId="0" applyFont="1" applyFill="1" applyBorder="1" applyAlignment="1">
      <alignment vertical="top"/>
    </xf>
    <xf numFmtId="0" fontId="1" fillId="2" borderId="6" xfId="0" applyFont="1" applyFill="1" applyBorder="1" applyAlignment="1">
      <alignment vertical="top"/>
    </xf>
    <xf numFmtId="0" fontId="1" fillId="2" borderId="0" xfId="0" applyFont="1" applyFill="1" applyAlignment="1">
      <alignment vertical="top"/>
    </xf>
    <xf numFmtId="0" fontId="1" fillId="2" borderId="3" xfId="0" applyFont="1" applyFill="1" applyBorder="1" applyAlignment="1">
      <alignment vertical="top"/>
    </xf>
    <xf numFmtId="0" fontId="1" fillId="2" borderId="8"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7" xfId="0" applyFont="1" applyBorder="1" applyAlignment="1">
      <alignment wrapText="1"/>
    </xf>
    <xf numFmtId="0" fontId="1" fillId="0" borderId="8"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1" fillId="6" borderId="13" xfId="0" applyFont="1" applyFill="1" applyBorder="1" applyAlignment="1">
      <alignment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12" fillId="0" borderId="1" xfId="0" applyFont="1" applyBorder="1" applyAlignment="1">
      <alignment wrapText="1"/>
    </xf>
    <xf numFmtId="0" fontId="12" fillId="0" borderId="0" xfId="0" applyFont="1" applyAlignment="1">
      <alignment wrapText="1"/>
    </xf>
    <xf numFmtId="0" fontId="12" fillId="0" borderId="12" xfId="0" applyFont="1" applyBorder="1" applyAlignment="1">
      <alignment wrapText="1"/>
    </xf>
    <xf numFmtId="0" fontId="1" fillId="0" borderId="0" xfId="0" applyFont="1"/>
    <xf numFmtId="0" fontId="1" fillId="0" borderId="8"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8" xfId="0" applyFont="1" applyBorder="1" applyAlignment="1">
      <alignment vertical="center" wrapText="1"/>
    </xf>
    <xf numFmtId="0" fontId="4" fillId="7" borderId="9" xfId="0" applyFont="1" applyFill="1" applyBorder="1" applyAlignment="1">
      <alignment horizontal="center" wrapText="1"/>
    </xf>
    <xf numFmtId="0" fontId="4" fillId="7" borderId="10" xfId="0" applyFont="1" applyFill="1" applyBorder="1" applyAlignment="1">
      <alignment horizontal="center" wrapText="1"/>
    </xf>
    <xf numFmtId="0" fontId="4" fillId="7" borderId="11" xfId="0" applyFont="1" applyFill="1" applyBorder="1" applyAlignment="1">
      <alignment horizontal="center" wrapText="1"/>
    </xf>
    <xf numFmtId="0" fontId="1" fillId="0" borderId="1" xfId="0" applyFont="1" applyBorder="1"/>
    <xf numFmtId="0" fontId="13" fillId="0" borderId="0" xfId="0" applyFont="1" applyAlignment="1">
      <alignment vertical="center" wrapText="1"/>
    </xf>
    <xf numFmtId="0" fontId="14" fillId="0" borderId="0" xfId="0" applyFont="1"/>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12"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12"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15" fillId="0" borderId="0" xfId="0" applyFont="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5"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6" fillId="0" borderId="0" xfId="0" applyFont="1" applyAlignment="1">
      <alignment horizontal="center" vertical="top"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 fontId="1" fillId="0" borderId="0" xfId="0" applyNumberFormat="1" applyFont="1" applyAlignment="1">
      <alignment horizontal="center"/>
    </xf>
    <xf numFmtId="167" fontId="1" fillId="0" borderId="0" xfId="0" applyNumberFormat="1" applyFont="1"/>
    <xf numFmtId="0" fontId="4" fillId="0" borderId="0" xfId="0" applyFont="1"/>
    <xf numFmtId="0" fontId="4" fillId="8" borderId="0" xfId="0" applyFont="1" applyFill="1" applyAlignment="1">
      <alignment horizontal="center"/>
    </xf>
    <xf numFmtId="0" fontId="1" fillId="0" borderId="15" xfId="0" applyFont="1" applyBorder="1" applyAlignment="1">
      <alignment horizontal="center"/>
    </xf>
    <xf numFmtId="0" fontId="1" fillId="0" borderId="16" xfId="0" applyFont="1" applyBorder="1"/>
    <xf numFmtId="0" fontId="1" fillId="0" borderId="17" xfId="0" applyFont="1" applyBorder="1"/>
    <xf numFmtId="0" fontId="1" fillId="0" borderId="18" xfId="0" applyFont="1" applyBorder="1"/>
    <xf numFmtId="2" fontId="1" fillId="9" borderId="3" xfId="0" applyNumberFormat="1" applyFont="1" applyFill="1" applyBorder="1"/>
    <xf numFmtId="165" fontId="1" fillId="10" borderId="19" xfId="0" applyNumberFormat="1" applyFont="1" applyFill="1" applyBorder="1" applyAlignment="1">
      <alignment horizontal="right"/>
    </xf>
    <xf numFmtId="0" fontId="1" fillId="0" borderId="23" xfId="0" applyFont="1" applyBorder="1" applyAlignment="1">
      <alignment horizontal="center"/>
    </xf>
    <xf numFmtId="165" fontId="1" fillId="0" borderId="19" xfId="0" applyNumberFormat="1" applyFont="1" applyBorder="1" applyAlignment="1">
      <alignment horizontal="right"/>
    </xf>
    <xf numFmtId="165" fontId="1" fillId="10" borderId="24" xfId="0" applyNumberFormat="1" applyFont="1" applyFill="1" applyBorder="1" applyAlignment="1">
      <alignment horizontal="right"/>
    </xf>
    <xf numFmtId="0" fontId="4" fillId="0" borderId="0" xfId="0" applyFont="1" applyAlignment="1">
      <alignment horizontal="center"/>
    </xf>
    <xf numFmtId="0" fontId="1" fillId="0" borderId="27" xfId="0" applyFont="1" applyBorder="1"/>
    <xf numFmtId="0" fontId="1" fillId="0" borderId="28" xfId="0" applyFont="1" applyBorder="1" applyAlignment="1">
      <alignment horizontal="center"/>
    </xf>
    <xf numFmtId="0" fontId="4" fillId="10" borderId="0" xfId="0" applyFont="1" applyFill="1"/>
    <xf numFmtId="0" fontId="1" fillId="10" borderId="0" xfId="0" applyFont="1" applyFill="1"/>
    <xf numFmtId="0" fontId="4" fillId="0" borderId="25" xfId="0" applyFont="1" applyBorder="1"/>
    <xf numFmtId="0" fontId="1" fillId="9" borderId="0" xfId="0" applyFont="1" applyFill="1"/>
    <xf numFmtId="0" fontId="1" fillId="9" borderId="30" xfId="0" applyFont="1" applyFill="1" applyBorder="1"/>
    <xf numFmtId="0" fontId="1" fillId="9" borderId="30" xfId="0" applyFont="1" applyFill="1" applyBorder="1" applyAlignment="1">
      <alignment horizontal="left"/>
    </xf>
    <xf numFmtId="0" fontId="1" fillId="9" borderId="31" xfId="0" applyFont="1" applyFill="1" applyBorder="1"/>
    <xf numFmtId="0" fontId="1" fillId="0" borderId="0" xfId="0" applyFont="1" applyAlignment="1">
      <alignment horizontal="left" vertical="center" indent="2"/>
    </xf>
    <xf numFmtId="0" fontId="15" fillId="0" borderId="0" xfId="0" applyFont="1"/>
    <xf numFmtId="0" fontId="17" fillId="0" borderId="0" xfId="0" applyFont="1"/>
    <xf numFmtId="0" fontId="14" fillId="10" borderId="32" xfId="0" applyFont="1" applyFill="1" applyBorder="1"/>
    <xf numFmtId="0" fontId="14" fillId="0" borderId="30" xfId="0" applyFont="1" applyBorder="1"/>
    <xf numFmtId="165" fontId="4" fillId="10" borderId="33" xfId="0" applyNumberFormat="1" applyFont="1" applyFill="1" applyBorder="1" applyAlignment="1">
      <alignment horizontal="right"/>
    </xf>
    <xf numFmtId="165" fontId="4" fillId="0" borderId="19" xfId="0" applyNumberFormat="1" applyFont="1" applyBorder="1" applyAlignment="1">
      <alignment horizontal="right"/>
    </xf>
    <xf numFmtId="0" fontId="1" fillId="10" borderId="30" xfId="0" applyFont="1" applyFill="1" applyBorder="1"/>
    <xf numFmtId="165" fontId="4" fillId="10" borderId="34" xfId="0" applyNumberFormat="1" applyFont="1" applyFill="1" applyBorder="1" applyAlignment="1">
      <alignment horizontal="right"/>
    </xf>
    <xf numFmtId="165" fontId="4" fillId="0" borderId="24" xfId="0" applyNumberFormat="1" applyFont="1" applyBorder="1" applyAlignment="1">
      <alignment horizontal="right"/>
    </xf>
    <xf numFmtId="165" fontId="4" fillId="10" borderId="19" xfId="0" applyNumberFormat="1" applyFont="1" applyFill="1" applyBorder="1" applyAlignment="1">
      <alignment horizontal="right"/>
    </xf>
    <xf numFmtId="0" fontId="1" fillId="0" borderId="0" xfId="0" applyFont="1" applyAlignment="1">
      <alignment horizontal="center"/>
    </xf>
    <xf numFmtId="165" fontId="4" fillId="0" borderId="35" xfId="0" applyNumberFormat="1" applyFont="1" applyBorder="1" applyAlignment="1">
      <alignment horizontal="right"/>
    </xf>
    <xf numFmtId="0" fontId="1" fillId="0" borderId="36" xfId="0" applyFont="1" applyBorder="1" applyAlignment="1">
      <alignment horizontal="center"/>
    </xf>
    <xf numFmtId="0" fontId="1" fillId="0" borderId="37" xfId="0" applyFont="1" applyBorder="1" applyAlignment="1">
      <alignment horizontal="center"/>
    </xf>
    <xf numFmtId="0" fontId="1" fillId="0" borderId="38" xfId="0" applyFont="1" applyBorder="1" applyAlignment="1">
      <alignment horizontal="center"/>
    </xf>
    <xf numFmtId="0" fontId="1" fillId="0" borderId="30" xfId="0" applyFont="1" applyBorder="1"/>
    <xf numFmtId="165" fontId="1" fillId="0" borderId="24" xfId="0" applyNumberFormat="1" applyFont="1" applyBorder="1" applyAlignment="1">
      <alignment horizontal="right"/>
    </xf>
    <xf numFmtId="0" fontId="14" fillId="10" borderId="30" xfId="0" applyFont="1" applyFill="1" applyBorder="1"/>
    <xf numFmtId="0" fontId="2" fillId="10" borderId="30" xfId="0" applyFont="1" applyFill="1" applyBorder="1"/>
    <xf numFmtId="0" fontId="2" fillId="0" borderId="30" xfId="0" applyFont="1" applyBorder="1"/>
    <xf numFmtId="0" fontId="2" fillId="0" borderId="30" xfId="0" applyFont="1" applyBorder="1" applyAlignment="1">
      <alignment horizontal="left"/>
    </xf>
    <xf numFmtId="0" fontId="1" fillId="0" borderId="30" xfId="0" applyFont="1" applyBorder="1" applyAlignment="1">
      <alignment horizontal="left"/>
    </xf>
    <xf numFmtId="0" fontId="15" fillId="10" borderId="30" xfId="0" applyFont="1" applyFill="1" applyBorder="1" applyAlignment="1">
      <alignment horizontal="left"/>
    </xf>
    <xf numFmtId="0" fontId="15" fillId="0" borderId="30" xfId="0" applyFont="1" applyBorder="1" applyAlignment="1">
      <alignment horizontal="left"/>
    </xf>
    <xf numFmtId="165" fontId="4" fillId="10" borderId="24" xfId="0" applyNumberFormat="1" applyFont="1" applyFill="1" applyBorder="1" applyAlignment="1">
      <alignment horizontal="right"/>
    </xf>
    <xf numFmtId="165" fontId="4" fillId="0" borderId="39" xfId="0" applyNumberFormat="1" applyFont="1" applyBorder="1" applyAlignment="1">
      <alignment horizontal="right"/>
    </xf>
    <xf numFmtId="0" fontId="13" fillId="0" borderId="30" xfId="0" applyFont="1" applyBorder="1" applyAlignment="1">
      <alignment horizontal="left" indent="3"/>
    </xf>
    <xf numFmtId="0" fontId="14" fillId="0" borderId="40" xfId="0" applyFont="1" applyBorder="1"/>
    <xf numFmtId="0" fontId="1" fillId="11" borderId="30" xfId="0" applyFont="1" applyFill="1" applyBorder="1"/>
    <xf numFmtId="0" fontId="4" fillId="0" borderId="41" xfId="0" applyFont="1" applyBorder="1"/>
    <xf numFmtId="0" fontId="1" fillId="0" borderId="6" xfId="0" applyFont="1" applyBorder="1"/>
    <xf numFmtId="0" fontId="1" fillId="0" borderId="3" xfId="0" applyFont="1" applyBorder="1" applyAlignment="1">
      <alignment horizontal="center"/>
    </xf>
    <xf numFmtId="9" fontId="1" fillId="0" borderId="3" xfId="0" applyNumberFormat="1" applyFont="1" applyBorder="1"/>
    <xf numFmtId="9" fontId="1" fillId="9" borderId="3" xfId="0" applyNumberFormat="1" applyFont="1" applyFill="1" applyBorder="1"/>
    <xf numFmtId="2" fontId="1" fillId="9" borderId="42" xfId="0" applyNumberFormat="1" applyFont="1" applyFill="1" applyBorder="1"/>
    <xf numFmtId="2" fontId="1" fillId="11" borderId="42" xfId="0" applyNumberFormat="1" applyFont="1" applyFill="1" applyBorder="1"/>
    <xf numFmtId="9" fontId="1" fillId="0" borderId="2" xfId="0" applyNumberFormat="1" applyFont="1" applyBorder="1"/>
    <xf numFmtId="1" fontId="1" fillId="0" borderId="0" xfId="0" applyNumberFormat="1" applyFont="1"/>
    <xf numFmtId="0" fontId="16" fillId="0" borderId="0" xfId="0" applyFont="1" applyAlignment="1">
      <alignment horizontal="center"/>
    </xf>
    <xf numFmtId="3" fontId="1" fillId="0" borderId="0" xfId="0" applyNumberFormat="1" applyFont="1"/>
    <xf numFmtId="0" fontId="3" fillId="0" borderId="0" xfId="0" applyFont="1" applyAlignment="1">
      <alignment horizontal="center"/>
    </xf>
    <xf numFmtId="0" fontId="3" fillId="0" borderId="0" xfId="0" applyFont="1" applyAlignment="1">
      <alignment horizontal="left" vertical="top" wrapText="1"/>
    </xf>
    <xf numFmtId="0" fontId="16" fillId="3" borderId="0" xfId="0" applyFont="1" applyFill="1" applyAlignment="1">
      <alignment horizontal="center"/>
    </xf>
    <xf numFmtId="0" fontId="3" fillId="12" borderId="4" xfId="0" applyFont="1" applyFill="1" applyBorder="1" applyAlignment="1">
      <alignment horizontal="center"/>
    </xf>
    <xf numFmtId="0" fontId="3" fillId="12" borderId="5" xfId="0" applyFont="1" applyFill="1" applyBorder="1" applyAlignment="1">
      <alignment horizontal="center"/>
    </xf>
    <xf numFmtId="0" fontId="3" fillId="12" borderId="6" xfId="0" applyFont="1" applyFill="1" applyBorder="1" applyAlignment="1">
      <alignment horizontal="center"/>
    </xf>
    <xf numFmtId="0" fontId="16" fillId="12" borderId="44" xfId="0" applyFont="1" applyFill="1" applyBorder="1" applyAlignment="1">
      <alignment horizontal="center"/>
    </xf>
    <xf numFmtId="0" fontId="16" fillId="12" borderId="5" xfId="0" applyFont="1" applyFill="1" applyBorder="1" applyAlignment="1">
      <alignment horizontal="center"/>
    </xf>
    <xf numFmtId="0" fontId="16" fillId="12" borderId="6" xfId="0" applyFont="1" applyFill="1" applyBorder="1" applyAlignment="1">
      <alignment horizontal="center"/>
    </xf>
    <xf numFmtId="165" fontId="3" fillId="0" borderId="0" xfId="0" applyNumberFormat="1" applyFont="1" applyAlignment="1">
      <alignment horizontal="center"/>
    </xf>
    <xf numFmtId="0" fontId="3" fillId="0" borderId="7" xfId="0" applyFont="1" applyBorder="1"/>
    <xf numFmtId="0" fontId="3" fillId="0" borderId="0" xfId="0" applyFont="1" applyAlignment="1">
      <alignment horizontal="center" wrapText="1"/>
    </xf>
    <xf numFmtId="3" fontId="3" fillId="0" borderId="3" xfId="0" applyNumberFormat="1" applyFont="1" applyBorder="1" applyAlignment="1">
      <alignment horizontal="center"/>
    </xf>
    <xf numFmtId="0" fontId="3" fillId="12" borderId="0" xfId="0" applyFont="1" applyFill="1" applyAlignment="1">
      <alignment horizontal="center"/>
    </xf>
    <xf numFmtId="0" fontId="3" fillId="12" borderId="1" xfId="0" applyFont="1" applyFill="1" applyBorder="1" applyAlignment="1">
      <alignment horizontal="center"/>
    </xf>
    <xf numFmtId="0" fontId="3" fillId="0" borderId="3" xfId="0" applyFont="1" applyBorder="1" applyAlignment="1">
      <alignment horizontal="center"/>
    </xf>
    <xf numFmtId="0" fontId="3" fillId="0" borderId="0" xfId="0" applyFont="1"/>
    <xf numFmtId="0" fontId="3" fillId="12" borderId="2" xfId="0" applyFont="1" applyFill="1" applyBorder="1" applyAlignment="1">
      <alignment horizontal="center"/>
    </xf>
    <xf numFmtId="0" fontId="3" fillId="0" borderId="8" xfId="0" applyFont="1" applyBorder="1" applyAlignment="1">
      <alignment horizontal="center"/>
    </xf>
    <xf numFmtId="3" fontId="3" fillId="0" borderId="0" xfId="0" applyNumberFormat="1" applyFont="1" applyAlignment="1">
      <alignment horizontal="center"/>
    </xf>
    <xf numFmtId="3" fontId="16" fillId="0" borderId="0" xfId="0" applyNumberFormat="1" applyFont="1" applyAlignment="1">
      <alignment horizontal="center" wrapText="1"/>
    </xf>
    <xf numFmtId="3" fontId="3" fillId="0" borderId="0" xfId="0" applyNumberFormat="1" applyFont="1" applyAlignment="1">
      <alignment wrapText="1"/>
    </xf>
    <xf numFmtId="0" fontId="3" fillId="0" borderId="2" xfId="0" applyFont="1" applyBorder="1" applyAlignment="1">
      <alignment horizontal="center"/>
    </xf>
    <xf numFmtId="0" fontId="11" fillId="0" borderId="0" xfId="0" applyFont="1"/>
    <xf numFmtId="3" fontId="3" fillId="0" borderId="1" xfId="0" applyNumberFormat="1" applyFont="1" applyBorder="1" applyAlignment="1">
      <alignment horizontal="center"/>
    </xf>
    <xf numFmtId="167" fontId="3" fillId="0" borderId="0" xfId="0" applyNumberFormat="1" applyFont="1" applyAlignment="1">
      <alignment horizontal="left"/>
    </xf>
    <xf numFmtId="167" fontId="3" fillId="0" borderId="0" xfId="0" applyNumberFormat="1" applyFont="1" applyAlignment="1">
      <alignment horizontal="center"/>
    </xf>
    <xf numFmtId="2" fontId="3" fillId="0" borderId="0" xfId="0" applyNumberFormat="1" applyFont="1" applyAlignment="1">
      <alignment horizontal="center"/>
    </xf>
    <xf numFmtId="14" fontId="3" fillId="0" borderId="0" xfId="0" applyNumberFormat="1" applyFont="1" applyAlignment="1">
      <alignment horizontal="center"/>
    </xf>
    <xf numFmtId="14" fontId="3" fillId="12" borderId="12" xfId="0" applyNumberFormat="1" applyFont="1" applyFill="1" applyBorder="1" applyAlignment="1">
      <alignment horizontal="right"/>
    </xf>
    <xf numFmtId="14" fontId="3" fillId="12" borderId="13" xfId="0" applyNumberFormat="1" applyFont="1" applyFill="1" applyBorder="1" applyAlignment="1">
      <alignment horizontal="right"/>
    </xf>
    <xf numFmtId="2" fontId="3" fillId="0" borderId="1" xfId="0" applyNumberFormat="1" applyFont="1" applyBorder="1" applyAlignment="1">
      <alignment horizontal="center"/>
    </xf>
    <xf numFmtId="2" fontId="3" fillId="0" borderId="3" xfId="0" applyNumberFormat="1" applyFont="1" applyBorder="1" applyAlignment="1">
      <alignment horizontal="center"/>
    </xf>
    <xf numFmtId="2" fontId="3" fillId="0" borderId="7" xfId="0" applyNumberFormat="1" applyFont="1" applyBorder="1" applyAlignment="1">
      <alignment horizontal="center"/>
    </xf>
    <xf numFmtId="2" fontId="3" fillId="0" borderId="8" xfId="0" applyNumberFormat="1" applyFont="1" applyBorder="1" applyAlignment="1">
      <alignment horizontal="center"/>
    </xf>
    <xf numFmtId="0" fontId="3" fillId="12" borderId="7" xfId="0" applyFont="1" applyFill="1" applyBorder="1" applyAlignment="1">
      <alignment horizontal="center"/>
    </xf>
    <xf numFmtId="2" fontId="3" fillId="0" borderId="2" xfId="0" applyNumberFormat="1" applyFont="1" applyBorder="1" applyAlignment="1">
      <alignment horizontal="center"/>
    </xf>
    <xf numFmtId="0" fontId="3" fillId="12" borderId="8" xfId="0" applyFont="1" applyFill="1" applyBorder="1" applyAlignment="1">
      <alignment horizontal="center"/>
    </xf>
    <xf numFmtId="0" fontId="3" fillId="0" borderId="0" xfId="0" applyFont="1" applyAlignment="1">
      <alignment wrapText="1"/>
    </xf>
    <xf numFmtId="0" fontId="3" fillId="0" borderId="1" xfId="0" applyFont="1" applyBorder="1"/>
    <xf numFmtId="2" fontId="3" fillId="0" borderId="0" xfId="0" applyNumberFormat="1" applyFont="1"/>
    <xf numFmtId="0" fontId="16" fillId="0" borderId="0" xfId="0" applyFont="1"/>
    <xf numFmtId="0" fontId="3" fillId="0" borderId="0" xfId="0" applyFont="1" applyAlignment="1">
      <alignment horizontal="left"/>
    </xf>
    <xf numFmtId="167" fontId="3" fillId="0" borderId="7" xfId="0" applyNumberFormat="1" applyFont="1" applyBorder="1" applyAlignment="1">
      <alignment horizontal="center"/>
    </xf>
    <xf numFmtId="167" fontId="3" fillId="0" borderId="8" xfId="0" applyNumberFormat="1" applyFont="1" applyBorder="1" applyAlignment="1">
      <alignment horizontal="center"/>
    </xf>
    <xf numFmtId="167" fontId="3" fillId="0" borderId="2" xfId="0" applyNumberFormat="1" applyFont="1" applyBorder="1" applyAlignment="1">
      <alignment horizontal="center"/>
    </xf>
    <xf numFmtId="0" fontId="3" fillId="12" borderId="7" xfId="0" applyFont="1" applyFill="1" applyBorder="1" applyAlignment="1">
      <alignment horizontal="center" wrapText="1"/>
    </xf>
    <xf numFmtId="0" fontId="3" fillId="0" borderId="1" xfId="0" applyFont="1" applyBorder="1" applyAlignment="1">
      <alignment wrapText="1"/>
    </xf>
    <xf numFmtId="0" fontId="3" fillId="12" borderId="8" xfId="0" applyFont="1" applyFill="1" applyBorder="1" applyAlignment="1">
      <alignment horizontal="center" wrapText="1"/>
    </xf>
    <xf numFmtId="0" fontId="3" fillId="8" borderId="14" xfId="0" applyFont="1" applyFill="1" applyBorder="1"/>
    <xf numFmtId="0" fontId="3" fillId="12" borderId="5" xfId="0" applyFont="1" applyFill="1" applyBorder="1"/>
    <xf numFmtId="0" fontId="3" fillId="8" borderId="13" xfId="0" applyFont="1" applyFill="1" applyBorder="1" applyAlignment="1">
      <alignment horizontal="center" wrapText="1"/>
    </xf>
    <xf numFmtId="3" fontId="3" fillId="0" borderId="4" xfId="0" applyNumberFormat="1" applyFont="1" applyBorder="1" applyAlignment="1">
      <alignment horizontal="center"/>
    </xf>
    <xf numFmtId="3" fontId="3" fillId="0" borderId="5" xfId="0" applyNumberFormat="1" applyFont="1" applyBorder="1" applyAlignment="1">
      <alignment horizontal="center"/>
    </xf>
    <xf numFmtId="0" fontId="3" fillId="12" borderId="45" xfId="0" applyFont="1" applyFill="1" applyBorder="1" applyAlignment="1">
      <alignment horizontal="center" wrapText="1"/>
    </xf>
    <xf numFmtId="0" fontId="3" fillId="12" borderId="46" xfId="0" applyFont="1" applyFill="1" applyBorder="1" applyAlignment="1">
      <alignment horizontal="center" wrapText="1"/>
    </xf>
    <xf numFmtId="14" fontId="3" fillId="12" borderId="14" xfId="0" applyNumberFormat="1" applyFont="1" applyFill="1" applyBorder="1" applyAlignment="1">
      <alignment horizontal="right"/>
    </xf>
    <xf numFmtId="3" fontId="3" fillId="0" borderId="0" xfId="0" applyNumberFormat="1" applyFont="1"/>
    <xf numFmtId="165" fontId="1" fillId="12" borderId="6" xfId="0" applyNumberFormat="1" applyFont="1" applyFill="1" applyBorder="1" applyAlignment="1">
      <alignment horizontal="center"/>
    </xf>
    <xf numFmtId="165" fontId="1" fillId="12" borderId="3" xfId="0" applyNumberFormat="1" applyFont="1" applyFill="1" applyBorder="1" applyAlignment="1">
      <alignment horizontal="center"/>
    </xf>
    <xf numFmtId="0" fontId="1" fillId="12" borderId="2" xfId="0" applyFont="1" applyFill="1" applyBorder="1" applyAlignment="1">
      <alignment horizontal="center"/>
    </xf>
    <xf numFmtId="0" fontId="1" fillId="8" borderId="6" xfId="0" applyFont="1" applyFill="1" applyBorder="1"/>
    <xf numFmtId="0" fontId="1" fillId="0" borderId="0" xfId="0" applyFont="1" applyAlignment="1">
      <alignment horizontal="left" wrapText="1" indent="2"/>
    </xf>
    <xf numFmtId="165" fontId="1" fillId="0" borderId="0" xfId="0" applyNumberFormat="1" applyFont="1" applyAlignment="1">
      <alignment horizontal="center"/>
    </xf>
    <xf numFmtId="165" fontId="1" fillId="0" borderId="0" xfId="0" applyNumberFormat="1" applyFont="1"/>
    <xf numFmtId="0" fontId="3" fillId="12" borderId="3" xfId="0" applyFont="1" applyFill="1" applyBorder="1" applyAlignment="1">
      <alignment horizontal="center"/>
    </xf>
    <xf numFmtId="0" fontId="1" fillId="12" borderId="0" xfId="0" applyFont="1" applyFill="1" applyAlignment="1">
      <alignment horizontal="center"/>
    </xf>
    <xf numFmtId="0" fontId="1" fillId="0" borderId="8" xfId="0" applyFont="1" applyBorder="1" applyAlignment="1">
      <alignment horizontal="center"/>
    </xf>
    <xf numFmtId="0" fontId="1" fillId="0" borderId="4" xfId="0" applyFont="1" applyBorder="1" applyAlignment="1">
      <alignment horizontal="left" wrapText="1" indent="2"/>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8" borderId="3" xfId="0" applyFont="1" applyFill="1" applyBorder="1" applyAlignment="1">
      <alignment horizontal="center"/>
    </xf>
    <xf numFmtId="0" fontId="1" fillId="0" borderId="7" xfId="0" applyFont="1" applyBorder="1" applyAlignment="1">
      <alignment horizontal="left" indent="2"/>
    </xf>
    <xf numFmtId="0" fontId="1" fillId="8" borderId="2" xfId="0" applyFont="1" applyFill="1" applyBorder="1" applyAlignment="1">
      <alignment horizontal="center"/>
    </xf>
    <xf numFmtId="0" fontId="1" fillId="12" borderId="14" xfId="0" applyFont="1" applyFill="1" applyBorder="1" applyAlignment="1">
      <alignment horizontal="center" wrapText="1"/>
    </xf>
    <xf numFmtId="0" fontId="1" fillId="3" borderId="46" xfId="0" applyFont="1" applyFill="1" applyBorder="1" applyAlignment="1">
      <alignment wrapText="1"/>
    </xf>
    <xf numFmtId="0" fontId="1" fillId="3" borderId="45" xfId="0" applyFont="1" applyFill="1" applyBorder="1" applyAlignment="1">
      <alignment wrapText="1"/>
    </xf>
    <xf numFmtId="165" fontId="1" fillId="8" borderId="5" xfId="0" applyNumberFormat="1" applyFont="1" applyFill="1" applyBorder="1" applyAlignment="1">
      <alignment horizontal="center"/>
    </xf>
    <xf numFmtId="0" fontId="1" fillId="0" borderId="8" xfId="0" applyFont="1" applyBorder="1" applyAlignment="1">
      <alignment horizontal="left" indent="2"/>
    </xf>
    <xf numFmtId="0" fontId="1" fillId="0" borderId="5" xfId="0" applyFont="1" applyBorder="1" applyAlignment="1">
      <alignment horizontal="left" wrapText="1" indent="2"/>
    </xf>
    <xf numFmtId="165" fontId="1" fillId="0" borderId="5" xfId="0" applyNumberFormat="1" applyFont="1" applyBorder="1" applyAlignment="1">
      <alignment horizontal="center"/>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3" xfId="0" applyFont="1" applyFill="1" applyBorder="1" applyAlignment="1">
      <alignment horizontal="center"/>
    </xf>
    <xf numFmtId="0" fontId="1" fillId="9" borderId="13" xfId="0" applyFont="1" applyFill="1" applyBorder="1" applyAlignment="1">
      <alignment horizontal="center"/>
    </xf>
    <xf numFmtId="165" fontId="1" fillId="9" borderId="2" xfId="0" applyNumberFormat="1" applyFont="1" applyFill="1" applyBorder="1" applyAlignment="1">
      <alignment horizontal="center"/>
    </xf>
    <xf numFmtId="0" fontId="1" fillId="0" borderId="1" xfId="0" applyFont="1" applyBorder="1" applyAlignment="1">
      <alignment horizontal="center"/>
    </xf>
    <xf numFmtId="0" fontId="13" fillId="0" borderId="4" xfId="0" applyFont="1" applyBorder="1" applyAlignment="1">
      <alignment horizontal="left" wrapText="1" indent="2"/>
    </xf>
    <xf numFmtId="165" fontId="1" fillId="0" borderId="4" xfId="0" applyNumberFormat="1" applyFont="1" applyBorder="1" applyAlignment="1">
      <alignment horizontal="center"/>
    </xf>
    <xf numFmtId="0" fontId="1" fillId="0" borderId="7" xfId="0" applyFont="1" applyBorder="1" applyAlignment="1">
      <alignment horizontal="center"/>
    </xf>
    <xf numFmtId="165" fontId="1" fillId="0" borderId="1" xfId="0" applyNumberFormat="1" applyFont="1" applyBorder="1" applyAlignment="1">
      <alignment horizontal="center"/>
    </xf>
    <xf numFmtId="0" fontId="20" fillId="0" borderId="0" xfId="0" applyFont="1"/>
    <xf numFmtId="0" fontId="19" fillId="0" borderId="0" xfId="0" applyFont="1"/>
    <xf numFmtId="0" fontId="19" fillId="0" borderId="0" xfId="0" applyFont="1" applyAlignment="1">
      <alignment horizontal="left" indent="1"/>
    </xf>
    <xf numFmtId="0" fontId="19" fillId="0" borderId="0" xfId="0" applyFont="1" applyAlignment="1">
      <alignment horizontal="left" wrapText="1" indent="1"/>
    </xf>
    <xf numFmtId="0" fontId="19" fillId="0" borderId="0" xfId="0" applyFont="1" applyAlignment="1">
      <alignment horizontal="left" indent="2"/>
    </xf>
    <xf numFmtId="0" fontId="19" fillId="0" borderId="0" xfId="0" applyFont="1" applyAlignment="1">
      <alignment horizontal="center" wrapText="1"/>
    </xf>
    <xf numFmtId="9" fontId="19" fillId="0" borderId="0" xfId="0" applyNumberFormat="1" applyFont="1" applyAlignment="1">
      <alignment horizontal="center"/>
    </xf>
    <xf numFmtId="0" fontId="20" fillId="0" borderId="0" xfId="0" applyFont="1" applyAlignment="1">
      <alignment horizontal="center"/>
    </xf>
    <xf numFmtId="167" fontId="19" fillId="0" borderId="0" xfId="0" applyNumberFormat="1" applyFont="1" applyAlignment="1">
      <alignment horizontal="center"/>
    </xf>
    <xf numFmtId="167" fontId="1" fillId="0" borderId="0" xfId="0" applyNumberFormat="1" applyFont="1" applyAlignment="1">
      <alignment horizontal="center"/>
    </xf>
    <xf numFmtId="0" fontId="16" fillId="0" borderId="0" xfId="0" applyFont="1" applyAlignment="1">
      <alignment horizontal="left" vertical="top" wrapText="1"/>
    </xf>
    <xf numFmtId="0" fontId="3" fillId="8" borderId="4" xfId="0" applyFont="1" applyFill="1" applyBorder="1" applyAlignment="1">
      <alignment horizontal="center"/>
    </xf>
    <xf numFmtId="0" fontId="3" fillId="8" borderId="5" xfId="0" applyFont="1" applyFill="1" applyBorder="1" applyAlignment="1">
      <alignment horizontal="center"/>
    </xf>
    <xf numFmtId="0" fontId="3" fillId="8" borderId="6" xfId="0" applyFont="1" applyFill="1" applyBorder="1" applyAlignment="1">
      <alignment horizontal="center"/>
    </xf>
    <xf numFmtId="3" fontId="21" fillId="12" borderId="3" xfId="0" applyNumberFormat="1" applyFont="1" applyFill="1" applyBorder="1" applyAlignment="1">
      <alignment horizontal="center"/>
    </xf>
    <xf numFmtId="3" fontId="3" fillId="2" borderId="3" xfId="0" applyNumberFormat="1" applyFont="1" applyFill="1" applyBorder="1" applyAlignment="1">
      <alignment horizontal="center"/>
    </xf>
    <xf numFmtId="0" fontId="3" fillId="12" borderId="3" xfId="0" applyFont="1" applyFill="1" applyBorder="1" applyAlignment="1">
      <alignment horizontal="center" wrapText="1"/>
    </xf>
    <xf numFmtId="3" fontId="21" fillId="0" borderId="0" xfId="0" applyNumberFormat="1" applyFont="1" applyAlignment="1">
      <alignment horizontal="center"/>
    </xf>
    <xf numFmtId="165" fontId="21" fillId="0" borderId="0" xfId="0" applyNumberFormat="1" applyFont="1" applyAlignment="1">
      <alignment horizontal="center"/>
    </xf>
    <xf numFmtId="3" fontId="3" fillId="8" borderId="0" xfId="0" applyNumberFormat="1" applyFont="1" applyFill="1" applyAlignment="1">
      <alignment horizontal="center"/>
    </xf>
    <xf numFmtId="3" fontId="21" fillId="8" borderId="0" xfId="0" applyNumberFormat="1" applyFont="1" applyFill="1" applyAlignment="1">
      <alignment horizontal="center"/>
    </xf>
    <xf numFmtId="165" fontId="3" fillId="8" borderId="0" xfId="0" applyNumberFormat="1" applyFont="1" applyFill="1" applyAlignment="1">
      <alignment horizontal="center"/>
    </xf>
    <xf numFmtId="0" fontId="3" fillId="12" borderId="6" xfId="0" applyFont="1" applyFill="1" applyBorder="1"/>
    <xf numFmtId="3" fontId="3" fillId="8" borderId="3" xfId="0" applyNumberFormat="1" applyFont="1" applyFill="1" applyBorder="1" applyAlignment="1">
      <alignment horizontal="center"/>
    </xf>
    <xf numFmtId="165" fontId="21" fillId="0" borderId="1" xfId="0" applyNumberFormat="1" applyFont="1" applyBorder="1" applyAlignment="1">
      <alignment horizontal="center"/>
    </xf>
    <xf numFmtId="3" fontId="21" fillId="8" borderId="3" xfId="0" applyNumberFormat="1" applyFont="1" applyFill="1" applyBorder="1" applyAlignment="1">
      <alignment horizontal="center"/>
    </xf>
    <xf numFmtId="3" fontId="3" fillId="8" borderId="6" xfId="0" applyNumberFormat="1" applyFont="1" applyFill="1" applyBorder="1" applyAlignment="1">
      <alignment horizontal="center"/>
    </xf>
    <xf numFmtId="0" fontId="21" fillId="0" borderId="0" xfId="0" applyFont="1"/>
    <xf numFmtId="0" fontId="3" fillId="8" borderId="14" xfId="0" applyFont="1" applyFill="1" applyBorder="1" applyAlignment="1">
      <alignment horizont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3" fillId="0" borderId="4" xfId="0" applyFont="1" applyBorder="1" applyAlignment="1">
      <alignment horizontal="left"/>
    </xf>
    <xf numFmtId="0" fontId="3" fillId="0" borderId="0" xfId="0" applyFont="1" applyAlignment="1">
      <alignment horizontal="left" wrapText="1"/>
    </xf>
    <xf numFmtId="0" fontId="3" fillId="0" borderId="8" xfId="0" applyFont="1" applyBorder="1"/>
    <xf numFmtId="165" fontId="3" fillId="8" borderId="3" xfId="0" applyNumberFormat="1" applyFont="1" applyFill="1" applyBorder="1" applyAlignment="1">
      <alignment horizontal="center"/>
    </xf>
    <xf numFmtId="165" fontId="3" fillId="8" borderId="8" xfId="0" applyNumberFormat="1" applyFont="1" applyFill="1" applyBorder="1" applyAlignment="1">
      <alignment horizontal="center"/>
    </xf>
    <xf numFmtId="0" fontId="3" fillId="0" borderId="0" xfId="0" applyFont="1" applyAlignment="1">
      <alignment horizontal="left" indent="1"/>
    </xf>
    <xf numFmtId="3" fontId="3" fillId="0" borderId="0" xfId="0" applyNumberFormat="1" applyFont="1" applyAlignment="1">
      <alignment horizontal="right"/>
    </xf>
    <xf numFmtId="3" fontId="3" fillId="8" borderId="8" xfId="0" applyNumberFormat="1" applyFont="1" applyFill="1" applyBorder="1" applyAlignment="1">
      <alignment horizontal="center"/>
    </xf>
    <xf numFmtId="0" fontId="3" fillId="0" borderId="1" xfId="0" applyFont="1" applyBorder="1" applyAlignment="1">
      <alignment horizontal="left" wrapText="1"/>
    </xf>
    <xf numFmtId="0" fontId="21" fillId="0" borderId="1" xfId="0" applyFont="1" applyBorder="1" applyAlignment="1">
      <alignment horizontal="left" wrapText="1"/>
    </xf>
    <xf numFmtId="168" fontId="3" fillId="0" borderId="0" xfId="0" applyNumberFormat="1" applyFont="1"/>
    <xf numFmtId="0" fontId="3" fillId="8" borderId="7" xfId="0" applyFont="1" applyFill="1" applyBorder="1" applyAlignment="1">
      <alignment horizontal="center"/>
    </xf>
    <xf numFmtId="0" fontId="3" fillId="8" borderId="8" xfId="0" applyFont="1" applyFill="1" applyBorder="1" applyAlignment="1">
      <alignment horizontal="center"/>
    </xf>
    <xf numFmtId="0" fontId="3" fillId="8" borderId="2" xfId="0" applyFont="1" applyFill="1" applyBorder="1" applyAlignment="1">
      <alignment horizontal="center"/>
    </xf>
    <xf numFmtId="165" fontId="3" fillId="8" borderId="2" xfId="0" applyNumberFormat="1" applyFont="1" applyFill="1" applyBorder="1" applyAlignment="1">
      <alignment horizontal="center"/>
    </xf>
    <xf numFmtId="0" fontId="3" fillId="8" borderId="13" xfId="0" applyFont="1" applyFill="1" applyBorder="1" applyAlignment="1">
      <alignment horizontal="center"/>
    </xf>
    <xf numFmtId="0" fontId="21" fillId="0" borderId="0" xfId="0" applyFont="1" applyAlignment="1">
      <alignment horizontal="left" wrapText="1"/>
    </xf>
    <xf numFmtId="0" fontId="3" fillId="0" borderId="5" xfId="0" applyFont="1" applyBorder="1" applyAlignment="1">
      <alignment horizontal="left"/>
    </xf>
    <xf numFmtId="3" fontId="3" fillId="8" borderId="5" xfId="0" applyNumberFormat="1" applyFont="1" applyFill="1" applyBorder="1" applyAlignment="1">
      <alignment horizontal="center"/>
    </xf>
    <xf numFmtId="0" fontId="3" fillId="0" borderId="1" xfId="0" applyFont="1" applyBorder="1" applyAlignment="1">
      <alignment horizontal="center" wrapText="1"/>
    </xf>
    <xf numFmtId="0" fontId="3" fillId="0" borderId="5" xfId="0" applyFont="1" applyBorder="1" applyAlignment="1">
      <alignment horizontal="center"/>
    </xf>
    <xf numFmtId="0" fontId="3" fillId="0" borderId="1" xfId="0" applyFont="1" applyBorder="1" applyAlignment="1">
      <alignment horizontal="center"/>
    </xf>
    <xf numFmtId="0" fontId="3" fillId="0" borderId="7" xfId="0" applyFont="1" applyBorder="1" applyAlignment="1">
      <alignment horizontal="center"/>
    </xf>
    <xf numFmtId="165" fontId="3" fillId="0" borderId="8" xfId="0" applyNumberFormat="1" applyFont="1" applyBorder="1" applyAlignment="1">
      <alignment horizontal="center"/>
    </xf>
    <xf numFmtId="0" fontId="3" fillId="0" borderId="4" xfId="0" applyFont="1" applyBorder="1" applyAlignment="1">
      <alignment horizontal="center"/>
    </xf>
    <xf numFmtId="0" fontId="3" fillId="8" borderId="6" xfId="0" applyFont="1" applyFill="1" applyBorder="1"/>
    <xf numFmtId="0" fontId="4" fillId="3" borderId="4" xfId="0" applyFont="1" applyFill="1" applyBorder="1" applyAlignment="1">
      <alignment horizontal="center"/>
    </xf>
    <xf numFmtId="0" fontId="4" fillId="3" borderId="6"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0" fontId="1" fillId="0" borderId="3" xfId="0" applyFont="1" applyBorder="1"/>
    <xf numFmtId="14" fontId="1" fillId="0" borderId="7" xfId="0" applyNumberFormat="1" applyFont="1" applyBorder="1"/>
    <xf numFmtId="0" fontId="1" fillId="0" borderId="2" xfId="0" applyFont="1" applyBorder="1"/>
    <xf numFmtId="0" fontId="4" fillId="3" borderId="6" xfId="0" applyFont="1" applyFill="1" applyBorder="1"/>
    <xf numFmtId="165" fontId="3" fillId="0" borderId="3" xfId="0" applyNumberFormat="1" applyFont="1" applyBorder="1" applyAlignment="1">
      <alignment horizontal="center"/>
    </xf>
    <xf numFmtId="168" fontId="3" fillId="0" borderId="8" xfId="0" applyNumberFormat="1" applyFont="1" applyBorder="1" applyAlignment="1">
      <alignment horizontal="center"/>
    </xf>
    <xf numFmtId="168" fontId="3" fillId="0" borderId="2" xfId="0" applyNumberFormat="1" applyFont="1" applyBorder="1" applyAlignment="1">
      <alignment horizontal="center"/>
    </xf>
    <xf numFmtId="0" fontId="3" fillId="0" borderId="3" xfId="0" applyFont="1" applyBorder="1" applyAlignment="1">
      <alignment horizontal="center" wrapText="1"/>
    </xf>
    <xf numFmtId="165" fontId="3" fillId="12" borderId="3" xfId="0" applyNumberFormat="1" applyFont="1" applyFill="1" applyBorder="1" applyAlignment="1">
      <alignment horizontal="center" wrapText="1"/>
    </xf>
    <xf numFmtId="1" fontId="3" fillId="12" borderId="3" xfId="0" applyNumberFormat="1" applyFont="1" applyFill="1" applyBorder="1" applyAlignment="1">
      <alignment horizontal="center" wrapText="1"/>
    </xf>
    <xf numFmtId="3" fontId="3" fillId="12" borderId="2" xfId="0" applyNumberFormat="1" applyFont="1" applyFill="1" applyBorder="1" applyAlignment="1">
      <alignment horizontal="center" vertical="top" wrapText="1"/>
    </xf>
    <xf numFmtId="1" fontId="3" fillId="12" borderId="6" xfId="0" applyNumberFormat="1" applyFont="1" applyFill="1" applyBorder="1" applyAlignment="1">
      <alignment horizontal="center"/>
    </xf>
    <xf numFmtId="1" fontId="3" fillId="0" borderId="4" xfId="0" applyNumberFormat="1" applyFont="1" applyBorder="1" applyAlignment="1">
      <alignment horizontal="center"/>
    </xf>
    <xf numFmtId="1" fontId="3" fillId="0" borderId="5" xfId="0" applyNumberFormat="1" applyFont="1" applyBorder="1" applyAlignment="1">
      <alignment horizontal="center"/>
    </xf>
    <xf numFmtId="1" fontId="3" fillId="0" borderId="1" xfId="0" applyNumberFormat="1" applyFont="1" applyBorder="1" applyAlignment="1">
      <alignment horizontal="center" wrapText="1"/>
    </xf>
    <xf numFmtId="165" fontId="3" fillId="0" borderId="5" xfId="0" applyNumberFormat="1" applyFont="1" applyBorder="1" applyAlignment="1">
      <alignment horizontal="center" wrapText="1"/>
    </xf>
    <xf numFmtId="0" fontId="21" fillId="0" borderId="3" xfId="0" applyFont="1" applyBorder="1" applyAlignment="1">
      <alignment horizontal="left"/>
    </xf>
    <xf numFmtId="2" fontId="3" fillId="0" borderId="8" xfId="0" applyNumberFormat="1" applyFont="1" applyBorder="1"/>
    <xf numFmtId="165" fontId="3" fillId="6" borderId="0" xfId="0" applyNumberFormat="1" applyFont="1" applyFill="1" applyAlignment="1">
      <alignment horizontal="center" wrapText="1"/>
    </xf>
    <xf numFmtId="3" fontId="3" fillId="8" borderId="0" xfId="0" applyNumberFormat="1" applyFont="1" applyFill="1" applyAlignment="1">
      <alignment horizontal="center" wrapText="1"/>
    </xf>
    <xf numFmtId="165" fontId="3" fillId="8" borderId="0" xfId="0" applyNumberFormat="1" applyFont="1" applyFill="1" applyAlignment="1">
      <alignment horizontal="center" wrapText="1"/>
    </xf>
    <xf numFmtId="0" fontId="21" fillId="0" borderId="0" xfId="0" applyFont="1" applyAlignment="1">
      <alignment horizontal="center" wrapText="1"/>
    </xf>
    <xf numFmtId="165" fontId="21" fillId="0" borderId="0" xfId="0" applyNumberFormat="1" applyFont="1" applyAlignment="1">
      <alignment horizontal="center" wrapText="1"/>
    </xf>
    <xf numFmtId="165" fontId="21" fillId="14" borderId="0" xfId="0" applyNumberFormat="1" applyFont="1" applyFill="1" applyAlignment="1">
      <alignment horizontal="center" wrapText="1"/>
    </xf>
    <xf numFmtId="165" fontId="3" fillId="0" borderId="0" xfId="0" applyNumberFormat="1" applyFont="1" applyAlignment="1">
      <alignment horizontal="center" wrapText="1"/>
    </xf>
    <xf numFmtId="165" fontId="3" fillId="14" borderId="0" xfId="0" applyNumberFormat="1" applyFont="1" applyFill="1" applyAlignment="1">
      <alignment horizontal="center" wrapText="1"/>
    </xf>
    <xf numFmtId="165" fontId="3" fillId="14" borderId="0" xfId="0" applyNumberFormat="1" applyFont="1" applyFill="1" applyAlignment="1">
      <alignment horizontal="center" vertical="top" wrapText="1"/>
    </xf>
    <xf numFmtId="165" fontId="16" fillId="14" borderId="0" xfId="0" applyNumberFormat="1" applyFont="1" applyFill="1" applyAlignment="1">
      <alignment horizontal="center" vertical="top" wrapText="1"/>
    </xf>
    <xf numFmtId="2" fontId="3" fillId="8" borderId="8" xfId="0" applyNumberFormat="1" applyFont="1" applyFill="1" applyBorder="1"/>
    <xf numFmtId="165" fontId="3" fillId="0" borderId="0" xfId="0" applyNumberFormat="1" applyFont="1" applyAlignment="1">
      <alignment vertical="top" wrapText="1"/>
    </xf>
    <xf numFmtId="0" fontId="3" fillId="0" borderId="7" xfId="0" applyFont="1" applyBorder="1" applyAlignment="1">
      <alignment horizontal="left" vertical="top" wrapText="1" indent="2"/>
    </xf>
    <xf numFmtId="0" fontId="3" fillId="0" borderId="0" xfId="0" applyFont="1" applyAlignment="1">
      <alignment horizontal="left" vertical="top" wrapText="1" indent="2"/>
    </xf>
    <xf numFmtId="0" fontId="3" fillId="0" borderId="3" xfId="0" applyFont="1" applyBorder="1" applyAlignment="1">
      <alignment vertical="top" wrapText="1"/>
    </xf>
    <xf numFmtId="0" fontId="3" fillId="0" borderId="1" xfId="0" applyFont="1" applyBorder="1" applyAlignment="1">
      <alignment horizontal="left" wrapText="1" indent="4"/>
    </xf>
    <xf numFmtId="0" fontId="16"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3" xfId="0" applyNumberFormat="1" applyFont="1" applyBorder="1" applyAlignment="1">
      <alignment horizontal="center" wrapText="1"/>
    </xf>
    <xf numFmtId="3" fontId="3" fillId="0" borderId="2" xfId="0" applyNumberFormat="1" applyFont="1" applyBorder="1" applyAlignment="1">
      <alignment horizontal="center" wrapText="1"/>
    </xf>
    <xf numFmtId="165" fontId="21" fillId="8" borderId="5" xfId="0" applyNumberFormat="1" applyFont="1" applyFill="1" applyBorder="1" applyAlignment="1">
      <alignment horizontal="center" wrapText="1"/>
    </xf>
    <xf numFmtId="165" fontId="21" fillId="8" borderId="6" xfId="0" applyNumberFormat="1" applyFont="1" applyFill="1" applyBorder="1" applyAlignment="1">
      <alignment horizontal="center" wrapText="1"/>
    </xf>
    <xf numFmtId="0" fontId="3" fillId="0" borderId="43" xfId="0" applyFont="1" applyBorder="1" applyAlignment="1">
      <alignment wrapText="1"/>
    </xf>
    <xf numFmtId="0" fontId="3" fillId="0" borderId="44" xfId="0" applyFont="1" applyBorder="1"/>
    <xf numFmtId="0" fontId="3" fillId="0" borderId="46"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3" fontId="3" fillId="0" borderId="1" xfId="0" applyNumberFormat="1" applyFont="1" applyBorder="1" applyAlignment="1">
      <alignment horizontal="center" vertical="top" wrapText="1"/>
    </xf>
    <xf numFmtId="3" fontId="3" fillId="0" borderId="6" xfId="0" applyNumberFormat="1" applyFont="1" applyBorder="1" applyAlignment="1">
      <alignment horizontal="center"/>
    </xf>
    <xf numFmtId="3" fontId="3" fillId="0" borderId="7" xfId="0" applyNumberFormat="1" applyFont="1" applyBorder="1" applyAlignment="1">
      <alignment horizontal="center" vertical="top" wrapText="1"/>
    </xf>
    <xf numFmtId="0" fontId="3" fillId="0" borderId="0" xfId="0" applyFont="1" applyAlignment="1">
      <alignment horizontal="left" wrapText="1" indent="2"/>
    </xf>
    <xf numFmtId="3" fontId="3" fillId="0" borderId="8" xfId="0" applyNumberFormat="1" applyFont="1" applyBorder="1" applyAlignment="1">
      <alignment horizontal="center" vertical="top" wrapText="1"/>
    </xf>
    <xf numFmtId="0" fontId="3" fillId="0" borderId="0" xfId="0" applyFont="1" applyAlignment="1">
      <alignment horizontal="left" wrapText="1" indent="4"/>
    </xf>
    <xf numFmtId="0" fontId="3" fillId="0" borderId="3" xfId="0" applyFont="1" applyBorder="1" applyAlignment="1">
      <alignment wrapText="1"/>
    </xf>
    <xf numFmtId="0" fontId="3" fillId="0" borderId="7" xfId="0" applyFont="1" applyBorder="1" applyAlignment="1">
      <alignment horizontal="left" wrapText="1" indent="4"/>
    </xf>
    <xf numFmtId="3" fontId="22" fillId="0" borderId="0" xfId="0" applyNumberFormat="1" applyFont="1" applyAlignment="1">
      <alignment horizontal="center" wrapText="1"/>
    </xf>
    <xf numFmtId="3" fontId="3" fillId="0" borderId="8"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7" xfId="0" applyNumberFormat="1" applyFont="1" applyBorder="1" applyAlignment="1">
      <alignment horizontal="center" wrapText="1"/>
    </xf>
    <xf numFmtId="0" fontId="23" fillId="0" borderId="0" xfId="0" applyFont="1"/>
    <xf numFmtId="165" fontId="3" fillId="8" borderId="8" xfId="0" applyNumberFormat="1" applyFont="1" applyFill="1" applyBorder="1" applyAlignment="1">
      <alignment horizontal="center" wrapText="1"/>
    </xf>
    <xf numFmtId="165" fontId="3" fillId="8" borderId="2" xfId="0" applyNumberFormat="1" applyFont="1" applyFill="1" applyBorder="1" applyAlignment="1">
      <alignment horizontal="center" wrapText="1"/>
    </xf>
    <xf numFmtId="0" fontId="16" fillId="0" borderId="0" xfId="0" applyFont="1" applyAlignment="1">
      <alignment wrapText="1"/>
    </xf>
    <xf numFmtId="3" fontId="3" fillId="0" borderId="0" xfId="0" applyNumberFormat="1" applyFont="1" applyAlignment="1">
      <alignment horizontal="left" vertical="top" wrapText="1"/>
    </xf>
    <xf numFmtId="0" fontId="3" fillId="8" borderId="1" xfId="0" applyFont="1" applyFill="1" applyBorder="1" applyAlignment="1">
      <alignment horizontal="center"/>
    </xf>
    <xf numFmtId="0" fontId="3" fillId="8" borderId="0" xfId="0" applyFont="1" applyFill="1" applyAlignment="1">
      <alignment horizontal="center"/>
    </xf>
    <xf numFmtId="165" fontId="3" fillId="8" borderId="6" xfId="0" applyNumberFormat="1" applyFont="1" applyFill="1" applyBorder="1" applyAlignment="1">
      <alignment horizontal="center" wrapText="1"/>
    </xf>
    <xf numFmtId="168" fontId="3" fillId="0" borderId="0" xfId="0" applyNumberFormat="1" applyFont="1" applyAlignment="1">
      <alignment horizontal="center" wrapText="1"/>
    </xf>
    <xf numFmtId="165" fontId="3" fillId="0" borderId="8" xfId="0" applyNumberFormat="1" applyFont="1" applyBorder="1" applyAlignment="1">
      <alignment horizontal="center" wrapText="1"/>
    </xf>
    <xf numFmtId="165" fontId="3" fillId="0" borderId="3" xfId="0" applyNumberFormat="1" applyFont="1" applyBorder="1" applyAlignment="1">
      <alignment horizontal="center" wrapText="1"/>
    </xf>
    <xf numFmtId="165" fontId="3" fillId="0" borderId="0" xfId="0" applyNumberFormat="1" applyFont="1" applyAlignment="1">
      <alignment wrapText="1"/>
    </xf>
    <xf numFmtId="0" fontId="3" fillId="0" borderId="4" xfId="0" applyFont="1" applyBorder="1" applyAlignment="1">
      <alignment horizontal="left" wrapText="1"/>
    </xf>
    <xf numFmtId="0" fontId="16" fillId="0" borderId="0" xfId="0" applyFont="1" applyAlignment="1">
      <alignment horizontal="left" vertical="top" wrapText="1" indent="2"/>
    </xf>
    <xf numFmtId="165" fontId="21" fillId="14" borderId="3" xfId="0" applyNumberFormat="1" applyFont="1" applyFill="1" applyBorder="1" applyAlignment="1">
      <alignment horizontal="center" wrapText="1"/>
    </xf>
    <xf numFmtId="165" fontId="3" fillId="14" borderId="3" xfId="0" applyNumberFormat="1" applyFont="1" applyFill="1" applyBorder="1" applyAlignment="1">
      <alignment horizontal="center" vertical="top" wrapText="1"/>
    </xf>
    <xf numFmtId="0" fontId="16" fillId="0" borderId="1" xfId="0" applyFont="1" applyBorder="1" applyAlignment="1">
      <alignment horizontal="left" vertical="top" wrapText="1"/>
    </xf>
    <xf numFmtId="165" fontId="3" fillId="14" borderId="3" xfId="0" applyNumberFormat="1" applyFont="1" applyFill="1" applyBorder="1" applyAlignment="1">
      <alignment horizontal="center" wrapText="1"/>
    </xf>
    <xf numFmtId="0" fontId="3" fillId="8" borderId="3" xfId="0" applyFont="1" applyFill="1" applyBorder="1" applyAlignment="1">
      <alignment horizontal="center"/>
    </xf>
    <xf numFmtId="3" fontId="16" fillId="0" borderId="46" xfId="0" applyNumberFormat="1" applyFont="1" applyBorder="1" applyAlignment="1">
      <alignment horizontal="left" wrapText="1"/>
    </xf>
    <xf numFmtId="0" fontId="21" fillId="0" borderId="4" xfId="0" applyFont="1" applyBorder="1" applyAlignment="1">
      <alignment horizontal="left" wrapText="1"/>
    </xf>
    <xf numFmtId="165" fontId="3" fillId="0" borderId="12" xfId="0" applyNumberFormat="1" applyFont="1" applyBorder="1" applyAlignment="1">
      <alignment horizontal="center" wrapText="1"/>
    </xf>
    <xf numFmtId="168" fontId="3" fillId="0" borderId="12" xfId="0" applyNumberFormat="1" applyFont="1" applyBorder="1" applyAlignment="1">
      <alignment horizontal="center" wrapText="1"/>
    </xf>
    <xf numFmtId="3" fontId="3" fillId="0" borderId="13" xfId="0" applyNumberFormat="1" applyFont="1" applyBorder="1" applyAlignment="1">
      <alignment horizontal="center" vertical="top"/>
    </xf>
    <xf numFmtId="0" fontId="16" fillId="0" borderId="0" xfId="0" applyFont="1" applyAlignment="1">
      <alignment horizontal="center" vertical="center" wrapText="1"/>
    </xf>
    <xf numFmtId="0" fontId="3" fillId="3" borderId="45" xfId="0" applyFont="1" applyFill="1" applyBorder="1" applyAlignment="1">
      <alignment horizontal="center" vertical="center" wrapText="1"/>
    </xf>
    <xf numFmtId="165" fontId="3" fillId="0" borderId="2" xfId="0" applyNumberFormat="1" applyFont="1" applyBorder="1" applyAlignment="1">
      <alignment horizontal="center" wrapText="1"/>
    </xf>
    <xf numFmtId="3" fontId="3" fillId="0" borderId="2" xfId="0" applyNumberFormat="1" applyFont="1" applyBorder="1" applyAlignment="1">
      <alignment horizontal="center"/>
    </xf>
    <xf numFmtId="165" fontId="3" fillId="8" borderId="5" xfId="0" applyNumberFormat="1" applyFont="1" applyFill="1" applyBorder="1" applyAlignment="1">
      <alignment horizontal="center" wrapText="1"/>
    </xf>
    <xf numFmtId="0" fontId="16" fillId="0" borderId="1" xfId="0" applyFont="1" applyBorder="1" applyAlignment="1">
      <alignment horizontal="left" vertical="top" wrapText="1" indent="2"/>
    </xf>
    <xf numFmtId="3" fontId="3" fillId="0" borderId="5" xfId="0" applyNumberFormat="1" applyFont="1" applyBorder="1" applyAlignment="1">
      <alignment horizontal="center" wrapText="1"/>
    </xf>
    <xf numFmtId="165" fontId="3" fillId="14" borderId="8" xfId="0" applyNumberFormat="1" applyFont="1" applyFill="1" applyBorder="1" applyAlignment="1">
      <alignment horizontal="center" wrapText="1"/>
    </xf>
    <xf numFmtId="165" fontId="3" fillId="14" borderId="2" xfId="0" applyNumberFormat="1" applyFont="1" applyFill="1" applyBorder="1" applyAlignment="1">
      <alignment horizontal="center" wrapText="1"/>
    </xf>
    <xf numFmtId="0" fontId="3" fillId="8" borderId="12" xfId="0" applyFont="1" applyFill="1" applyBorder="1" applyAlignment="1">
      <alignment horizontal="center"/>
    </xf>
    <xf numFmtId="0" fontId="3" fillId="0" borderId="1" xfId="0" applyFont="1" applyBorder="1" applyAlignment="1">
      <alignment horizontal="left" wrapText="1" indent="2"/>
    </xf>
    <xf numFmtId="165" fontId="3" fillId="8" borderId="3" xfId="0" applyNumberFormat="1" applyFont="1" applyFill="1" applyBorder="1" applyAlignment="1">
      <alignment horizontal="center" wrapText="1"/>
    </xf>
    <xf numFmtId="3" fontId="3" fillId="8" borderId="3" xfId="0" applyNumberFormat="1" applyFont="1" applyFill="1" applyBorder="1" applyAlignment="1">
      <alignment horizontal="center" wrapText="1"/>
    </xf>
    <xf numFmtId="3" fontId="3" fillId="0" borderId="5" xfId="0" applyNumberFormat="1" applyFont="1" applyBorder="1" applyAlignment="1">
      <alignment horizontal="center" vertical="top" wrapText="1"/>
    </xf>
    <xf numFmtId="0" fontId="3" fillId="0" borderId="5" xfId="0" applyFont="1" applyBorder="1" applyAlignment="1">
      <alignment horizontal="center" wrapText="1"/>
    </xf>
    <xf numFmtId="0" fontId="21" fillId="0" borderId="5" xfId="0" applyFont="1" applyBorder="1" applyAlignment="1">
      <alignment horizontal="center" wrapText="1"/>
    </xf>
    <xf numFmtId="168" fontId="3" fillId="8" borderId="0" xfId="0" applyNumberFormat="1" applyFont="1" applyFill="1" applyAlignment="1">
      <alignment horizontal="center" wrapText="1"/>
    </xf>
    <xf numFmtId="168" fontId="3" fillId="8" borderId="3" xfId="0" applyNumberFormat="1" applyFont="1" applyFill="1" applyBorder="1" applyAlignment="1">
      <alignment horizontal="center" wrapText="1"/>
    </xf>
    <xf numFmtId="0" fontId="3" fillId="0" borderId="14" xfId="0" applyFont="1" applyBorder="1" applyAlignment="1">
      <alignment horizontal="center"/>
    </xf>
    <xf numFmtId="0" fontId="16" fillId="0" borderId="43" xfId="0" applyFont="1" applyBorder="1" applyAlignment="1">
      <alignment horizontal="center" wrapText="1"/>
    </xf>
    <xf numFmtId="0" fontId="16" fillId="0" borderId="43" xfId="0" applyFont="1" applyBorder="1" applyAlignment="1">
      <alignment wrapText="1"/>
    </xf>
    <xf numFmtId="3" fontId="16" fillId="0" borderId="44" xfId="0" applyNumberFormat="1" applyFont="1" applyBorder="1" applyAlignment="1">
      <alignment horizontal="center" wrapText="1"/>
    </xf>
    <xf numFmtId="0" fontId="3" fillId="0" borderId="1" xfId="0" applyFont="1" applyBorder="1" applyAlignment="1">
      <alignment horizontal="left" vertical="top" wrapText="1" indent="2"/>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6" fillId="0" borderId="1" xfId="0" applyFont="1" applyBorder="1" applyAlignment="1">
      <alignment horizontal="left" wrapText="1"/>
    </xf>
    <xf numFmtId="3" fontId="3" fillId="0" borderId="4" xfId="0" applyNumberFormat="1" applyFont="1" applyBorder="1" applyAlignment="1">
      <alignment horizontal="center" vertical="top" wrapText="1"/>
    </xf>
    <xf numFmtId="165" fontId="3" fillId="0" borderId="6" xfId="0" applyNumberFormat="1" applyFont="1" applyBorder="1" applyAlignment="1">
      <alignment horizontal="center" wrapText="1"/>
    </xf>
    <xf numFmtId="168" fontId="3" fillId="0" borderId="3" xfId="0" applyNumberFormat="1" applyFont="1" applyBorder="1" applyAlignment="1">
      <alignment horizontal="center" wrapText="1"/>
    </xf>
    <xf numFmtId="3" fontId="3" fillId="0" borderId="1" xfId="0" applyNumberFormat="1" applyFont="1" applyBorder="1" applyAlignment="1">
      <alignment horizontal="center" wrapText="1"/>
    </xf>
    <xf numFmtId="3" fontId="3" fillId="8" borderId="2" xfId="0" applyNumberFormat="1" applyFont="1" applyFill="1" applyBorder="1" applyAlignment="1">
      <alignment horizontal="center"/>
    </xf>
    <xf numFmtId="0" fontId="21" fillId="0" borderId="1" xfId="0" applyFont="1" applyBorder="1" applyAlignment="1">
      <alignment wrapText="1"/>
    </xf>
    <xf numFmtId="0" fontId="21" fillId="0" borderId="0" xfId="0" applyFont="1" applyAlignment="1">
      <alignment horizontal="left"/>
    </xf>
    <xf numFmtId="165" fontId="21" fillId="8" borderId="0" xfId="0" applyNumberFormat="1" applyFont="1" applyFill="1" applyAlignment="1">
      <alignment horizontal="center"/>
    </xf>
    <xf numFmtId="0" fontId="1" fillId="0" borderId="7" xfId="0" applyFont="1" applyBorder="1"/>
    <xf numFmtId="0" fontId="21" fillId="0" borderId="4" xfId="0" applyFont="1" applyBorder="1" applyAlignment="1">
      <alignment horizontal="center" wrapText="1"/>
    </xf>
    <xf numFmtId="165" fontId="21" fillId="0" borderId="5" xfId="0" applyNumberFormat="1" applyFont="1" applyBorder="1" applyAlignment="1">
      <alignment horizontal="center" wrapText="1"/>
    </xf>
    <xf numFmtId="165" fontId="21" fillId="0" borderId="3" xfId="0" applyNumberFormat="1" applyFont="1" applyBorder="1" applyAlignment="1">
      <alignment horizontal="center" wrapText="1"/>
    </xf>
    <xf numFmtId="0" fontId="21" fillId="0" borderId="1" xfId="0" applyFont="1" applyBorder="1" applyAlignment="1">
      <alignment horizontal="center" wrapText="1"/>
    </xf>
    <xf numFmtId="165" fontId="3" fillId="0" borderId="3" xfId="0" applyNumberFormat="1" applyFont="1" applyBorder="1" applyAlignment="1">
      <alignment horizontal="center" vertical="top" wrapText="1"/>
    </xf>
    <xf numFmtId="165" fontId="3" fillId="0" borderId="1" xfId="0" applyNumberFormat="1" applyFont="1" applyBorder="1" applyAlignment="1">
      <alignment horizontal="center" vertical="top" wrapText="1"/>
    </xf>
    <xf numFmtId="165" fontId="21" fillId="0" borderId="6" xfId="0" applyNumberFormat="1" applyFont="1" applyBorder="1" applyAlignment="1">
      <alignment horizontal="center" wrapText="1"/>
    </xf>
    <xf numFmtId="165" fontId="16" fillId="0" borderId="3" xfId="0" applyNumberFormat="1" applyFont="1" applyBorder="1" applyAlignment="1">
      <alignment horizontal="center" vertical="top" wrapText="1"/>
    </xf>
    <xf numFmtId="0" fontId="16" fillId="0" borderId="1" xfId="0" applyFont="1" applyBorder="1" applyAlignment="1">
      <alignment horizontal="center" vertical="top" wrapText="1"/>
    </xf>
    <xf numFmtId="2" fontId="3" fillId="12" borderId="3" xfId="0" applyNumberFormat="1" applyFont="1" applyFill="1" applyBorder="1" applyAlignment="1">
      <alignment horizontal="center"/>
    </xf>
    <xf numFmtId="3" fontId="3" fillId="12" borderId="6" xfId="0" applyNumberFormat="1" applyFont="1" applyFill="1" applyBorder="1" applyAlignment="1">
      <alignment horizontal="center"/>
    </xf>
    <xf numFmtId="168" fontId="3" fillId="12" borderId="3" xfId="0" applyNumberFormat="1" applyFont="1" applyFill="1" applyBorder="1" applyAlignment="1">
      <alignment horizontal="center"/>
    </xf>
    <xf numFmtId="3" fontId="3" fillId="12" borderId="3" xfId="0" applyNumberFormat="1" applyFont="1" applyFill="1" applyBorder="1" applyAlignment="1">
      <alignment horizontal="center"/>
    </xf>
    <xf numFmtId="1" fontId="3" fillId="0" borderId="6" xfId="0" applyNumberFormat="1" applyFont="1" applyBorder="1" applyAlignment="1">
      <alignment horizontal="center"/>
    </xf>
    <xf numFmtId="1" fontId="3" fillId="0" borderId="0" xfId="0" applyNumberFormat="1" applyFont="1" applyAlignment="1">
      <alignment horizontal="center"/>
    </xf>
    <xf numFmtId="168" fontId="3" fillId="0" borderId="3" xfId="0" applyNumberFormat="1" applyFont="1" applyBorder="1" applyAlignment="1">
      <alignment horizontal="center"/>
    </xf>
    <xf numFmtId="1" fontId="3" fillId="0" borderId="0" xfId="0" applyNumberFormat="1" applyFont="1"/>
    <xf numFmtId="1" fontId="3" fillId="2" borderId="3" xfId="0" applyNumberFormat="1" applyFont="1" applyFill="1" applyBorder="1"/>
    <xf numFmtId="165" fontId="3" fillId="9" borderId="5" xfId="0" applyNumberFormat="1" applyFont="1" applyFill="1" applyBorder="1" applyAlignment="1">
      <alignment horizontal="center"/>
    </xf>
    <xf numFmtId="165" fontId="3" fillId="2" borderId="6" xfId="0" applyNumberFormat="1" applyFont="1" applyFill="1" applyBorder="1" applyAlignment="1">
      <alignment horizontal="center"/>
    </xf>
    <xf numFmtId="165" fontId="3" fillId="8" borderId="1" xfId="0" applyNumberFormat="1" applyFont="1" applyFill="1" applyBorder="1" applyAlignment="1">
      <alignment horizontal="center"/>
    </xf>
    <xf numFmtId="168" fontId="3" fillId="8" borderId="0" xfId="0" applyNumberFormat="1" applyFont="1" applyFill="1" applyAlignment="1">
      <alignment horizontal="center"/>
    </xf>
    <xf numFmtId="1" fontId="21" fillId="8" borderId="0" xfId="0" applyNumberFormat="1" applyFont="1" applyFill="1" applyAlignment="1">
      <alignment horizontal="center"/>
    </xf>
    <xf numFmtId="1" fontId="3" fillId="8" borderId="0" xfId="0" applyNumberFormat="1" applyFont="1" applyFill="1"/>
    <xf numFmtId="10" fontId="1" fillId="0" borderId="0" xfId="0" applyNumberFormat="1" applyFont="1"/>
    <xf numFmtId="2" fontId="1" fillId="0" borderId="0" xfId="0" applyNumberFormat="1" applyFont="1"/>
    <xf numFmtId="165" fontId="3" fillId="0" borderId="2" xfId="0" applyNumberFormat="1" applyFont="1" applyBorder="1" applyAlignment="1">
      <alignment horizontal="center"/>
    </xf>
    <xf numFmtId="0" fontId="3" fillId="0" borderId="5" xfId="0" applyFont="1" applyBorder="1"/>
    <xf numFmtId="168" fontId="16" fillId="0" borderId="0" xfId="0" applyNumberFormat="1" applyFont="1"/>
    <xf numFmtId="171" fontId="3" fillId="0" borderId="0" xfId="0" applyNumberFormat="1" applyFont="1" applyAlignment="1">
      <alignment horizontal="center"/>
    </xf>
    <xf numFmtId="0" fontId="3" fillId="0" borderId="7" xfId="0" applyFont="1" applyBorder="1" applyAlignment="1">
      <alignment horizontal="left" wrapText="1"/>
    </xf>
    <xf numFmtId="0" fontId="3" fillId="0" borderId="8" xfId="0" applyFont="1" applyBorder="1" applyAlignment="1">
      <alignment horizontal="left" wrapText="1"/>
    </xf>
    <xf numFmtId="165" fontId="3" fillId="0" borderId="5" xfId="0" applyNumberFormat="1" applyFont="1" applyBorder="1" applyAlignment="1">
      <alignment horizontal="center"/>
    </xf>
    <xf numFmtId="17" fontId="16" fillId="3" borderId="47" xfId="0" applyNumberFormat="1" applyFont="1" applyFill="1" applyBorder="1" applyAlignment="1">
      <alignment horizontal="left" wrapText="1"/>
    </xf>
    <xf numFmtId="17" fontId="16" fillId="3" borderId="11" xfId="0" applyNumberFormat="1" applyFont="1" applyFill="1" applyBorder="1" applyAlignment="1">
      <alignment horizontal="left" wrapText="1"/>
    </xf>
    <xf numFmtId="165" fontId="3" fillId="8" borderId="6" xfId="0" applyNumberFormat="1" applyFont="1" applyFill="1" applyBorder="1" applyAlignment="1">
      <alignment horizontal="center"/>
    </xf>
    <xf numFmtId="0" fontId="3" fillId="0" borderId="7" xfId="0" applyFont="1" applyBorder="1" applyAlignment="1">
      <alignment wrapText="1"/>
    </xf>
    <xf numFmtId="0" fontId="3" fillId="0" borderId="1" xfId="0" applyFont="1" applyBorder="1" applyAlignment="1">
      <alignment horizontal="left"/>
    </xf>
    <xf numFmtId="0" fontId="3" fillId="12" borderId="12" xfId="0" applyFont="1" applyFill="1" applyBorder="1" applyAlignment="1">
      <alignment horizontal="center"/>
    </xf>
    <xf numFmtId="3" fontId="3" fillId="0" borderId="8" xfId="0" applyNumberFormat="1" applyFont="1" applyBorder="1" applyAlignment="1">
      <alignment horizontal="center"/>
    </xf>
    <xf numFmtId="165" fontId="3" fillId="0" borderId="0" xfId="0" applyNumberFormat="1" applyFont="1"/>
    <xf numFmtId="1" fontId="3" fillId="8" borderId="1" xfId="0" applyNumberFormat="1" applyFont="1" applyFill="1" applyBorder="1" applyAlignment="1">
      <alignment horizontal="center"/>
    </xf>
    <xf numFmtId="1" fontId="3" fillId="8" borderId="0" xfId="0" applyNumberFormat="1" applyFont="1" applyFill="1" applyAlignment="1">
      <alignment horizontal="center"/>
    </xf>
    <xf numFmtId="1" fontId="3" fillId="8" borderId="3" xfId="0" applyNumberFormat="1" applyFont="1" applyFill="1" applyBorder="1" applyAlignment="1">
      <alignment horizontal="center"/>
    </xf>
    <xf numFmtId="3" fontId="3" fillId="8" borderId="1" xfId="0" applyNumberFormat="1" applyFont="1" applyFill="1" applyBorder="1" applyAlignment="1">
      <alignment horizontal="center"/>
    </xf>
    <xf numFmtId="165" fontId="3" fillId="8" borderId="5" xfId="0" applyNumberFormat="1" applyFont="1" applyFill="1" applyBorder="1" applyAlignment="1">
      <alignment horizontal="center"/>
    </xf>
    <xf numFmtId="3" fontId="3" fillId="0" borderId="7" xfId="0" applyNumberFormat="1" applyFont="1" applyBorder="1" applyAlignment="1">
      <alignment horizontal="center"/>
    </xf>
    <xf numFmtId="3" fontId="3" fillId="8" borderId="7" xfId="0" applyNumberFormat="1" applyFont="1" applyFill="1" applyBorder="1" applyAlignment="1">
      <alignment horizontal="center"/>
    </xf>
    <xf numFmtId="0" fontId="3" fillId="0" borderId="5" xfId="0" applyFont="1" applyBorder="1" applyAlignment="1">
      <alignment horizontal="left" wrapText="1"/>
    </xf>
    <xf numFmtId="0" fontId="16" fillId="3" borderId="4" xfId="0" applyFont="1" applyFill="1" applyBorder="1" applyAlignment="1">
      <alignment horizontal="left" wrapText="1"/>
    </xf>
    <xf numFmtId="1" fontId="3" fillId="0" borderId="1" xfId="0" applyNumberFormat="1" applyFont="1" applyBorder="1" applyAlignment="1">
      <alignment horizontal="center"/>
    </xf>
    <xf numFmtId="0" fontId="3" fillId="0" borderId="8" xfId="0" applyFont="1" applyBorder="1" applyAlignment="1">
      <alignment wrapText="1"/>
    </xf>
    <xf numFmtId="165" fontId="3" fillId="14" borderId="0" xfId="0" applyNumberFormat="1" applyFont="1" applyFill="1" applyAlignment="1">
      <alignment horizontal="center"/>
    </xf>
    <xf numFmtId="165" fontId="3" fillId="0" borderId="1" xfId="0" applyNumberFormat="1" applyFont="1" applyBorder="1" applyAlignment="1">
      <alignment horizontal="center"/>
    </xf>
    <xf numFmtId="0" fontId="3" fillId="0" borderId="4" xfId="0" applyFont="1" applyBorder="1" applyAlignment="1">
      <alignment wrapText="1"/>
    </xf>
    <xf numFmtId="165" fontId="3" fillId="0" borderId="4" xfId="0" applyNumberFormat="1" applyFont="1" applyBorder="1" applyAlignment="1">
      <alignment horizontal="center"/>
    </xf>
    <xf numFmtId="0" fontId="3" fillId="0" borderId="7" xfId="0" applyFont="1" applyBorder="1" applyAlignment="1">
      <alignment vertical="top" wrapText="1"/>
    </xf>
    <xf numFmtId="17" fontId="16" fillId="3" borderId="43" xfId="0" applyNumberFormat="1" applyFont="1" applyFill="1" applyBorder="1" applyAlignment="1">
      <alignment horizontal="left" wrapText="1"/>
    </xf>
    <xf numFmtId="17" fontId="16" fillId="3" borderId="44" xfId="0" applyNumberFormat="1" applyFont="1" applyFill="1" applyBorder="1" applyAlignment="1">
      <alignment horizontal="left" wrapText="1"/>
    </xf>
    <xf numFmtId="17" fontId="16" fillId="3" borderId="5" xfId="0" applyNumberFormat="1" applyFont="1" applyFill="1" applyBorder="1" applyAlignment="1">
      <alignment horizontal="left" vertical="top" wrapText="1"/>
    </xf>
    <xf numFmtId="0" fontId="3" fillId="12" borderId="14" xfId="0" applyFont="1" applyFill="1" applyBorder="1" applyAlignment="1">
      <alignment horizontal="center"/>
    </xf>
    <xf numFmtId="165" fontId="3" fillId="8" borderId="4" xfId="0" applyNumberFormat="1" applyFont="1" applyFill="1" applyBorder="1" applyAlignment="1">
      <alignment horizontal="center"/>
    </xf>
    <xf numFmtId="0" fontId="21" fillId="0" borderId="1" xfId="0" applyFont="1" applyBorder="1" applyAlignment="1">
      <alignment horizontal="left" vertical="top" wrapText="1"/>
    </xf>
    <xf numFmtId="0" fontId="24" fillId="0" borderId="0" xfId="0" applyFont="1" applyAlignment="1">
      <alignment horizontal="center" vertical="center" wrapText="1"/>
    </xf>
    <xf numFmtId="0" fontId="25" fillId="0" borderId="1" xfId="0" applyFont="1" applyBorder="1" applyAlignment="1">
      <alignment wrapText="1"/>
    </xf>
    <xf numFmtId="0" fontId="25" fillId="0" borderId="1" xfId="0" applyFont="1" applyBorder="1" applyAlignment="1">
      <alignment vertical="center" wrapText="1"/>
    </xf>
    <xf numFmtId="0" fontId="3" fillId="0" borderId="1" xfId="0" applyFont="1" applyBorder="1" applyAlignment="1">
      <alignment vertical="center" wrapText="1"/>
    </xf>
    <xf numFmtId="168" fontId="3" fillId="0" borderId="0" xfId="0" applyNumberFormat="1" applyFont="1" applyAlignment="1">
      <alignment horizontal="center"/>
    </xf>
    <xf numFmtId="0" fontId="16" fillId="0" borderId="4" xfId="0" applyFont="1" applyBorder="1" applyAlignment="1">
      <alignment horizontal="center" vertical="top" wrapText="1"/>
    </xf>
    <xf numFmtId="0" fontId="16" fillId="0" borderId="5" xfId="0" applyFont="1" applyBorder="1" applyAlignment="1">
      <alignment horizontal="center" vertical="top" wrapText="1"/>
    </xf>
    <xf numFmtId="0" fontId="16" fillId="0" borderId="4" xfId="0" applyFont="1" applyBorder="1" applyAlignment="1">
      <alignment horizontal="center" wrapText="1"/>
    </xf>
    <xf numFmtId="1" fontId="3" fillId="12" borderId="6" xfId="0" applyNumberFormat="1" applyFont="1" applyFill="1" applyBorder="1" applyAlignment="1">
      <alignment horizontal="center" wrapText="1"/>
    </xf>
    <xf numFmtId="1" fontId="3" fillId="0" borderId="3" xfId="0" applyNumberFormat="1" applyFont="1" applyBorder="1" applyAlignment="1">
      <alignment horizontal="center" wrapText="1"/>
    </xf>
    <xf numFmtId="1" fontId="3" fillId="0" borderId="5" xfId="0" applyNumberFormat="1" applyFont="1" applyBorder="1" applyAlignment="1">
      <alignment horizontal="center" wrapText="1"/>
    </xf>
    <xf numFmtId="170" fontId="3" fillId="0" borderId="5" xfId="0" applyNumberFormat="1" applyFont="1" applyBorder="1" applyAlignment="1">
      <alignment horizontal="center" wrapText="1"/>
    </xf>
    <xf numFmtId="3" fontId="3" fillId="0" borderId="6" xfId="0" applyNumberFormat="1" applyFont="1" applyBorder="1" applyAlignment="1">
      <alignment horizontal="center" wrapText="1"/>
    </xf>
    <xf numFmtId="3" fontId="21" fillId="0" borderId="3" xfId="0" applyNumberFormat="1" applyFont="1" applyBorder="1" applyAlignment="1">
      <alignment horizontal="center" wrapText="1"/>
    </xf>
    <xf numFmtId="0" fontId="21" fillId="0" borderId="7" xfId="0" applyFont="1" applyBorder="1"/>
    <xf numFmtId="0" fontId="21" fillId="0" borderId="8" xfId="0" applyFont="1" applyBorder="1"/>
    <xf numFmtId="1" fontId="21" fillId="0" borderId="2" xfId="0" applyNumberFormat="1" applyFont="1" applyBorder="1" applyAlignment="1">
      <alignment horizontal="center"/>
    </xf>
    <xf numFmtId="1" fontId="16" fillId="0" borderId="0" xfId="0" applyNumberFormat="1" applyFont="1" applyAlignment="1">
      <alignment horizontal="center" wrapText="1"/>
    </xf>
    <xf numFmtId="0" fontId="26" fillId="0" borderId="0" xfId="0" applyFont="1"/>
    <xf numFmtId="3" fontId="16" fillId="0" borderId="3" xfId="0" applyNumberFormat="1" applyFont="1" applyBorder="1" applyAlignment="1">
      <alignment horizontal="center" wrapText="1"/>
    </xf>
    <xf numFmtId="170" fontId="3" fillId="0" borderId="0" xfId="0" applyNumberFormat="1" applyFont="1" applyAlignment="1">
      <alignment horizontal="center" wrapText="1"/>
    </xf>
    <xf numFmtId="0" fontId="16" fillId="0" borderId="5" xfId="0" applyFont="1" applyBorder="1" applyAlignment="1">
      <alignment horizontal="center" wrapText="1"/>
    </xf>
    <xf numFmtId="3" fontId="3" fillId="0" borderId="5" xfId="0" applyNumberFormat="1" applyFont="1" applyBorder="1" applyAlignment="1">
      <alignment vertical="top"/>
    </xf>
    <xf numFmtId="3" fontId="3" fillId="8" borderId="4" xfId="0" applyNumberFormat="1" applyFont="1" applyFill="1" applyBorder="1" applyAlignment="1">
      <alignment horizontal="center" wrapText="1"/>
    </xf>
    <xf numFmtId="3" fontId="3" fillId="8" borderId="1" xfId="0" applyNumberFormat="1" applyFont="1" applyFill="1" applyBorder="1" applyAlignment="1">
      <alignment horizontal="center" wrapText="1"/>
    </xf>
    <xf numFmtId="0" fontId="1" fillId="8" borderId="0" xfId="0" applyFont="1" applyFill="1"/>
    <xf numFmtId="1" fontId="3" fillId="8" borderId="1" xfId="0" applyNumberFormat="1" applyFont="1" applyFill="1" applyBorder="1" applyAlignment="1">
      <alignment horizontal="center" wrapText="1"/>
    </xf>
    <xf numFmtId="1" fontId="3" fillId="8" borderId="0" xfId="0" applyNumberFormat="1" applyFont="1" applyFill="1" applyAlignment="1">
      <alignment horizontal="center" wrapText="1"/>
    </xf>
    <xf numFmtId="3" fontId="1" fillId="8" borderId="0" xfId="0" applyNumberFormat="1" applyFont="1" applyFill="1"/>
    <xf numFmtId="3" fontId="16" fillId="8" borderId="1" xfId="0" applyNumberFormat="1" applyFont="1" applyFill="1" applyBorder="1" applyAlignment="1">
      <alignment horizontal="center" wrapText="1"/>
    </xf>
    <xf numFmtId="3" fontId="16" fillId="8" borderId="0" xfId="0" applyNumberFormat="1" applyFont="1" applyFill="1" applyAlignment="1">
      <alignment horizontal="center" wrapText="1"/>
    </xf>
    <xf numFmtId="3" fontId="16" fillId="8" borderId="3" xfId="0" applyNumberFormat="1" applyFont="1" applyFill="1" applyBorder="1" applyAlignment="1">
      <alignment horizontal="center" wrapText="1"/>
    </xf>
    <xf numFmtId="3" fontId="16" fillId="8" borderId="7" xfId="0" applyNumberFormat="1" applyFont="1" applyFill="1" applyBorder="1" applyAlignment="1">
      <alignment horizontal="center" wrapText="1"/>
    </xf>
    <xf numFmtId="3" fontId="16" fillId="8" borderId="2" xfId="0" applyNumberFormat="1" applyFont="1" applyFill="1" applyBorder="1" applyAlignment="1">
      <alignment horizontal="center" wrapText="1"/>
    </xf>
    <xf numFmtId="0" fontId="21" fillId="0" borderId="0" xfId="0" applyFont="1" applyAlignment="1">
      <alignment wrapText="1"/>
    </xf>
    <xf numFmtId="3" fontId="21" fillId="0" borderId="0" xfId="0" applyNumberFormat="1" applyFont="1" applyAlignment="1">
      <alignment horizontal="center" wrapText="1"/>
    </xf>
    <xf numFmtId="170" fontId="21" fillId="0" borderId="0" xfId="0" applyNumberFormat="1" applyFont="1" applyAlignment="1">
      <alignment wrapText="1"/>
    </xf>
    <xf numFmtId="1" fontId="21" fillId="0" borderId="0" xfId="0" applyNumberFormat="1" applyFont="1" applyAlignment="1">
      <alignment horizontal="center"/>
    </xf>
    <xf numFmtId="0" fontId="27" fillId="0" borderId="1" xfId="0" applyFont="1" applyBorder="1" applyAlignment="1">
      <alignment horizontal="left" indent="2"/>
    </xf>
    <xf numFmtId="3" fontId="16" fillId="8" borderId="8" xfId="0" applyNumberFormat="1" applyFont="1" applyFill="1" applyBorder="1" applyAlignment="1">
      <alignment horizontal="center" wrapText="1"/>
    </xf>
    <xf numFmtId="0" fontId="28" fillId="0" borderId="1" xfId="0" applyFont="1" applyBorder="1" applyAlignment="1">
      <alignment horizontal="left" indent="2"/>
    </xf>
    <xf numFmtId="3" fontId="21" fillId="8" borderId="0" xfId="0" applyNumberFormat="1" applyFont="1" applyFill="1" applyAlignment="1">
      <alignment horizontal="center" wrapText="1"/>
    </xf>
    <xf numFmtId="1" fontId="21" fillId="8" borderId="8" xfId="0" applyNumberFormat="1" applyFont="1" applyFill="1" applyBorder="1" applyAlignment="1">
      <alignment horizontal="center"/>
    </xf>
    <xf numFmtId="1" fontId="21" fillId="8" borderId="2" xfId="0" applyNumberFormat="1" applyFont="1" applyFill="1" applyBorder="1" applyAlignment="1">
      <alignment horizontal="center"/>
    </xf>
    <xf numFmtId="3" fontId="3" fillId="8" borderId="6" xfId="0" applyNumberFormat="1" applyFont="1" applyFill="1" applyBorder="1" applyAlignment="1">
      <alignment horizontal="center" wrapText="1"/>
    </xf>
    <xf numFmtId="0" fontId="1" fillId="8" borderId="3" xfId="0" applyFont="1" applyFill="1" applyBorder="1"/>
    <xf numFmtId="0" fontId="28" fillId="0" borderId="1" xfId="0" applyFont="1" applyBorder="1" applyAlignment="1">
      <alignment horizontal="left" indent="5"/>
    </xf>
    <xf numFmtId="0" fontId="3" fillId="0" borderId="1" xfId="0" applyFont="1" applyBorder="1" applyAlignment="1">
      <alignment horizontal="left" vertical="top" wrapText="1" indent="5"/>
    </xf>
    <xf numFmtId="0" fontId="2" fillId="0" borderId="0" xfId="0" applyFont="1"/>
    <xf numFmtId="3" fontId="3" fillId="8" borderId="5" xfId="0" applyNumberFormat="1" applyFont="1" applyFill="1" applyBorder="1" applyAlignment="1">
      <alignment horizontal="center" wrapText="1"/>
    </xf>
    <xf numFmtId="0" fontId="1" fillId="8" borderId="5" xfId="0" applyFont="1" applyFill="1" applyBorder="1"/>
    <xf numFmtId="1" fontId="3" fillId="8" borderId="3" xfId="0" applyNumberFormat="1" applyFont="1" applyFill="1" applyBorder="1" applyAlignment="1">
      <alignment horizontal="center" wrapText="1"/>
    </xf>
    <xf numFmtId="3" fontId="21" fillId="8" borderId="3" xfId="0" applyNumberFormat="1" applyFont="1" applyFill="1" applyBorder="1" applyAlignment="1">
      <alignment horizontal="center" wrapText="1"/>
    </xf>
    <xf numFmtId="1" fontId="21" fillId="0" borderId="8" xfId="0" applyNumberFormat="1" applyFont="1" applyBorder="1" applyAlignment="1">
      <alignment horizontal="center"/>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3" xfId="0" applyFont="1" applyBorder="1" applyAlignment="1">
      <alignment horizontal="left" wrapText="1" indent="3"/>
    </xf>
    <xf numFmtId="168" fontId="3" fillId="12" borderId="6" xfId="0" applyNumberFormat="1" applyFont="1" applyFill="1" applyBorder="1" applyAlignment="1">
      <alignment horizontal="center"/>
    </xf>
    <xf numFmtId="169" fontId="3" fillId="12" borderId="2" xfId="0" applyNumberFormat="1" applyFont="1" applyFill="1" applyBorder="1" applyAlignment="1">
      <alignment horizontal="center"/>
    </xf>
    <xf numFmtId="168" fontId="21" fillId="12" borderId="6" xfId="0" applyNumberFormat="1" applyFont="1" applyFill="1" applyBorder="1" applyAlignment="1">
      <alignment horizontal="center"/>
    </xf>
    <xf numFmtId="168" fontId="21" fillId="0" borderId="0" xfId="0" applyNumberFormat="1" applyFont="1" applyAlignment="1">
      <alignment horizontal="center"/>
    </xf>
    <xf numFmtId="1" fontId="3" fillId="0" borderId="0" xfId="0" applyNumberFormat="1" applyFont="1" applyAlignment="1">
      <alignment horizontal="right"/>
    </xf>
    <xf numFmtId="168" fontId="16" fillId="0" borderId="0" xfId="0" applyNumberFormat="1" applyFont="1" applyAlignment="1">
      <alignment horizontal="right"/>
    </xf>
    <xf numFmtId="168" fontId="16" fillId="0" borderId="3" xfId="0" applyNumberFormat="1" applyFont="1" applyBorder="1" applyAlignment="1">
      <alignment horizontal="right"/>
    </xf>
    <xf numFmtId="169" fontId="3" fillId="0" borderId="0" xfId="0" applyNumberFormat="1" applyFont="1" applyAlignment="1">
      <alignment horizontal="center"/>
    </xf>
    <xf numFmtId="169" fontId="3" fillId="0" borderId="3" xfId="0" applyNumberFormat="1" applyFont="1" applyBorder="1" applyAlignment="1">
      <alignment horizontal="center"/>
    </xf>
    <xf numFmtId="168" fontId="1" fillId="0" borderId="0" xfId="0" applyNumberFormat="1" applyFont="1"/>
    <xf numFmtId="0" fontId="30" fillId="0" borderId="1" xfId="0" applyFont="1" applyBorder="1" applyAlignment="1">
      <alignment horizontal="left" wrapText="1"/>
    </xf>
    <xf numFmtId="169" fontId="3" fillId="0" borderId="8" xfId="0" applyNumberFormat="1" applyFont="1" applyBorder="1" applyAlignment="1">
      <alignment horizontal="center"/>
    </xf>
    <xf numFmtId="0" fontId="3" fillId="0" borderId="4" xfId="0" applyFont="1" applyBorder="1"/>
    <xf numFmtId="0" fontId="21" fillId="0" borderId="1" xfId="0" applyFont="1" applyBorder="1"/>
    <xf numFmtId="168" fontId="21" fillId="8" borderId="6" xfId="0" applyNumberFormat="1" applyFont="1" applyFill="1" applyBorder="1" applyAlignment="1">
      <alignment horizontal="center"/>
    </xf>
    <xf numFmtId="172" fontId="3" fillId="0" borderId="0" xfId="0" applyNumberFormat="1" applyFont="1"/>
    <xf numFmtId="169" fontId="3" fillId="0" borderId="1" xfId="0" applyNumberFormat="1" applyFont="1" applyBorder="1" applyAlignment="1">
      <alignment horizontal="center"/>
    </xf>
    <xf numFmtId="169" fontId="3" fillId="0" borderId="0" xfId="0" applyNumberFormat="1" applyFont="1"/>
    <xf numFmtId="168" fontId="3" fillId="0" borderId="5" xfId="0" applyNumberFormat="1" applyFont="1" applyBorder="1" applyAlignment="1">
      <alignment horizontal="center"/>
    </xf>
    <xf numFmtId="0" fontId="16" fillId="13" borderId="43" xfId="0" applyFont="1" applyFill="1" applyBorder="1"/>
    <xf numFmtId="168" fontId="21" fillId="8" borderId="0" xfId="0" applyNumberFormat="1" applyFont="1" applyFill="1" applyAlignment="1">
      <alignment horizontal="center"/>
    </xf>
    <xf numFmtId="0" fontId="16" fillId="3" borderId="43" xfId="0" applyFont="1" applyFill="1" applyBorder="1"/>
    <xf numFmtId="0" fontId="16" fillId="3" borderId="44" xfId="0" applyFont="1" applyFill="1" applyBorder="1"/>
    <xf numFmtId="0" fontId="16" fillId="3" borderId="46" xfId="0" applyFont="1" applyFill="1" applyBorder="1"/>
    <xf numFmtId="0" fontId="16" fillId="3" borderId="44" xfId="0" applyFont="1" applyFill="1" applyBorder="1" applyAlignment="1">
      <alignment horizontal="center"/>
    </xf>
    <xf numFmtId="0" fontId="16" fillId="3" borderId="46" xfId="0" applyFont="1" applyFill="1" applyBorder="1" applyAlignment="1">
      <alignment horizontal="center"/>
    </xf>
    <xf numFmtId="4" fontId="3" fillId="0" borderId="1" xfId="0" applyNumberFormat="1" applyFont="1" applyBorder="1" applyAlignment="1">
      <alignment horizontal="center"/>
    </xf>
    <xf numFmtId="0" fontId="3" fillId="13" borderId="43" xfId="0" applyFont="1" applyFill="1" applyBorder="1" applyAlignment="1">
      <alignment horizontal="center"/>
    </xf>
    <xf numFmtId="0" fontId="3" fillId="13" borderId="44" xfId="0" applyFont="1" applyFill="1" applyBorder="1" applyAlignment="1">
      <alignment horizontal="center"/>
    </xf>
    <xf numFmtId="0" fontId="3" fillId="13" borderId="46" xfId="0" applyFont="1" applyFill="1" applyBorder="1" applyAlignment="1">
      <alignment horizontal="center"/>
    </xf>
    <xf numFmtId="168" fontId="3" fillId="8" borderId="8" xfId="0" applyNumberFormat="1" applyFont="1" applyFill="1" applyBorder="1" applyAlignment="1">
      <alignment horizontal="center"/>
    </xf>
    <xf numFmtId="168" fontId="3" fillId="8" borderId="2" xfId="0" applyNumberFormat="1" applyFont="1" applyFill="1" applyBorder="1" applyAlignment="1">
      <alignment horizontal="center"/>
    </xf>
    <xf numFmtId="168" fontId="21" fillId="8" borderId="5" xfId="0" applyNumberFormat="1" applyFont="1" applyFill="1" applyBorder="1" applyAlignment="1">
      <alignment horizontal="center"/>
    </xf>
    <xf numFmtId="0" fontId="21" fillId="0" borderId="4" xfId="0" applyFont="1" applyBorder="1"/>
    <xf numFmtId="0" fontId="21" fillId="0" borderId="5" xfId="0" applyFont="1" applyBorder="1"/>
    <xf numFmtId="168" fontId="21" fillId="0" borderId="1" xfId="0" applyNumberFormat="1" applyFont="1" applyBorder="1" applyAlignment="1">
      <alignment horizontal="center"/>
    </xf>
    <xf numFmtId="168" fontId="3" fillId="0" borderId="1" xfId="0" applyNumberFormat="1" applyFont="1" applyBorder="1" applyAlignment="1">
      <alignment horizontal="center"/>
    </xf>
    <xf numFmtId="168" fontId="21" fillId="0" borderId="4" xfId="0" applyNumberFormat="1" applyFont="1" applyBorder="1" applyAlignment="1">
      <alignment horizontal="center"/>
    </xf>
    <xf numFmtId="168" fontId="21" fillId="0" borderId="5" xfId="0" applyNumberFormat="1" applyFont="1" applyBorder="1" applyAlignment="1">
      <alignment horizontal="center"/>
    </xf>
    <xf numFmtId="168" fontId="3" fillId="0" borderId="7" xfId="0" applyNumberFormat="1" applyFont="1" applyBorder="1" applyAlignment="1">
      <alignment horizontal="center"/>
    </xf>
    <xf numFmtId="168" fontId="3" fillId="0" borderId="4" xfId="0" applyNumberFormat="1" applyFont="1" applyBorder="1" applyAlignment="1">
      <alignment horizontal="center"/>
    </xf>
    <xf numFmtId="0" fontId="31" fillId="0" borderId="1" xfId="0" applyFont="1" applyBorder="1" applyAlignment="1">
      <alignment horizontal="left" wrapText="1"/>
    </xf>
    <xf numFmtId="169" fontId="3" fillId="0" borderId="7" xfId="0" applyNumberFormat="1" applyFont="1" applyBorder="1" applyAlignment="1">
      <alignment horizontal="center"/>
    </xf>
    <xf numFmtId="0" fontId="16" fillId="0" borderId="0" xfId="0" applyFont="1" applyAlignment="1">
      <alignment vertical="top" wrapText="1"/>
    </xf>
    <xf numFmtId="169" fontId="3" fillId="0" borderId="2" xfId="0" applyNumberFormat="1" applyFont="1" applyBorder="1" applyAlignment="1">
      <alignment horizontal="center"/>
    </xf>
    <xf numFmtId="168" fontId="21" fillId="0" borderId="3" xfId="0" applyNumberFormat="1" applyFont="1" applyBorder="1" applyAlignment="1">
      <alignment horizontal="center"/>
    </xf>
    <xf numFmtId="169" fontId="3" fillId="8" borderId="8" xfId="0" applyNumberFormat="1" applyFont="1" applyFill="1" applyBorder="1" applyAlignment="1">
      <alignment horizontal="center"/>
    </xf>
    <xf numFmtId="169" fontId="3" fillId="8" borderId="2" xfId="0" applyNumberFormat="1" applyFont="1" applyFill="1" applyBorder="1" applyAlignment="1">
      <alignment horizontal="center"/>
    </xf>
    <xf numFmtId="3" fontId="3" fillId="0" borderId="3" xfId="0" applyNumberFormat="1" applyFont="1" applyBorder="1" applyAlignment="1">
      <alignment horizontal="right"/>
    </xf>
    <xf numFmtId="168" fontId="3" fillId="12" borderId="3" xfId="0" applyNumberFormat="1" applyFont="1" applyFill="1" applyBorder="1" applyAlignment="1">
      <alignment horizontal="center" wrapText="1"/>
    </xf>
    <xf numFmtId="168" fontId="3" fillId="15" borderId="0" xfId="0" applyNumberFormat="1" applyFont="1" applyFill="1" applyAlignment="1">
      <alignment horizontal="center" wrapText="1"/>
    </xf>
    <xf numFmtId="168" fontId="3" fillId="15" borderId="0" xfId="0" applyNumberFormat="1" applyFont="1" applyFill="1" applyAlignment="1">
      <alignment horizontal="center"/>
    </xf>
    <xf numFmtId="168" fontId="21" fillId="8" borderId="4" xfId="0" applyNumberFormat="1" applyFont="1" applyFill="1" applyBorder="1" applyAlignment="1">
      <alignment horizontal="center"/>
    </xf>
    <xf numFmtId="168" fontId="3" fillId="16" borderId="1" xfId="0" applyNumberFormat="1" applyFont="1" applyFill="1" applyBorder="1" applyAlignment="1">
      <alignment horizontal="center" wrapText="1"/>
    </xf>
    <xf numFmtId="168" fontId="3" fillId="16" borderId="0" xfId="0" applyNumberFormat="1" applyFont="1" applyFill="1" applyAlignment="1">
      <alignment horizontal="center" wrapText="1"/>
    </xf>
    <xf numFmtId="169" fontId="3" fillId="8" borderId="7" xfId="0" applyNumberFormat="1" applyFont="1" applyFill="1" applyBorder="1" applyAlignment="1">
      <alignment horizontal="center"/>
    </xf>
    <xf numFmtId="2" fontId="3" fillId="0" borderId="0" xfId="0" applyNumberFormat="1" applyFont="1" applyAlignment="1">
      <alignment horizontal="right"/>
    </xf>
    <xf numFmtId="0" fontId="14" fillId="0" borderId="3" xfId="0" applyFont="1" applyBorder="1"/>
    <xf numFmtId="0" fontId="1" fillId="15" borderId="0" xfId="0" applyFont="1" applyFill="1"/>
    <xf numFmtId="0" fontId="3" fillId="0" borderId="0" xfId="0" applyFont="1" applyAlignment="1">
      <alignment horizontal="left" indent="4"/>
    </xf>
    <xf numFmtId="0" fontId="3" fillId="0" borderId="2" xfId="0" applyFont="1" applyBorder="1"/>
    <xf numFmtId="0" fontId="16" fillId="0" borderId="1" xfId="0" applyFont="1" applyBorder="1"/>
    <xf numFmtId="169" fontId="3" fillId="0" borderId="8" xfId="0" applyNumberFormat="1" applyFont="1" applyBorder="1"/>
    <xf numFmtId="0" fontId="21" fillId="0" borderId="4" xfId="0" applyFont="1" applyBorder="1" applyAlignment="1">
      <alignment horizontal="left"/>
    </xf>
    <xf numFmtId="0" fontId="3" fillId="0" borderId="7" xfId="0" applyFont="1" applyBorder="1" applyAlignment="1">
      <alignment horizontal="left" indent="4"/>
    </xf>
    <xf numFmtId="3" fontId="33" fillId="0" borderId="0" xfId="0" applyNumberFormat="1" applyFont="1"/>
    <xf numFmtId="0" fontId="3" fillId="0" borderId="3" xfId="0" applyFont="1" applyBorder="1"/>
    <xf numFmtId="173" fontId="3" fillId="0" borderId="0" xfId="0" applyNumberFormat="1" applyFont="1"/>
    <xf numFmtId="0" fontId="3" fillId="17" borderId="4" xfId="0" applyFont="1" applyFill="1" applyBorder="1"/>
    <xf numFmtId="0" fontId="3" fillId="17" borderId="5" xfId="0" applyFont="1" applyFill="1" applyBorder="1"/>
    <xf numFmtId="0" fontId="3" fillId="17" borderId="6" xfId="0" applyFont="1" applyFill="1" applyBorder="1"/>
    <xf numFmtId="0" fontId="3" fillId="0" borderId="7" xfId="0" applyFont="1" applyBorder="1" applyAlignment="1">
      <alignment horizontal="right"/>
    </xf>
    <xf numFmtId="2" fontId="3" fillId="0" borderId="1" xfId="0" applyNumberFormat="1" applyFont="1" applyBorder="1"/>
    <xf numFmtId="168" fontId="3" fillId="0" borderId="1" xfId="0" applyNumberFormat="1" applyFont="1" applyBorder="1"/>
    <xf numFmtId="0" fontId="3" fillId="15" borderId="1" xfId="0" applyFont="1" applyFill="1" applyBorder="1" applyAlignment="1">
      <alignment horizontal="left" vertical="top" wrapText="1" indent="3"/>
    </xf>
    <xf numFmtId="168" fontId="3" fillId="15" borderId="1" xfId="0" applyNumberFormat="1" applyFont="1" applyFill="1" applyBorder="1" applyAlignment="1">
      <alignment horizontal="center"/>
    </xf>
    <xf numFmtId="168" fontId="3" fillId="16" borderId="3" xfId="0" applyNumberFormat="1" applyFont="1" applyFill="1" applyBorder="1" applyAlignment="1">
      <alignment horizontal="center" wrapText="1"/>
    </xf>
    <xf numFmtId="0" fontId="21" fillId="12" borderId="0" xfId="0" applyFont="1" applyFill="1" applyAlignment="1">
      <alignment horizontal="center"/>
    </xf>
    <xf numFmtId="0" fontId="21" fillId="0" borderId="0" xfId="0" applyFont="1" applyAlignment="1">
      <alignment horizontal="center"/>
    </xf>
    <xf numFmtId="0" fontId="21" fillId="8" borderId="1" xfId="0" applyFont="1" applyFill="1" applyBorder="1" applyAlignment="1">
      <alignment horizontal="center"/>
    </xf>
    <xf numFmtId="0" fontId="21" fillId="8" borderId="0" xfId="0" applyFont="1" applyFill="1" applyAlignment="1">
      <alignment horizontal="center"/>
    </xf>
    <xf numFmtId="0" fontId="21" fillId="8" borderId="7" xfId="0" applyFont="1" applyFill="1" applyBorder="1" applyAlignment="1">
      <alignment horizontal="center"/>
    </xf>
    <xf numFmtId="0" fontId="21" fillId="8" borderId="8" xfId="0" applyFont="1" applyFill="1" applyBorder="1" applyAlignment="1">
      <alignment horizontal="center"/>
    </xf>
    <xf numFmtId="0" fontId="21" fillId="8" borderId="2"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7" xfId="0" applyFont="1" applyFill="1" applyBorder="1" applyAlignment="1">
      <alignment horizontal="center"/>
    </xf>
    <xf numFmtId="0" fontId="1" fillId="12" borderId="8" xfId="0" applyFont="1" applyFill="1" applyBorder="1" applyAlignment="1">
      <alignment horizontal="center"/>
    </xf>
    <xf numFmtId="165" fontId="1" fillId="0" borderId="8" xfId="0" applyNumberFormat="1" applyFont="1" applyBorder="1" applyAlignment="1">
      <alignment horizontal="center"/>
    </xf>
    <xf numFmtId="165" fontId="1" fillId="0" borderId="2" xfId="0" applyNumberFormat="1" applyFont="1" applyBorder="1" applyAlignment="1">
      <alignment horizontal="center"/>
    </xf>
    <xf numFmtId="0" fontId="21" fillId="0" borderId="8" xfId="0" applyFont="1" applyBorder="1" applyAlignment="1">
      <alignment horizontal="center"/>
    </xf>
    <xf numFmtId="0" fontId="21" fillId="8" borderId="3" xfId="0" applyFont="1" applyFill="1" applyBorder="1" applyAlignment="1">
      <alignment horizontal="center"/>
    </xf>
    <xf numFmtId="0" fontId="1" fillId="0" borderId="2"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3" fillId="0" borderId="5" xfId="0" applyNumberFormat="1" applyFont="1" applyBorder="1"/>
    <xf numFmtId="10" fontId="3" fillId="0" borderId="4" xfId="0" applyNumberFormat="1" applyFont="1" applyBorder="1"/>
    <xf numFmtId="10" fontId="3"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8" xfId="0" applyNumberFormat="1" applyFont="1" applyBorder="1" applyAlignment="1">
      <alignment horizontal="center"/>
    </xf>
    <xf numFmtId="0" fontId="16" fillId="0" borderId="4" xfId="0" applyFont="1" applyBorder="1" applyAlignment="1">
      <alignment horizontal="center"/>
    </xf>
    <xf numFmtId="0" fontId="16" fillId="0" borderId="5" xfId="0" applyFont="1" applyBorder="1" applyAlignment="1">
      <alignment horizontal="center"/>
    </xf>
    <xf numFmtId="165" fontId="3" fillId="12" borderId="0" xfId="0" applyNumberFormat="1" applyFont="1" applyFill="1" applyAlignment="1">
      <alignment horizontal="center"/>
    </xf>
    <xf numFmtId="168" fontId="21" fillId="12" borderId="3" xfId="0" applyNumberFormat="1" applyFont="1" applyFill="1" applyBorder="1" applyAlignment="1">
      <alignment horizontal="center"/>
    </xf>
    <xf numFmtId="168" fontId="3" fillId="12" borderId="3" xfId="0" applyNumberFormat="1" applyFont="1" applyFill="1" applyBorder="1"/>
    <xf numFmtId="0" fontId="3" fillId="12" borderId="3" xfId="0" applyFont="1" applyFill="1" applyBorder="1"/>
    <xf numFmtId="168" fontId="3" fillId="12" borderId="2" xfId="0" applyNumberFormat="1" applyFont="1" applyFill="1" applyBorder="1"/>
    <xf numFmtId="0" fontId="3" fillId="0" borderId="6" xfId="0" applyFont="1" applyBorder="1" applyAlignment="1">
      <alignment horizontal="center"/>
    </xf>
    <xf numFmtId="0" fontId="21" fillId="0" borderId="1" xfId="0" applyFont="1" applyBorder="1" applyAlignment="1">
      <alignment horizontal="center"/>
    </xf>
    <xf numFmtId="0" fontId="21" fillId="0" borderId="3" xfId="0" applyFont="1" applyBorder="1" applyAlignment="1">
      <alignment horizontal="center"/>
    </xf>
    <xf numFmtId="168" fontId="16" fillId="0" borderId="3" xfId="0" applyNumberFormat="1" applyFont="1" applyBorder="1" applyAlignment="1">
      <alignment horizontal="center"/>
    </xf>
    <xf numFmtId="168" fontId="21" fillId="0" borderId="7" xfId="0" applyNumberFormat="1" applyFont="1" applyBorder="1" applyAlignment="1">
      <alignment horizontal="center"/>
    </xf>
    <xf numFmtId="168" fontId="21" fillId="0" borderId="8" xfId="0" applyNumberFormat="1" applyFont="1" applyBorder="1" applyAlignment="1">
      <alignment horizontal="center"/>
    </xf>
    <xf numFmtId="168" fontId="21" fillId="0" borderId="2" xfId="0" applyNumberFormat="1" applyFont="1" applyBorder="1" applyAlignment="1">
      <alignment horizontal="center"/>
    </xf>
    <xf numFmtId="168" fontId="3" fillId="3" borderId="0" xfId="0" applyNumberFormat="1" applyFont="1" applyFill="1"/>
    <xf numFmtId="168" fontId="3" fillId="18" borderId="0" xfId="0" applyNumberFormat="1" applyFont="1" applyFill="1"/>
    <xf numFmtId="168" fontId="3" fillId="8" borderId="1" xfId="0" applyNumberFormat="1" applyFont="1" applyFill="1" applyBorder="1" applyAlignment="1">
      <alignment horizontal="center"/>
    </xf>
    <xf numFmtId="168" fontId="21" fillId="8" borderId="1" xfId="0" applyNumberFormat="1" applyFont="1" applyFill="1" applyBorder="1" applyAlignment="1">
      <alignment horizontal="center"/>
    </xf>
    <xf numFmtId="0" fontId="3" fillId="8" borderId="1" xfId="0" applyFont="1" applyFill="1" applyBorder="1" applyAlignment="1">
      <alignment horizontal="center" wrapText="1"/>
    </xf>
    <xf numFmtId="0" fontId="3" fillId="8" borderId="0" xfId="0" applyFont="1" applyFill="1" applyAlignment="1">
      <alignment horizontal="center" wrapText="1"/>
    </xf>
    <xf numFmtId="168" fontId="16" fillId="8" borderId="1" xfId="0" applyNumberFormat="1" applyFont="1" applyFill="1" applyBorder="1" applyAlignment="1">
      <alignment horizontal="center"/>
    </xf>
    <xf numFmtId="168" fontId="16" fillId="8" borderId="0" xfId="0" applyNumberFormat="1" applyFont="1" applyFill="1" applyAlignment="1">
      <alignment horizontal="center"/>
    </xf>
    <xf numFmtId="168" fontId="16" fillId="8" borderId="3" xfId="0" applyNumberFormat="1" applyFont="1" applyFill="1" applyBorder="1" applyAlignment="1">
      <alignment horizontal="center"/>
    </xf>
    <xf numFmtId="0" fontId="3" fillId="8" borderId="1" xfId="0" applyFont="1" applyFill="1" applyBorder="1"/>
    <xf numFmtId="0" fontId="3" fillId="8" borderId="0" xfId="0" applyFont="1" applyFill="1"/>
    <xf numFmtId="168" fontId="3" fillId="8" borderId="7" xfId="0" applyNumberFormat="1" applyFont="1" applyFill="1" applyBorder="1" applyAlignment="1">
      <alignment horizontal="center"/>
    </xf>
    <xf numFmtId="168" fontId="21" fillId="8" borderId="7" xfId="0" applyNumberFormat="1" applyFont="1" applyFill="1" applyBorder="1" applyAlignment="1">
      <alignment horizontal="center"/>
    </xf>
    <xf numFmtId="168" fontId="21" fillId="8" borderId="8" xfId="0" applyNumberFormat="1" applyFont="1" applyFill="1" applyBorder="1" applyAlignment="1">
      <alignment horizontal="center"/>
    </xf>
    <xf numFmtId="168" fontId="21" fillId="8" borderId="2" xfId="0" applyNumberFormat="1" applyFont="1" applyFill="1" applyBorder="1" applyAlignment="1">
      <alignment horizontal="center"/>
    </xf>
    <xf numFmtId="0" fontId="3" fillId="8" borderId="5" xfId="0" applyFont="1" applyFill="1" applyBorder="1"/>
    <xf numFmtId="168" fontId="3" fillId="8" borderId="5" xfId="0" applyNumberFormat="1" applyFont="1" applyFill="1" applyBorder="1" applyAlignment="1">
      <alignment horizontal="center"/>
    </xf>
    <xf numFmtId="168" fontId="21" fillId="8" borderId="3" xfId="0" applyNumberFormat="1" applyFont="1" applyFill="1" applyBorder="1" applyAlignment="1">
      <alignment horizontal="center"/>
    </xf>
    <xf numFmtId="3" fontId="3" fillId="0" borderId="5" xfId="0" applyNumberFormat="1" applyFont="1" applyBorder="1"/>
    <xf numFmtId="3" fontId="3" fillId="0" borderId="6" xfId="0" applyNumberFormat="1" applyFont="1" applyBorder="1"/>
    <xf numFmtId="3" fontId="3" fillId="0" borderId="1" xfId="0" applyNumberFormat="1" applyFont="1" applyBorder="1"/>
    <xf numFmtId="0" fontId="3" fillId="0" borderId="43" xfId="0" applyFont="1" applyBorder="1"/>
    <xf numFmtId="0" fontId="3" fillId="0" borderId="13" xfId="0" applyFont="1" applyBorder="1" applyAlignment="1">
      <alignment horizontal="left" wrapText="1" indent="8"/>
    </xf>
    <xf numFmtId="0" fontId="16" fillId="0" borderId="0" xfId="0" applyFont="1" applyAlignment="1">
      <alignment horizontal="left" indent="1"/>
    </xf>
    <xf numFmtId="0" fontId="3" fillId="0" borderId="0" xfId="0" applyFont="1" applyAlignment="1">
      <alignment horizontal="left" wrapText="1" indent="1"/>
    </xf>
    <xf numFmtId="0" fontId="3" fillId="8" borderId="3" xfId="0" applyFont="1" applyFill="1" applyBorder="1" applyAlignment="1">
      <alignment horizontal="center" wrapText="1"/>
    </xf>
    <xf numFmtId="168" fontId="3" fillId="8" borderId="0" xfId="0" applyNumberFormat="1" applyFont="1" applyFill="1"/>
    <xf numFmtId="168" fontId="3" fillId="6" borderId="0" xfId="0" applyNumberFormat="1" applyFont="1" applyFill="1"/>
    <xf numFmtId="168" fontId="3" fillId="6" borderId="3" xfId="0" applyNumberFormat="1" applyFont="1" applyFill="1" applyBorder="1"/>
    <xf numFmtId="168" fontId="3" fillId="0" borderId="8" xfId="0" applyNumberFormat="1" applyFont="1" applyBorder="1"/>
    <xf numFmtId="168" fontId="3" fillId="8" borderId="8" xfId="0" applyNumberFormat="1" applyFont="1" applyFill="1" applyBorder="1"/>
    <xf numFmtId="168" fontId="3" fillId="0" borderId="7" xfId="0" applyNumberFormat="1" applyFont="1" applyBorder="1"/>
    <xf numFmtId="0" fontId="3" fillId="0" borderId="12" xfId="0" applyFont="1" applyBorder="1"/>
    <xf numFmtId="0" fontId="16" fillId="0" borderId="44" xfId="0" applyFont="1" applyBorder="1"/>
    <xf numFmtId="0" fontId="16" fillId="0" borderId="46" xfId="0" applyFont="1" applyBorder="1"/>
    <xf numFmtId="169" fontId="3" fillId="9" borderId="8" xfId="0" applyNumberFormat="1" applyFont="1" applyFill="1" applyBorder="1"/>
    <xf numFmtId="4" fontId="3" fillId="0" borderId="0" xfId="0" applyNumberFormat="1" applyFont="1"/>
    <xf numFmtId="168" fontId="3" fillId="8" borderId="3" xfId="0" applyNumberFormat="1" applyFont="1" applyFill="1" applyBorder="1" applyAlignment="1">
      <alignment horizontal="center"/>
    </xf>
    <xf numFmtId="0" fontId="3" fillId="8" borderId="3" xfId="0" applyFont="1" applyFill="1" applyBorder="1"/>
    <xf numFmtId="0" fontId="3" fillId="9" borderId="7" xfId="0" applyFont="1" applyFill="1" applyBorder="1" applyAlignment="1">
      <alignment wrapText="1"/>
    </xf>
    <xf numFmtId="168" fontId="3" fillId="3" borderId="3" xfId="0" applyNumberFormat="1" applyFont="1" applyFill="1" applyBorder="1"/>
    <xf numFmtId="3" fontId="3" fillId="0" borderId="3" xfId="0" applyNumberFormat="1" applyFont="1" applyBorder="1"/>
    <xf numFmtId="169" fontId="3" fillId="9" borderId="2" xfId="0" applyNumberFormat="1" applyFont="1" applyFill="1" applyBorder="1"/>
    <xf numFmtId="3" fontId="3" fillId="0" borderId="4" xfId="0" applyNumberFormat="1" applyFont="1" applyBorder="1"/>
    <xf numFmtId="0" fontId="1" fillId="0" borderId="4" xfId="0" applyFont="1" applyBorder="1"/>
    <xf numFmtId="0" fontId="1" fillId="0" borderId="5" xfId="0" applyFont="1" applyBorder="1"/>
    <xf numFmtId="168" fontId="21" fillId="0" borderId="0" xfId="0" applyNumberFormat="1" applyFont="1" applyAlignment="1">
      <alignment horizontal="center" vertical="top" wrapText="1"/>
    </xf>
    <xf numFmtId="0" fontId="16" fillId="0" borderId="43" xfId="0" applyFont="1" applyBorder="1" applyAlignment="1">
      <alignment horizontal="center"/>
    </xf>
    <xf numFmtId="0" fontId="16" fillId="0" borderId="44" xfId="0" applyFont="1" applyBorder="1" applyAlignment="1">
      <alignment horizontal="center"/>
    </xf>
    <xf numFmtId="0" fontId="16" fillId="0" borderId="46" xfId="0" applyFont="1" applyBorder="1" applyAlignment="1">
      <alignment horizontal="center"/>
    </xf>
    <xf numFmtId="168" fontId="21" fillId="12" borderId="8" xfId="0" applyNumberFormat="1" applyFont="1" applyFill="1" applyBorder="1" applyAlignment="1">
      <alignment horizontal="center" vertical="top" wrapText="1"/>
    </xf>
    <xf numFmtId="1" fontId="3" fillId="0" borderId="3" xfId="0" applyNumberFormat="1" applyFont="1" applyBorder="1" applyAlignment="1">
      <alignment horizontal="center" vertical="top" wrapText="1"/>
    </xf>
    <xf numFmtId="168" fontId="3" fillId="12" borderId="3" xfId="0" applyNumberFormat="1" applyFont="1" applyFill="1" applyBorder="1" applyAlignment="1">
      <alignment horizontal="center" vertical="top" wrapText="1"/>
    </xf>
    <xf numFmtId="167" fontId="3" fillId="12" borderId="3" xfId="0" applyNumberFormat="1" applyFont="1" applyFill="1" applyBorder="1" applyAlignment="1">
      <alignment horizontal="center"/>
    </xf>
    <xf numFmtId="1" fontId="3" fillId="12" borderId="3" xfId="0" applyNumberFormat="1" applyFont="1" applyFill="1" applyBorder="1" applyAlignment="1">
      <alignment horizontal="center"/>
    </xf>
    <xf numFmtId="168" fontId="3" fillId="19" borderId="0" xfId="0" applyNumberFormat="1" applyFont="1" applyFill="1" applyAlignment="1">
      <alignment horizontal="center" vertical="top" wrapText="1"/>
    </xf>
    <xf numFmtId="1" fontId="3" fillId="12" borderId="0" xfId="0" applyNumberFormat="1" applyFont="1" applyFill="1" applyAlignment="1">
      <alignment horizontal="center"/>
    </xf>
    <xf numFmtId="167" fontId="3" fillId="12" borderId="0" xfId="0" applyNumberFormat="1" applyFont="1" applyFill="1" applyAlignment="1">
      <alignment horizontal="center"/>
    </xf>
    <xf numFmtId="167" fontId="3" fillId="12" borderId="8" xfId="0" applyNumberFormat="1" applyFont="1" applyFill="1" applyBorder="1" applyAlignment="1">
      <alignment horizontal="center"/>
    </xf>
    <xf numFmtId="168" fontId="21" fillId="12" borderId="0" xfId="0" applyNumberFormat="1" applyFont="1" applyFill="1" applyAlignment="1">
      <alignment horizontal="center" vertical="top" wrapText="1"/>
    </xf>
    <xf numFmtId="1" fontId="3" fillId="0" borderId="3" xfId="0" applyNumberFormat="1" applyFont="1" applyBorder="1" applyAlignment="1">
      <alignment horizontal="center"/>
    </xf>
    <xf numFmtId="168" fontId="3" fillId="0" borderId="0" xfId="0" applyNumberFormat="1" applyFont="1" applyAlignment="1">
      <alignment horizontal="right" vertical="top" wrapText="1"/>
    </xf>
    <xf numFmtId="168" fontId="3" fillId="0" borderId="0" xfId="0" applyNumberFormat="1" applyFont="1" applyAlignment="1">
      <alignment horizontal="center" vertical="top" wrapText="1"/>
    </xf>
    <xf numFmtId="1" fontId="21" fillId="0" borderId="0" xfId="0" applyNumberFormat="1" applyFont="1" applyAlignment="1">
      <alignment horizontal="center" vertical="top" wrapText="1"/>
    </xf>
    <xf numFmtId="9" fontId="3" fillId="0" borderId="0" xfId="0" applyNumberFormat="1" applyFont="1" applyAlignment="1">
      <alignment horizontal="right" vertical="top" wrapText="1"/>
    </xf>
    <xf numFmtId="168" fontId="3" fillId="0" borderId="5" xfId="0" applyNumberFormat="1" applyFont="1" applyBorder="1" applyAlignment="1">
      <alignment horizontal="right" vertical="top" wrapText="1"/>
    </xf>
    <xf numFmtId="168" fontId="3" fillId="0" borderId="6" xfId="0" applyNumberFormat="1" applyFont="1" applyBorder="1" applyAlignment="1">
      <alignment horizontal="right" vertical="top" wrapText="1"/>
    </xf>
    <xf numFmtId="1" fontId="21" fillId="0" borderId="3" xfId="0" applyNumberFormat="1" applyFont="1" applyBorder="1" applyAlignment="1">
      <alignment horizontal="center" vertical="top" wrapText="1"/>
    </xf>
    <xf numFmtId="168" fontId="21" fillId="0" borderId="8" xfId="0" applyNumberFormat="1" applyFont="1" applyBorder="1" applyAlignment="1">
      <alignment horizontal="center" vertical="top" wrapText="1"/>
    </xf>
    <xf numFmtId="1" fontId="3" fillId="0" borderId="2" xfId="0" applyNumberFormat="1" applyFont="1" applyBorder="1" applyAlignment="1">
      <alignment horizontal="center" vertical="top" wrapText="1"/>
    </xf>
    <xf numFmtId="168" fontId="3" fillId="0" borderId="3" xfId="0" applyNumberFormat="1" applyFont="1" applyBorder="1" applyAlignment="1">
      <alignment horizontal="right" vertical="top" wrapText="1"/>
    </xf>
    <xf numFmtId="168" fontId="21" fillId="0" borderId="3" xfId="0" applyNumberFormat="1" applyFont="1" applyBorder="1" applyAlignment="1">
      <alignment horizontal="center" vertical="top" wrapText="1"/>
    </xf>
    <xf numFmtId="1" fontId="3" fillId="0" borderId="8" xfId="0" applyNumberFormat="1" applyFont="1" applyBorder="1" applyAlignment="1">
      <alignment horizontal="center"/>
    </xf>
    <xf numFmtId="1" fontId="3" fillId="0" borderId="2" xfId="0" applyNumberFormat="1" applyFont="1" applyBorder="1" applyAlignment="1">
      <alignment horizontal="center"/>
    </xf>
    <xf numFmtId="167" fontId="3" fillId="0" borderId="1" xfId="0" applyNumberFormat="1" applyFont="1" applyBorder="1" applyAlignment="1">
      <alignment horizontal="center"/>
    </xf>
    <xf numFmtId="167" fontId="3" fillId="0" borderId="3" xfId="0" applyNumberFormat="1" applyFont="1" applyBorder="1" applyAlignment="1">
      <alignment horizontal="center"/>
    </xf>
    <xf numFmtId="1" fontId="3" fillId="8" borderId="8" xfId="0" applyNumberFormat="1" applyFont="1" applyFill="1" applyBorder="1" applyAlignment="1">
      <alignment horizontal="center"/>
    </xf>
    <xf numFmtId="1" fontId="3" fillId="8" borderId="2" xfId="0" applyNumberFormat="1" applyFont="1" applyFill="1" applyBorder="1" applyAlignment="1">
      <alignment horizontal="center"/>
    </xf>
    <xf numFmtId="168" fontId="3" fillId="14" borderId="0" xfId="0" applyNumberFormat="1" applyFont="1" applyFill="1" applyAlignment="1">
      <alignment horizontal="right" vertical="top" wrapText="1"/>
    </xf>
    <xf numFmtId="0" fontId="25" fillId="0" borderId="0" xfId="0" applyFont="1" applyAlignment="1">
      <alignment horizontal="center" vertical="top" wrapText="1"/>
    </xf>
    <xf numFmtId="1" fontId="21" fillId="14" borderId="0" xfId="0" applyNumberFormat="1" applyFont="1" applyFill="1" applyAlignment="1">
      <alignment horizontal="center" vertical="top" wrapText="1"/>
    </xf>
    <xf numFmtId="1" fontId="21" fillId="14" borderId="3" xfId="0" applyNumberFormat="1" applyFont="1" applyFill="1" applyBorder="1" applyAlignment="1">
      <alignment horizontal="center" vertical="top" wrapText="1"/>
    </xf>
    <xf numFmtId="1" fontId="3" fillId="8" borderId="0" xfId="0" applyNumberFormat="1" applyFont="1" applyFill="1" applyAlignment="1">
      <alignment horizontal="center" vertical="top" wrapText="1"/>
    </xf>
    <xf numFmtId="1" fontId="3" fillId="8" borderId="3" xfId="0" applyNumberFormat="1" applyFont="1" applyFill="1" applyBorder="1" applyAlignment="1">
      <alignment horizontal="center" vertical="top" wrapText="1"/>
    </xf>
    <xf numFmtId="1" fontId="3" fillId="8" borderId="51" xfId="0" applyNumberFormat="1" applyFont="1" applyFill="1" applyBorder="1" applyAlignment="1">
      <alignment horizontal="center" vertical="top" wrapText="1"/>
    </xf>
    <xf numFmtId="0" fontId="28" fillId="0" borderId="52" xfId="0" applyFont="1" applyBorder="1" applyAlignment="1">
      <alignment horizontal="left" indent="2"/>
    </xf>
    <xf numFmtId="1" fontId="3" fillId="8" borderId="53" xfId="0" applyNumberFormat="1" applyFont="1" applyFill="1" applyBorder="1" applyAlignment="1">
      <alignment horizontal="center" vertical="top" wrapText="1"/>
    </xf>
    <xf numFmtId="0" fontId="21" fillId="0" borderId="0" xfId="0" applyFont="1" applyAlignment="1">
      <alignment horizontal="center" vertical="top" wrapText="1"/>
    </xf>
    <xf numFmtId="3" fontId="21" fillId="0" borderId="0" xfId="0" applyNumberFormat="1" applyFont="1" applyAlignment="1">
      <alignment horizontal="center" vertical="top" wrapText="1"/>
    </xf>
    <xf numFmtId="168" fontId="21" fillId="14" borderId="0" xfId="0" applyNumberFormat="1" applyFont="1" applyFill="1" applyAlignment="1">
      <alignment horizontal="center" vertical="top" wrapText="1"/>
    </xf>
    <xf numFmtId="168" fontId="3" fillId="14" borderId="0" xfId="0" applyNumberFormat="1" applyFont="1" applyFill="1" applyAlignment="1">
      <alignment horizontal="center" vertical="top" wrapText="1"/>
    </xf>
    <xf numFmtId="168" fontId="3" fillId="14" borderId="3" xfId="0" applyNumberFormat="1" applyFont="1" applyFill="1" applyBorder="1" applyAlignment="1">
      <alignment horizontal="center" vertical="top" wrapText="1"/>
    </xf>
    <xf numFmtId="168" fontId="34" fillId="8" borderId="8" xfId="0" applyNumberFormat="1" applyFont="1" applyFill="1" applyBorder="1" applyAlignment="1">
      <alignment horizontal="center"/>
    </xf>
    <xf numFmtId="2" fontId="3" fillId="0" borderId="4" xfId="0" applyNumberFormat="1" applyFont="1" applyBorder="1" applyAlignment="1">
      <alignment horizontal="center"/>
    </xf>
    <xf numFmtId="2" fontId="3" fillId="0" borderId="5" xfId="0" applyNumberFormat="1" applyFont="1" applyBorder="1" applyAlignment="1">
      <alignment horizontal="center"/>
    </xf>
    <xf numFmtId="2" fontId="3" fillId="0" borderId="6" xfId="0" applyNumberFormat="1" applyFont="1" applyBorder="1" applyAlignment="1">
      <alignment horizontal="center"/>
    </xf>
    <xf numFmtId="167" fontId="3" fillId="0" borderId="5" xfId="0" applyNumberFormat="1" applyFont="1" applyBorder="1" applyAlignment="1">
      <alignment horizontal="center"/>
    </xf>
    <xf numFmtId="167" fontId="3" fillId="0" borderId="6" xfId="0" applyNumberFormat="1" applyFont="1" applyBorder="1" applyAlignment="1">
      <alignment horizontal="center"/>
    </xf>
    <xf numFmtId="167" fontId="3" fillId="0" borderId="4" xfId="0" applyNumberFormat="1" applyFont="1" applyBorder="1" applyAlignment="1">
      <alignment horizontal="center"/>
    </xf>
    <xf numFmtId="0" fontId="21" fillId="0" borderId="0" xfId="0" applyFont="1" applyAlignment="1">
      <alignment horizontal="left" vertical="top" wrapText="1"/>
    </xf>
    <xf numFmtId="0" fontId="27" fillId="0" borderId="4" xfId="0" applyFont="1" applyBorder="1" applyAlignment="1">
      <alignment horizontal="left"/>
    </xf>
    <xf numFmtId="168" fontId="3" fillId="14" borderId="5" xfId="0" applyNumberFormat="1" applyFont="1" applyFill="1" applyBorder="1" applyAlignment="1">
      <alignment horizontal="right" vertical="top" wrapText="1"/>
    </xf>
    <xf numFmtId="168" fontId="3" fillId="14" borderId="6" xfId="0" applyNumberFormat="1" applyFont="1" applyFill="1" applyBorder="1" applyAlignment="1">
      <alignment horizontal="right" vertical="top" wrapText="1"/>
    </xf>
    <xf numFmtId="168" fontId="21" fillId="14" borderId="3" xfId="0" applyNumberFormat="1" applyFont="1" applyFill="1" applyBorder="1" applyAlignment="1">
      <alignment horizontal="center" vertical="top" wrapText="1"/>
    </xf>
    <xf numFmtId="0" fontId="28" fillId="0" borderId="54" xfId="0" applyFont="1" applyBorder="1" applyAlignment="1">
      <alignment horizontal="left" indent="2"/>
    </xf>
    <xf numFmtId="165" fontId="3" fillId="0" borderId="55" xfId="0" applyNumberFormat="1" applyFont="1" applyBorder="1" applyAlignment="1">
      <alignment horizontal="center" vertical="top" wrapText="1"/>
    </xf>
    <xf numFmtId="1" fontId="3" fillId="8" borderId="55" xfId="0" applyNumberFormat="1" applyFont="1" applyFill="1" applyBorder="1" applyAlignment="1">
      <alignment horizontal="center" vertical="top" wrapText="1"/>
    </xf>
    <xf numFmtId="3" fontId="3" fillId="0" borderId="48" xfId="0" applyNumberFormat="1" applyFont="1" applyBorder="1" applyAlignment="1">
      <alignment horizontal="center" vertical="top" wrapText="1"/>
    </xf>
    <xf numFmtId="1" fontId="3" fillId="8" borderId="48" xfId="0" applyNumberFormat="1" applyFont="1" applyFill="1" applyBorder="1" applyAlignment="1">
      <alignment horizontal="center" vertical="top" wrapText="1"/>
    </xf>
    <xf numFmtId="9" fontId="3" fillId="9" borderId="0" xfId="0" applyNumberFormat="1" applyFont="1" applyFill="1"/>
    <xf numFmtId="9" fontId="3" fillId="9" borderId="8" xfId="0" applyNumberFormat="1" applyFont="1" applyFill="1" applyBorder="1"/>
    <xf numFmtId="168" fontId="3" fillId="0" borderId="4" xfId="0" applyNumberFormat="1" applyFont="1" applyBorder="1" applyAlignment="1">
      <alignment horizontal="right" vertical="top" wrapText="1"/>
    </xf>
    <xf numFmtId="174" fontId="28" fillId="0" borderId="0" xfId="0" applyNumberFormat="1" applyFont="1" applyAlignment="1">
      <alignment horizontal="center"/>
    </xf>
    <xf numFmtId="9" fontId="3" fillId="0" borderId="0" xfId="0" applyNumberFormat="1" applyFont="1"/>
    <xf numFmtId="9" fontId="3" fillId="0" borderId="3" xfId="0" applyNumberFormat="1" applyFont="1" applyBorder="1"/>
    <xf numFmtId="9" fontId="3" fillId="0" borderId="8" xfId="0" applyNumberFormat="1" applyFont="1" applyBorder="1"/>
    <xf numFmtId="9" fontId="3" fillId="0" borderId="2" xfId="0" applyNumberFormat="1" applyFont="1" applyBorder="1"/>
    <xf numFmtId="0" fontId="16" fillId="14" borderId="43" xfId="0" applyFont="1" applyFill="1" applyBorder="1" applyAlignment="1">
      <alignment horizontal="center"/>
    </xf>
    <xf numFmtId="0" fontId="3" fillId="0" borderId="4" xfId="0" applyFont="1" applyBorder="1" applyAlignment="1">
      <alignment horizontal="left" indent="1"/>
    </xf>
    <xf numFmtId="0" fontId="27" fillId="0" borderId="1" xfId="0" applyFont="1" applyBorder="1" applyAlignment="1">
      <alignment horizontal="left" wrapText="1"/>
    </xf>
    <xf numFmtId="43" fontId="28" fillId="0" borderId="0" xfId="0" applyNumberFormat="1" applyFont="1"/>
    <xf numFmtId="167" fontId="3" fillId="0" borderId="0" xfId="0" applyNumberFormat="1" applyFont="1"/>
    <xf numFmtId="10" fontId="3" fillId="0" borderId="0" xfId="0" applyNumberFormat="1" applyFont="1"/>
    <xf numFmtId="0" fontId="3" fillId="0" borderId="1" xfId="0" applyFont="1" applyBorder="1" applyAlignment="1">
      <alignment horizontal="left" indent="2"/>
    </xf>
    <xf numFmtId="0" fontId="35" fillId="0" borderId="0" xfId="0" applyFont="1"/>
    <xf numFmtId="0" fontId="28" fillId="0" borderId="0" xfId="0" applyFont="1"/>
    <xf numFmtId="0" fontId="27" fillId="0" borderId="0" xfId="0" applyFont="1"/>
    <xf numFmtId="174" fontId="28" fillId="0" borderId="0" xfId="0" applyNumberFormat="1" applyFont="1"/>
    <xf numFmtId="0" fontId="36" fillId="0" borderId="1" xfId="0" applyFont="1" applyBorder="1" applyAlignment="1">
      <alignment horizontal="left"/>
    </xf>
    <xf numFmtId="174" fontId="28" fillId="0" borderId="3" xfId="0" applyNumberFormat="1" applyFont="1" applyBorder="1" applyAlignment="1">
      <alignment horizontal="center"/>
    </xf>
    <xf numFmtId="0" fontId="28" fillId="0" borderId="0" xfId="0" applyFont="1" applyAlignment="1">
      <alignment horizontal="center"/>
    </xf>
    <xf numFmtId="167" fontId="21" fillId="0" borderId="0" xfId="0" applyNumberFormat="1" applyFont="1"/>
    <xf numFmtId="0" fontId="21" fillId="0" borderId="7" xfId="0" applyFont="1" applyBorder="1" applyAlignment="1">
      <alignment horizontal="left" vertical="top" wrapText="1"/>
    </xf>
    <xf numFmtId="0" fontId="16" fillId="0" borderId="45" xfId="0" applyFont="1" applyBorder="1"/>
    <xf numFmtId="0" fontId="3" fillId="0" borderId="13" xfId="0" applyFont="1" applyBorder="1" applyAlignment="1">
      <alignment horizontal="left" indent="1"/>
    </xf>
    <xf numFmtId="0" fontId="3" fillId="0" borderId="12" xfId="0" applyFont="1" applyBorder="1" applyAlignment="1">
      <alignment horizontal="left" indent="1"/>
    </xf>
    <xf numFmtId="0" fontId="28" fillId="0" borderId="12" xfId="0" applyFont="1" applyBorder="1" applyAlignment="1">
      <alignment horizontal="left" indent="1"/>
    </xf>
    <xf numFmtId="0" fontId="28" fillId="0" borderId="13" xfId="0" applyFont="1" applyBorder="1" applyAlignment="1">
      <alignment horizontal="left" indent="1"/>
    </xf>
    <xf numFmtId="0" fontId="3" fillId="0" borderId="56" xfId="0" applyFont="1" applyBorder="1"/>
    <xf numFmtId="168" fontId="21" fillId="0" borderId="0" xfId="0" applyNumberFormat="1" applyFont="1" applyAlignment="1">
      <alignment horizontal="right" vertical="top" wrapText="1"/>
    </xf>
    <xf numFmtId="174" fontId="27" fillId="0" borderId="0" xfId="0" applyNumberFormat="1" applyFont="1" applyAlignment="1">
      <alignment horizontal="center"/>
    </xf>
    <xf numFmtId="1" fontId="28" fillId="0" borderId="0" xfId="0" applyNumberFormat="1" applyFont="1" applyAlignment="1">
      <alignment horizontal="center"/>
    </xf>
    <xf numFmtId="43" fontId="3" fillId="0" borderId="0" xfId="0" applyNumberFormat="1" applyFont="1"/>
    <xf numFmtId="1" fontId="27" fillId="0" borderId="0" xfId="0" applyNumberFormat="1" applyFont="1" applyAlignment="1">
      <alignment horizontal="center"/>
    </xf>
    <xf numFmtId="174" fontId="27" fillId="0" borderId="0" xfId="0" applyNumberFormat="1" applyFont="1"/>
    <xf numFmtId="0" fontId="27" fillId="0" borderId="0" xfId="0" applyFont="1" applyAlignment="1">
      <alignment horizontal="left" indent="2"/>
    </xf>
    <xf numFmtId="175" fontId="27" fillId="0" borderId="0" xfId="0" applyNumberFormat="1" applyFont="1" applyAlignment="1">
      <alignment horizontal="center"/>
    </xf>
    <xf numFmtId="1" fontId="16" fillId="0" borderId="0" xfId="0" applyNumberFormat="1" applyFont="1" applyAlignment="1">
      <alignment horizontal="center"/>
    </xf>
    <xf numFmtId="174" fontId="27" fillId="0" borderId="5" xfId="0" applyNumberFormat="1" applyFont="1" applyBorder="1" applyAlignment="1">
      <alignment horizontal="center"/>
    </xf>
    <xf numFmtId="174" fontId="27" fillId="14" borderId="5" xfId="0" applyNumberFormat="1" applyFont="1" applyFill="1" applyBorder="1" applyAlignment="1">
      <alignment horizontal="center"/>
    </xf>
    <xf numFmtId="169" fontId="3" fillId="0" borderId="5" xfId="0" applyNumberFormat="1" applyFont="1" applyBorder="1"/>
    <xf numFmtId="168" fontId="3" fillId="0" borderId="1" xfId="0" applyNumberFormat="1" applyFont="1" applyBorder="1" applyAlignment="1">
      <alignment horizontal="right" vertical="top" wrapText="1"/>
    </xf>
    <xf numFmtId="3" fontId="21" fillId="0" borderId="8" xfId="0" applyNumberFormat="1" applyFont="1" applyBorder="1" applyAlignment="1">
      <alignment horizontal="center" vertical="top" wrapText="1"/>
    </xf>
    <xf numFmtId="168" fontId="3" fillId="0" borderId="1" xfId="0" applyNumberFormat="1" applyFont="1" applyBorder="1" applyAlignment="1">
      <alignment horizontal="center" vertical="top" wrapText="1"/>
    </xf>
    <xf numFmtId="174" fontId="27" fillId="8" borderId="46" xfId="0" applyNumberFormat="1" applyFont="1" applyFill="1" applyBorder="1" applyAlignment="1">
      <alignment horizontal="center"/>
    </xf>
    <xf numFmtId="1" fontId="3" fillId="0" borderId="7" xfId="0" applyNumberFormat="1" applyFont="1" applyBorder="1" applyAlignment="1">
      <alignment horizontal="center"/>
    </xf>
    <xf numFmtId="175" fontId="28" fillId="0" borderId="0" xfId="0" applyNumberFormat="1" applyFont="1" applyAlignment="1">
      <alignment horizontal="center"/>
    </xf>
    <xf numFmtId="0" fontId="16" fillId="14" borderId="44" xfId="0" applyFont="1" applyFill="1" applyBorder="1" applyAlignment="1">
      <alignment horizontal="center"/>
    </xf>
    <xf numFmtId="0" fontId="16" fillId="14" borderId="46" xfId="0" applyFont="1" applyFill="1" applyBorder="1" applyAlignment="1">
      <alignment horizontal="center"/>
    </xf>
    <xf numFmtId="0" fontId="16" fillId="14" borderId="4" xfId="0" applyFont="1" applyFill="1" applyBorder="1" applyAlignment="1">
      <alignment horizontal="center"/>
    </xf>
    <xf numFmtId="0" fontId="16" fillId="14" borderId="5" xfId="0" applyFont="1" applyFill="1" applyBorder="1" applyAlignment="1">
      <alignment horizontal="center"/>
    </xf>
    <xf numFmtId="0" fontId="16" fillId="14" borderId="6" xfId="0" applyFont="1" applyFill="1" applyBorder="1" applyAlignment="1">
      <alignment horizontal="center"/>
    </xf>
    <xf numFmtId="1" fontId="28" fillId="0" borderId="4" xfId="0" applyNumberFormat="1" applyFont="1" applyBorder="1" applyAlignment="1">
      <alignment horizontal="center"/>
    </xf>
    <xf numFmtId="1" fontId="28" fillId="0" borderId="5" xfId="0" applyNumberFormat="1" applyFont="1" applyBorder="1" applyAlignment="1">
      <alignment horizontal="center"/>
    </xf>
    <xf numFmtId="1" fontId="28" fillId="0" borderId="1" xfId="0" applyNumberFormat="1" applyFont="1" applyBorder="1" applyAlignment="1">
      <alignment horizontal="center"/>
    </xf>
    <xf numFmtId="1" fontId="28" fillId="0" borderId="6" xfId="0" applyNumberFormat="1" applyFont="1" applyBorder="1" applyAlignment="1">
      <alignment horizontal="center"/>
    </xf>
    <xf numFmtId="0" fontId="28" fillId="0" borderId="1" xfId="0" applyFont="1" applyBorder="1"/>
    <xf numFmtId="174" fontId="27" fillId="14" borderId="4" xfId="0" applyNumberFormat="1" applyFont="1" applyFill="1" applyBorder="1" applyAlignment="1">
      <alignment horizontal="center"/>
    </xf>
    <xf numFmtId="174" fontId="27" fillId="14" borderId="6" xfId="0" applyNumberFormat="1" applyFont="1" applyFill="1" applyBorder="1" applyAlignment="1">
      <alignment horizontal="center"/>
    </xf>
    <xf numFmtId="174" fontId="27" fillId="0" borderId="44" xfId="0" applyNumberFormat="1" applyFont="1" applyBorder="1" applyAlignment="1">
      <alignment horizontal="center"/>
    </xf>
    <xf numFmtId="174" fontId="27" fillId="14" borderId="43" xfId="0" applyNumberFormat="1" applyFont="1" applyFill="1" applyBorder="1" applyAlignment="1">
      <alignment horizontal="center"/>
    </xf>
    <xf numFmtId="174" fontId="27" fillId="14" borderId="44" xfId="0" applyNumberFormat="1" applyFont="1" applyFill="1" applyBorder="1" applyAlignment="1">
      <alignment horizontal="center"/>
    </xf>
    <xf numFmtId="174" fontId="27" fillId="14" borderId="46" xfId="0" applyNumberFormat="1" applyFont="1" applyFill="1" applyBorder="1" applyAlignment="1">
      <alignment horizontal="center"/>
    </xf>
    <xf numFmtId="174" fontId="28" fillId="0" borderId="0" xfId="0" applyNumberFormat="1" applyFont="1" applyAlignment="1">
      <alignment horizontal="left"/>
    </xf>
    <xf numFmtId="0" fontId="3" fillId="0" borderId="1" xfId="0" applyFont="1" applyBorder="1" applyAlignment="1">
      <alignment horizontal="left" indent="1"/>
    </xf>
    <xf numFmtId="0" fontId="3" fillId="0" borderId="7" xfId="0" applyFont="1" applyBorder="1" applyAlignment="1">
      <alignment horizontal="left" indent="1"/>
    </xf>
    <xf numFmtId="0" fontId="28" fillId="0" borderId="1" xfId="0" applyFont="1" applyBorder="1" applyAlignment="1">
      <alignment horizontal="left" indent="1"/>
    </xf>
    <xf numFmtId="0" fontId="28" fillId="0" borderId="7"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8" borderId="5" xfId="0" applyNumberFormat="1" applyFont="1" applyFill="1" applyBorder="1" applyAlignment="1">
      <alignment horizontal="center"/>
    </xf>
    <xf numFmtId="1" fontId="3" fillId="8" borderId="6" xfId="0" applyNumberFormat="1" applyFont="1" applyFill="1" applyBorder="1" applyAlignment="1">
      <alignment horizontal="center"/>
    </xf>
    <xf numFmtId="167" fontId="3" fillId="8" borderId="0" xfId="0" applyNumberFormat="1" applyFont="1" applyFill="1" applyAlignment="1">
      <alignment horizontal="center"/>
    </xf>
    <xf numFmtId="167" fontId="3" fillId="8" borderId="8" xfId="0" applyNumberFormat="1" applyFont="1" applyFill="1" applyBorder="1" applyAlignment="1">
      <alignment horizontal="center"/>
    </xf>
    <xf numFmtId="167" fontId="3" fillId="8" borderId="2" xfId="0" applyNumberFormat="1" applyFont="1" applyFill="1" applyBorder="1" applyAlignment="1">
      <alignment horizontal="center"/>
    </xf>
    <xf numFmtId="0" fontId="16" fillId="3" borderId="0" xfId="0" applyFont="1" applyFill="1" applyAlignment="1">
      <alignment horizontal="left"/>
    </xf>
    <xf numFmtId="0" fontId="16" fillId="3" borderId="0" xfId="0" applyFont="1" applyFill="1"/>
    <xf numFmtId="1" fontId="21" fillId="0" borderId="1" xfId="0" applyNumberFormat="1" applyFont="1" applyBorder="1" applyAlignment="1">
      <alignment horizontal="center" vertical="top" wrapText="1"/>
    </xf>
    <xf numFmtId="168" fontId="21" fillId="0" borderId="1" xfId="0" applyNumberFormat="1" applyFont="1" applyBorder="1" applyAlignment="1">
      <alignment horizontal="center" vertical="top" wrapText="1"/>
    </xf>
    <xf numFmtId="168" fontId="21" fillId="0" borderId="7" xfId="0" applyNumberFormat="1" applyFont="1" applyBorder="1" applyAlignment="1">
      <alignment horizontal="center" vertical="top" wrapText="1"/>
    </xf>
    <xf numFmtId="168" fontId="3" fillId="14" borderId="3" xfId="0" applyNumberFormat="1" applyFont="1" applyFill="1" applyBorder="1" applyAlignment="1">
      <alignment horizontal="right" vertical="top" wrapText="1"/>
    </xf>
    <xf numFmtId="174" fontId="27" fillId="8" borderId="43" xfId="0" applyNumberFormat="1" applyFont="1" applyFill="1" applyBorder="1" applyAlignment="1">
      <alignment horizontal="center"/>
    </xf>
    <xf numFmtId="174" fontId="27" fillId="8" borderId="44" xfId="0" applyNumberFormat="1" applyFont="1" applyFill="1" applyBorder="1" applyAlignment="1">
      <alignment horizontal="center"/>
    </xf>
    <xf numFmtId="1" fontId="28" fillId="0" borderId="3" xfId="0" applyNumberFormat="1" applyFont="1" applyBorder="1" applyAlignment="1">
      <alignment horizontal="center"/>
    </xf>
    <xf numFmtId="0" fontId="16" fillId="0" borderId="45" xfId="0" applyFont="1" applyBorder="1" applyAlignment="1">
      <alignment horizontal="left" indent="1"/>
    </xf>
    <xf numFmtId="0" fontId="3" fillId="0" borderId="4" xfId="0" applyFont="1" applyBorder="1" applyAlignment="1">
      <alignment horizontal="left" indent="2"/>
    </xf>
    <xf numFmtId="167" fontId="3" fillId="8" borderId="3" xfId="0" applyNumberFormat="1" applyFont="1" applyFill="1" applyBorder="1" applyAlignment="1">
      <alignment horizontal="center"/>
    </xf>
    <xf numFmtId="0" fontId="3" fillId="0" borderId="0" xfId="0" applyFont="1" applyAlignment="1">
      <alignment horizontal="left" indent="2"/>
    </xf>
    <xf numFmtId="165" fontId="14" fillId="0" borderId="0" xfId="0" applyNumberFormat="1" applyFont="1" applyAlignment="1">
      <alignment horizontal="right"/>
    </xf>
    <xf numFmtId="165" fontId="14" fillId="0" borderId="57" xfId="0" applyNumberFormat="1" applyFont="1" applyBorder="1" applyAlignment="1">
      <alignment horizontal="right"/>
    </xf>
    <xf numFmtId="168" fontId="1" fillId="0" borderId="58" xfId="0" applyNumberFormat="1" applyFont="1" applyBorder="1" applyAlignment="1">
      <alignment horizontal="center"/>
    </xf>
    <xf numFmtId="0" fontId="27" fillId="0" borderId="47" xfId="0" applyFont="1" applyBorder="1" applyAlignment="1">
      <alignment wrapText="1"/>
    </xf>
    <xf numFmtId="0" fontId="16" fillId="0" borderId="47" xfId="0" applyFont="1" applyBorder="1"/>
    <xf numFmtId="1" fontId="3" fillId="0" borderId="0" xfId="0" applyNumberFormat="1" applyFont="1" applyAlignment="1">
      <alignment horizontal="center" vertical="center"/>
    </xf>
    <xf numFmtId="1" fontId="3" fillId="0" borderId="3" xfId="0" applyNumberFormat="1" applyFont="1" applyBorder="1" applyAlignment="1">
      <alignment horizontal="center" vertical="center"/>
    </xf>
    <xf numFmtId="1" fontId="3" fillId="0" borderId="8" xfId="0" applyNumberFormat="1" applyFont="1" applyBorder="1" applyAlignment="1">
      <alignment horizontal="center" vertical="center"/>
    </xf>
    <xf numFmtId="1" fontId="3" fillId="0" borderId="2" xfId="0" applyNumberFormat="1" applyFont="1" applyBorder="1" applyAlignment="1">
      <alignment horizontal="center" vertical="center"/>
    </xf>
    <xf numFmtId="174" fontId="28" fillId="0" borderId="2" xfId="0" applyNumberFormat="1" applyFont="1" applyBorder="1" applyAlignment="1">
      <alignment horizontal="center"/>
    </xf>
    <xf numFmtId="168" fontId="1" fillId="0" borderId="59" xfId="0" applyNumberFormat="1" applyFont="1" applyBorder="1" applyAlignment="1">
      <alignment horizontal="center"/>
    </xf>
    <xf numFmtId="10" fontId="21" fillId="0" borderId="0" xfId="0" applyNumberFormat="1" applyFont="1" applyAlignment="1">
      <alignment horizontal="center" vertical="top" wrapText="1"/>
    </xf>
    <xf numFmtId="0" fontId="3" fillId="0" borderId="0" xfId="0" applyFont="1" applyAlignment="1">
      <alignment vertical="center"/>
    </xf>
    <xf numFmtId="1" fontId="3" fillId="0" borderId="8" xfId="0" applyNumberFormat="1" applyFont="1" applyBorder="1"/>
    <xf numFmtId="3" fontId="3" fillId="0" borderId="8" xfId="0" applyNumberFormat="1" applyFont="1" applyBorder="1"/>
    <xf numFmtId="3" fontId="3" fillId="0" borderId="8" xfId="0" applyNumberFormat="1" applyFont="1" applyBorder="1" applyAlignment="1">
      <alignment horizontal="right"/>
    </xf>
    <xf numFmtId="0" fontId="3" fillId="0" borderId="8" xfId="0" applyFont="1" applyBorder="1" applyAlignment="1">
      <alignment horizontal="right"/>
    </xf>
    <xf numFmtId="0" fontId="3" fillId="0" borderId="0" xfId="0" applyFont="1" applyAlignment="1">
      <alignment horizontal="right"/>
    </xf>
    <xf numFmtId="0" fontId="3" fillId="0" borderId="0" xfId="0" applyFont="1" applyAlignment="1">
      <alignment horizontal="right" vertical="center"/>
    </xf>
    <xf numFmtId="0" fontId="3" fillId="0" borderId="8" xfId="0" applyFont="1" applyBorder="1" applyAlignment="1">
      <alignment vertical="center"/>
    </xf>
    <xf numFmtId="0" fontId="3" fillId="0" borderId="8" xfId="0" applyFont="1" applyBorder="1" applyAlignment="1">
      <alignment horizontal="right" vertical="center"/>
    </xf>
    <xf numFmtId="0" fontId="37"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5" xfId="0" applyNumberFormat="1" applyFont="1" applyBorder="1" applyAlignment="1">
      <alignment horizontal="right"/>
    </xf>
    <xf numFmtId="1" fontId="39" fillId="0" borderId="0" xfId="0" applyNumberFormat="1" applyFont="1"/>
    <xf numFmtId="1" fontId="40" fillId="20" borderId="0" xfId="0" applyNumberFormat="1" applyFont="1" applyFill="1" applyAlignment="1">
      <alignment horizontal="center"/>
    </xf>
    <xf numFmtId="0" fontId="41" fillId="21" borderId="0" xfId="0" applyFont="1" applyFill="1" applyAlignment="1">
      <alignment horizontal="center" vertical="center"/>
    </xf>
    <xf numFmtId="0" fontId="40" fillId="21" borderId="0" xfId="0" applyFont="1" applyFill="1" applyAlignment="1">
      <alignment horizontal="left" vertical="center" wrapText="1"/>
    </xf>
    <xf numFmtId="1" fontId="41" fillId="7" borderId="0" xfId="0" applyNumberFormat="1" applyFont="1" applyFill="1" applyAlignment="1">
      <alignment horizontal="center" vertical="top"/>
    </xf>
    <xf numFmtId="0" fontId="40" fillId="7" borderId="0" xfId="0" applyFont="1" applyFill="1" applyAlignment="1">
      <alignment horizontal="center" vertical="top"/>
    </xf>
    <xf numFmtId="0" fontId="39" fillId="0" borderId="0" xfId="0" applyFont="1"/>
    <xf numFmtId="0" fontId="4" fillId="22" borderId="0" xfId="0" applyFont="1" applyFill="1" applyAlignment="1">
      <alignment horizontal="left"/>
    </xf>
    <xf numFmtId="0" fontId="4" fillId="7" borderId="0" xfId="0" applyFont="1" applyFill="1" applyAlignment="1">
      <alignment horizontal="left"/>
    </xf>
    <xf numFmtId="0" fontId="4" fillId="8" borderId="0" xfId="0" applyFont="1" applyFill="1" applyAlignment="1">
      <alignment horizontal="left"/>
    </xf>
    <xf numFmtId="0" fontId="4" fillId="23" borderId="0" xfId="0" applyFont="1" applyFill="1" applyAlignment="1">
      <alignment horizontal="left"/>
    </xf>
    <xf numFmtId="0" fontId="4" fillId="24" borderId="0" xfId="0" applyFont="1" applyFill="1" applyAlignment="1">
      <alignment horizontal="left"/>
    </xf>
    <xf numFmtId="0" fontId="4" fillId="3" borderId="0" xfId="0" applyFont="1" applyFill="1" applyAlignment="1">
      <alignment horizontal="left"/>
    </xf>
    <xf numFmtId="169" fontId="39" fillId="0" borderId="0" xfId="0" applyNumberFormat="1" applyFont="1"/>
    <xf numFmtId="2" fontId="39" fillId="0" borderId="0" xfId="0" applyNumberFormat="1" applyFont="1"/>
    <xf numFmtId="0" fontId="42" fillId="0" borderId="0" xfId="0" applyFont="1"/>
    <xf numFmtId="0" fontId="40" fillId="0" borderId="0" xfId="0" applyFont="1" applyAlignment="1">
      <alignment horizontal="left"/>
    </xf>
    <xf numFmtId="0" fontId="40" fillId="0" borderId="0" xfId="0" applyFont="1" applyAlignment="1">
      <alignment horizontal="center" wrapText="1"/>
    </xf>
    <xf numFmtId="1" fontId="41" fillId="0" borderId="61" xfId="0" applyNumberFormat="1" applyFont="1" applyBorder="1" applyAlignment="1">
      <alignment horizontal="center" vertical="top"/>
    </xf>
    <xf numFmtId="0" fontId="40" fillId="21" borderId="61" xfId="0" applyFont="1" applyFill="1" applyBorder="1" applyAlignment="1">
      <alignment horizontal="center" vertical="top"/>
    </xf>
    <xf numFmtId="0" fontId="40" fillId="0" borderId="0" xfId="0" applyFont="1" applyAlignment="1">
      <alignment horizontal="center"/>
    </xf>
    <xf numFmtId="0" fontId="40" fillId="0" borderId="0" xfId="0" applyFont="1" applyAlignment="1">
      <alignment horizontal="left" wrapText="1"/>
    </xf>
    <xf numFmtId="0" fontId="41" fillId="0" borderId="0" xfId="0" applyFont="1" applyAlignment="1">
      <alignment horizontal="left" vertical="top"/>
    </xf>
    <xf numFmtId="0" fontId="41" fillId="0" borderId="0" xfId="0" applyFont="1" applyAlignment="1">
      <alignment horizontal="center" vertical="top" wrapText="1"/>
    </xf>
    <xf numFmtId="1" fontId="41" fillId="22" borderId="0" xfId="0" applyNumberFormat="1" applyFont="1" applyFill="1" applyAlignment="1">
      <alignment horizontal="center" vertical="top"/>
    </xf>
    <xf numFmtId="0" fontId="40" fillId="22" borderId="0" xfId="0" applyFont="1" applyFill="1" applyAlignment="1">
      <alignment horizontal="center" vertical="top"/>
    </xf>
    <xf numFmtId="0" fontId="40" fillId="22" borderId="0" xfId="0" applyFont="1" applyFill="1" applyAlignment="1">
      <alignment horizontal="left" vertical="top" wrapText="1"/>
    </xf>
    <xf numFmtId="0" fontId="40" fillId="0" borderId="0" xfId="0" applyFont="1" applyAlignment="1">
      <alignment horizontal="left" vertical="top" wrapText="1"/>
    </xf>
    <xf numFmtId="0" fontId="41" fillId="0" borderId="44" xfId="0" applyFont="1" applyBorder="1" applyAlignment="1">
      <alignment horizontal="left" vertical="top"/>
    </xf>
    <xf numFmtId="0" fontId="41" fillId="0" borderId="44" xfId="0" applyFont="1" applyBorder="1" applyAlignment="1">
      <alignment horizontal="center" vertical="top" wrapText="1"/>
    </xf>
    <xf numFmtId="1" fontId="41" fillId="3" borderId="44" xfId="0" applyNumberFormat="1" applyFont="1" applyFill="1" applyBorder="1" applyAlignment="1">
      <alignment horizontal="center" vertical="top"/>
    </xf>
    <xf numFmtId="3" fontId="41" fillId="3" borderId="44" xfId="0" applyNumberFormat="1" applyFont="1" applyFill="1" applyBorder="1" applyAlignment="1">
      <alignment horizontal="center" vertical="top"/>
    </xf>
    <xf numFmtId="0" fontId="40" fillId="3" borderId="44" xfId="0" applyFont="1" applyFill="1" applyBorder="1" applyAlignment="1">
      <alignment horizontal="center" vertical="top"/>
    </xf>
    <xf numFmtId="0" fontId="40" fillId="0" borderId="44" xfId="0" applyFont="1" applyBorder="1" applyAlignment="1">
      <alignment horizontal="left" vertical="top" wrapText="1"/>
    </xf>
    <xf numFmtId="0" fontId="41" fillId="0" borderId="5" xfId="0" applyFont="1" applyBorder="1" applyAlignment="1">
      <alignment horizontal="left" vertical="top"/>
    </xf>
    <xf numFmtId="0" fontId="41" fillId="0" borderId="5" xfId="0" applyFont="1" applyBorder="1" applyAlignment="1">
      <alignment horizontal="center" vertical="top" wrapText="1"/>
    </xf>
    <xf numFmtId="3" fontId="38" fillId="0" borderId="0" xfId="0" applyNumberFormat="1" applyFont="1" applyAlignment="1">
      <alignment vertical="top"/>
    </xf>
    <xf numFmtId="0" fontId="41" fillId="22" borderId="5" xfId="0" applyFont="1" applyFill="1" applyBorder="1" applyAlignment="1">
      <alignment horizontal="center" vertical="top"/>
    </xf>
    <xf numFmtId="0" fontId="40" fillId="0" borderId="5" xfId="0" applyFont="1" applyBorder="1" applyAlignment="1">
      <alignment horizontal="left" vertical="top" wrapText="1"/>
    </xf>
    <xf numFmtId="0" fontId="40" fillId="0" borderId="0" xfId="0" applyFont="1" applyAlignment="1">
      <alignment horizontal="left" vertical="top"/>
    </xf>
    <xf numFmtId="0" fontId="40" fillId="0" borderId="0" xfId="0" applyFont="1" applyAlignment="1">
      <alignment horizontal="center" vertical="top" wrapText="1"/>
    </xf>
    <xf numFmtId="3" fontId="41" fillId="22" borderId="0" xfId="0" applyNumberFormat="1" applyFont="1" applyFill="1" applyAlignment="1">
      <alignment horizontal="center" vertical="top"/>
    </xf>
    <xf numFmtId="0" fontId="41" fillId="22" borderId="0" xfId="0" applyFont="1" applyFill="1" applyAlignment="1">
      <alignment horizontal="center" vertical="top"/>
    </xf>
    <xf numFmtId="1" fontId="40" fillId="22" borderId="0" xfId="0" applyNumberFormat="1" applyFont="1" applyFill="1" applyAlignment="1">
      <alignment horizontal="center" vertical="top"/>
    </xf>
    <xf numFmtId="0" fontId="40" fillId="0" borderId="0" xfId="0" applyFont="1" applyAlignment="1">
      <alignment horizontal="center" vertical="top"/>
    </xf>
    <xf numFmtId="1" fontId="40" fillId="22" borderId="0" xfId="0" applyNumberFormat="1" applyFont="1" applyFill="1" applyAlignment="1">
      <alignment horizontal="center"/>
    </xf>
    <xf numFmtId="1" fontId="40" fillId="22" borderId="0" xfId="0" applyNumberFormat="1" applyFont="1" applyFill="1" applyAlignment="1">
      <alignment horizontal="center" vertical="center"/>
    </xf>
    <xf numFmtId="1" fontId="41" fillId="22" borderId="0" xfId="0" applyNumberFormat="1" applyFont="1" applyFill="1" applyAlignment="1">
      <alignment horizontal="center" vertical="center"/>
    </xf>
    <xf numFmtId="0" fontId="40" fillId="0" borderId="0" xfId="0" applyFont="1" applyAlignment="1">
      <alignment horizontal="left" vertical="center"/>
    </xf>
    <xf numFmtId="0" fontId="40" fillId="0" borderId="0" xfId="0" applyFont="1" applyAlignment="1">
      <alignment horizontal="center" vertical="center" wrapText="1"/>
    </xf>
    <xf numFmtId="0" fontId="41" fillId="0" borderId="0" xfId="0" applyFont="1" applyAlignment="1">
      <alignment horizontal="left" vertical="top" wrapText="1"/>
    </xf>
    <xf numFmtId="1" fontId="41" fillId="22" borderId="5" xfId="0" applyNumberFormat="1" applyFont="1" applyFill="1" applyBorder="1" applyAlignment="1">
      <alignment horizontal="center" vertical="top"/>
    </xf>
    <xf numFmtId="3" fontId="41" fillId="22" borderId="5" xfId="0" applyNumberFormat="1" applyFont="1" applyFill="1" applyBorder="1" applyAlignment="1">
      <alignment horizontal="center" vertical="top"/>
    </xf>
    <xf numFmtId="0" fontId="40" fillId="22" borderId="5" xfId="0" applyFont="1" applyFill="1" applyBorder="1" applyAlignment="1">
      <alignment horizontal="center" vertical="top"/>
    </xf>
    <xf numFmtId="0" fontId="17" fillId="22" borderId="5" xfId="0" applyFont="1" applyFill="1" applyBorder="1" applyAlignment="1">
      <alignment horizontal="left" vertical="top" wrapText="1"/>
    </xf>
    <xf numFmtId="0" fontId="41" fillId="21" borderId="0" xfId="0" applyFont="1" applyFill="1" applyAlignment="1">
      <alignment horizontal="center"/>
    </xf>
    <xf numFmtId="0" fontId="40" fillId="21" borderId="0" xfId="0" applyFont="1" applyFill="1" applyAlignment="1">
      <alignment horizontal="left" wrapText="1"/>
    </xf>
    <xf numFmtId="1" fontId="41" fillId="25" borderId="0" xfId="0" applyNumberFormat="1" applyFont="1" applyFill="1" applyAlignment="1">
      <alignment horizontal="center" vertical="top"/>
    </xf>
    <xf numFmtId="3" fontId="41" fillId="25" borderId="0" xfId="0" applyNumberFormat="1" applyFont="1" applyFill="1" applyAlignment="1">
      <alignment horizontal="center" vertical="top"/>
    </xf>
    <xf numFmtId="0" fontId="40" fillId="25" borderId="0" xfId="0" applyFont="1" applyFill="1" applyAlignment="1">
      <alignment horizontal="center" vertical="top"/>
    </xf>
    <xf numFmtId="0" fontId="40" fillId="25" borderId="0" xfId="0" applyFont="1" applyFill="1" applyAlignment="1">
      <alignment horizontal="left" vertical="top" wrapText="1"/>
    </xf>
    <xf numFmtId="1" fontId="40" fillId="26" borderId="0" xfId="0" applyNumberFormat="1" applyFont="1" applyFill="1" applyAlignment="1">
      <alignment horizontal="center" vertical="top"/>
    </xf>
    <xf numFmtId="0" fontId="40" fillId="26" borderId="0" xfId="0" applyFont="1" applyFill="1" applyAlignment="1">
      <alignment horizontal="center" vertical="top"/>
    </xf>
    <xf numFmtId="0" fontId="40" fillId="26" borderId="0" xfId="0" applyFont="1" applyFill="1" applyAlignment="1">
      <alignment horizontal="left" vertical="top" wrapText="1"/>
    </xf>
    <xf numFmtId="1" fontId="40" fillId="26" borderId="0" xfId="0" applyNumberFormat="1" applyFont="1" applyFill="1" applyAlignment="1">
      <alignment horizontal="center"/>
    </xf>
    <xf numFmtId="1" fontId="41" fillId="26" borderId="0" xfId="0" applyNumberFormat="1" applyFont="1" applyFill="1" applyAlignment="1">
      <alignment horizontal="center" vertical="top"/>
    </xf>
    <xf numFmtId="3" fontId="41" fillId="26" borderId="0" xfId="0" applyNumberFormat="1" applyFont="1" applyFill="1" applyAlignment="1">
      <alignment horizontal="center" vertical="top"/>
    </xf>
    <xf numFmtId="1" fontId="41" fillId="24" borderId="0" xfId="0" applyNumberFormat="1" applyFont="1" applyFill="1" applyAlignment="1">
      <alignment horizontal="center" vertical="top"/>
    </xf>
    <xf numFmtId="0" fontId="40" fillId="24" borderId="0" xfId="0" applyFont="1" applyFill="1" applyAlignment="1">
      <alignment horizontal="center" vertical="top"/>
    </xf>
    <xf numFmtId="3" fontId="41" fillId="24" borderId="0" xfId="0" applyNumberFormat="1" applyFont="1" applyFill="1" applyAlignment="1">
      <alignment horizontal="center" vertical="top"/>
    </xf>
    <xf numFmtId="0" fontId="41" fillId="24" borderId="0" xfId="0" applyFont="1" applyFill="1" applyAlignment="1">
      <alignment horizontal="center" vertical="top"/>
    </xf>
    <xf numFmtId="0" fontId="41" fillId="11" borderId="0" xfId="0" applyFont="1" applyFill="1" applyAlignment="1">
      <alignment horizontal="left" vertical="top"/>
    </xf>
    <xf numFmtId="0" fontId="41" fillId="11" borderId="0" xfId="0" applyFont="1" applyFill="1" applyAlignment="1">
      <alignment horizontal="center" vertical="top" wrapText="1"/>
    </xf>
    <xf numFmtId="0" fontId="40" fillId="11" borderId="0" xfId="0" applyFont="1" applyFill="1" applyAlignment="1">
      <alignment horizontal="left" vertical="top" wrapText="1"/>
    </xf>
    <xf numFmtId="1" fontId="41" fillId="24" borderId="43" xfId="0" applyNumberFormat="1" applyFont="1" applyFill="1" applyBorder="1" applyAlignment="1">
      <alignment horizontal="center" vertical="top"/>
    </xf>
    <xf numFmtId="1" fontId="41" fillId="24" borderId="44" xfId="0" applyNumberFormat="1" applyFont="1" applyFill="1" applyBorder="1" applyAlignment="1">
      <alignment horizontal="center" vertical="top"/>
    </xf>
    <xf numFmtId="3" fontId="41" fillId="24" borderId="44" xfId="0" applyNumberFormat="1" applyFont="1" applyFill="1" applyBorder="1" applyAlignment="1">
      <alignment horizontal="center" vertical="top"/>
    </xf>
    <xf numFmtId="0" fontId="40" fillId="24" borderId="46" xfId="0" applyFont="1" applyFill="1" applyBorder="1" applyAlignment="1">
      <alignment horizontal="center" vertical="top" wrapText="1"/>
    </xf>
    <xf numFmtId="1" fontId="41" fillId="12" borderId="0" xfId="0" applyNumberFormat="1" applyFont="1" applyFill="1" applyAlignment="1">
      <alignment horizontal="center" vertical="top"/>
    </xf>
    <xf numFmtId="1" fontId="40" fillId="12" borderId="0" xfId="0" applyNumberFormat="1" applyFont="1" applyFill="1" applyAlignment="1">
      <alignment horizontal="center" vertical="top"/>
    </xf>
    <xf numFmtId="0" fontId="41" fillId="12" borderId="0" xfId="0" applyFont="1" applyFill="1" applyAlignment="1">
      <alignment horizontal="center" vertical="top"/>
    </xf>
    <xf numFmtId="0" fontId="17" fillId="0" borderId="0" xfId="0" applyFont="1" applyAlignment="1">
      <alignment horizontal="left" vertical="top" wrapText="1"/>
    </xf>
    <xf numFmtId="1" fontId="41" fillId="20" borderId="0" xfId="0" applyNumberFormat="1" applyFont="1" applyFill="1" applyAlignment="1">
      <alignment horizontal="center" vertical="top"/>
    </xf>
    <xf numFmtId="3" fontId="41" fillId="20" borderId="0" xfId="0" applyNumberFormat="1" applyFont="1" applyFill="1" applyAlignment="1">
      <alignment horizontal="center" vertical="top"/>
    </xf>
    <xf numFmtId="0" fontId="41" fillId="0" borderId="0" xfId="0" applyFont="1" applyAlignment="1">
      <alignment horizontal="center" vertical="top"/>
    </xf>
    <xf numFmtId="0" fontId="40" fillId="20" borderId="0" xfId="0" applyFont="1" applyFill="1" applyAlignment="1">
      <alignment horizontal="left" vertical="top" wrapText="1"/>
    </xf>
    <xf numFmtId="0" fontId="40" fillId="20" borderId="0" xfId="0" applyFont="1" applyFill="1" applyAlignment="1">
      <alignment horizontal="center" vertical="top"/>
    </xf>
    <xf numFmtId="0" fontId="41" fillId="20" borderId="0" xfId="0" applyFont="1" applyFill="1" applyAlignment="1">
      <alignment horizontal="center" vertical="top"/>
    </xf>
    <xf numFmtId="0" fontId="43" fillId="20" borderId="0" xfId="0" applyFont="1" applyFill="1" applyAlignment="1">
      <alignment horizontal="left" vertical="top" wrapText="1"/>
    </xf>
    <xf numFmtId="1" fontId="38" fillId="0" borderId="61" xfId="0" applyNumberFormat="1" applyFont="1" applyBorder="1" applyAlignment="1">
      <alignment vertical="top"/>
    </xf>
    <xf numFmtId="1" fontId="38" fillId="0" borderId="61" xfId="0" applyNumberFormat="1" applyFont="1" applyBorder="1" applyAlignment="1">
      <alignment horizontal="right" vertical="top"/>
    </xf>
    <xf numFmtId="0" fontId="44" fillId="21" borderId="61" xfId="0" applyFont="1" applyFill="1" applyBorder="1" applyAlignment="1">
      <alignment vertical="top"/>
    </xf>
    <xf numFmtId="0" fontId="1" fillId="0" borderId="43" xfId="0" applyFont="1" applyBorder="1"/>
    <xf numFmtId="0" fontId="1" fillId="0" borderId="44" xfId="0" applyFont="1" applyBorder="1"/>
    <xf numFmtId="3" fontId="1" fillId="0" borderId="44" xfId="0" applyNumberFormat="1" applyFont="1" applyBorder="1"/>
    <xf numFmtId="3" fontId="1" fillId="0" borderId="46" xfId="0" applyNumberFormat="1" applyFont="1" applyBorder="1"/>
    <xf numFmtId="1" fontId="38" fillId="0" borderId="0" xfId="0" applyNumberFormat="1" applyFont="1" applyAlignment="1">
      <alignment vertical="top"/>
    </xf>
    <xf numFmtId="1" fontId="38" fillId="0" borderId="0" xfId="0" applyNumberFormat="1" applyFont="1" applyAlignment="1">
      <alignment horizontal="right" vertical="top"/>
    </xf>
    <xf numFmtId="0" fontId="44" fillId="21" borderId="0" xfId="0" applyFont="1" applyFill="1" applyAlignment="1">
      <alignment vertical="top"/>
    </xf>
    <xf numFmtId="0" fontId="44" fillId="21" borderId="8" xfId="0" applyFont="1" applyFill="1" applyBorder="1" applyAlignment="1">
      <alignment vertical="top"/>
    </xf>
    <xf numFmtId="0" fontId="3" fillId="2" borderId="0" xfId="0" applyFont="1" applyFill="1" applyAlignment="1">
      <alignment horizontal="left" indent="2"/>
    </xf>
    <xf numFmtId="0" fontId="3" fillId="2" borderId="0" xfId="0" applyFont="1" applyFill="1" applyAlignment="1">
      <alignment horizontal="right"/>
    </xf>
    <xf numFmtId="0" fontId="45" fillId="0" borderId="0" xfId="0" applyFont="1" applyAlignment="1">
      <alignment horizontal="left" vertical="top"/>
    </xf>
    <xf numFmtId="0" fontId="16" fillId="0" borderId="0" xfId="0" applyFont="1" applyAlignment="1">
      <alignment horizontal="left"/>
    </xf>
    <xf numFmtId="0" fontId="46" fillId="0" borderId="0" xfId="0" applyFont="1"/>
    <xf numFmtId="0" fontId="16" fillId="10" borderId="0" xfId="0" applyFont="1" applyFill="1"/>
    <xf numFmtId="0" fontId="16" fillId="10" borderId="0" xfId="0" applyFont="1" applyFill="1" applyAlignment="1">
      <alignment horizontal="left"/>
    </xf>
    <xf numFmtId="0" fontId="3" fillId="10" borderId="0" xfId="0" applyFont="1" applyFill="1" applyAlignment="1">
      <alignment horizontal="left" indent="2"/>
    </xf>
    <xf numFmtId="0" fontId="3" fillId="10" borderId="0" xfId="0" applyFont="1" applyFill="1" applyAlignment="1">
      <alignment horizontal="right"/>
    </xf>
    <xf numFmtId="0" fontId="47" fillId="0" borderId="0" xfId="0" applyFont="1"/>
    <xf numFmtId="1" fontId="8" fillId="0" borderId="0" xfId="0" applyNumberFormat="1" applyFont="1" applyAlignment="1">
      <alignment vertical="top"/>
    </xf>
    <xf numFmtId="0" fontId="7" fillId="0" borderId="0" xfId="0" applyFont="1" applyAlignment="1">
      <alignment horizontal="right"/>
    </xf>
    <xf numFmtId="0" fontId="48" fillId="0" borderId="0" xfId="0" applyFont="1" applyAlignment="1">
      <alignment horizontal="right"/>
    </xf>
    <xf numFmtId="0" fontId="48" fillId="0" borderId="0" xfId="0" applyFont="1"/>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48" fillId="9" borderId="0" xfId="0" applyFont="1" applyFill="1" applyAlignment="1">
      <alignment horizontal="right"/>
    </xf>
    <xf numFmtId="0" fontId="7" fillId="9" borderId="0" xfId="0" applyFont="1" applyFill="1" applyAlignment="1">
      <alignment horizontal="right"/>
    </xf>
    <xf numFmtId="0" fontId="49" fillId="0" borderId="0" xfId="0" applyFont="1"/>
    <xf numFmtId="170" fontId="50" fillId="0" borderId="0" xfId="0" applyNumberFormat="1" applyFont="1" applyAlignment="1">
      <alignment horizontal="right" vertical="top"/>
    </xf>
    <xf numFmtId="1" fontId="7" fillId="0" borderId="0" xfId="0" applyNumberFormat="1" applyFont="1"/>
    <xf numFmtId="0" fontId="50" fillId="0" borderId="0" xfId="0" applyFont="1" applyAlignment="1">
      <alignment horizontal="right" vertical="top"/>
    </xf>
    <xf numFmtId="3" fontId="48" fillId="0" borderId="0" xfId="0" applyNumberFormat="1" applyFont="1"/>
    <xf numFmtId="3" fontId="51" fillId="0" borderId="0" xfId="0" applyNumberFormat="1" applyFont="1" applyAlignment="1">
      <alignment horizontal="right" vertical="top"/>
    </xf>
    <xf numFmtId="0" fontId="49" fillId="28" borderId="0" xfId="0" applyFont="1" applyFill="1" applyAlignment="1">
      <alignment horizontal="right"/>
    </xf>
    <xf numFmtId="0" fontId="52" fillId="0" borderId="0" xfId="0" applyFont="1"/>
    <xf numFmtId="0" fontId="41" fillId="0" borderId="0" xfId="0" applyFont="1" applyAlignment="1">
      <alignment horizontal="right"/>
    </xf>
    <xf numFmtId="165" fontId="53" fillId="0" borderId="0" xfId="0" applyNumberFormat="1" applyFont="1" applyAlignment="1">
      <alignment horizontal="right" vertical="top"/>
    </xf>
    <xf numFmtId="165" fontId="49" fillId="28" borderId="0" xfId="0" applyNumberFormat="1" applyFont="1" applyFill="1" applyAlignment="1">
      <alignment horizontal="right"/>
    </xf>
    <xf numFmtId="3" fontId="7" fillId="0" borderId="0" xfId="0" applyNumberFormat="1" applyFont="1"/>
    <xf numFmtId="0" fontId="7" fillId="0" borderId="0" xfId="0" applyFont="1"/>
    <xf numFmtId="165" fontId="41" fillId="0" borderId="0" xfId="0" applyNumberFormat="1" applyFont="1" applyAlignment="1">
      <alignment horizontal="right"/>
    </xf>
    <xf numFmtId="3" fontId="41" fillId="0" borderId="0" xfId="0" applyNumberFormat="1" applyFont="1" applyAlignment="1">
      <alignment horizontal="right"/>
    </xf>
    <xf numFmtId="0" fontId="7" fillId="29" borderId="0" xfId="0" applyFont="1" applyFill="1" applyAlignment="1">
      <alignment wrapText="1"/>
    </xf>
    <xf numFmtId="0" fontId="8" fillId="29" borderId="0" xfId="0" applyFont="1" applyFill="1" applyAlignment="1">
      <alignment vertical="top"/>
    </xf>
    <xf numFmtId="0" fontId="7" fillId="29" borderId="0" xfId="0" applyFont="1" applyFill="1" applyAlignment="1">
      <alignment horizontal="right"/>
    </xf>
    <xf numFmtId="0" fontId="7" fillId="29" borderId="0" xfId="0" applyFont="1" applyFill="1"/>
    <xf numFmtId="168" fontId="7" fillId="29" borderId="0" xfId="0" applyNumberFormat="1" applyFont="1" applyFill="1" applyAlignment="1">
      <alignment horizontal="center"/>
    </xf>
    <xf numFmtId="0" fontId="1" fillId="29" borderId="0" xfId="0" applyFont="1" applyFill="1" applyAlignment="1">
      <alignment wrapText="1"/>
    </xf>
    <xf numFmtId="170" fontId="7" fillId="0" borderId="0" xfId="0" applyNumberFormat="1" applyFont="1" applyAlignment="1">
      <alignment horizontal="right"/>
    </xf>
    <xf numFmtId="0" fontId="54" fillId="29" borderId="0" xfId="0" applyFont="1" applyFill="1" applyAlignment="1">
      <alignment horizontal="center" wrapText="1"/>
    </xf>
    <xf numFmtId="0" fontId="7" fillId="30" borderId="0" xfId="0" applyFont="1" applyFill="1" applyAlignment="1">
      <alignment wrapText="1"/>
    </xf>
    <xf numFmtId="0" fontId="7" fillId="32" borderId="0" xfId="0" applyFont="1" applyFill="1" applyAlignment="1">
      <alignment horizontal="center" wrapText="1"/>
    </xf>
    <xf numFmtId="0" fontId="7" fillId="29" borderId="0" xfId="0" applyFont="1" applyFill="1" applyAlignment="1">
      <alignment horizontal="center"/>
    </xf>
    <xf numFmtId="1" fontId="7" fillId="0" borderId="0" xfId="0" applyNumberFormat="1" applyFont="1" applyAlignment="1">
      <alignment horizontal="right"/>
    </xf>
    <xf numFmtId="0" fontId="48" fillId="0" borderId="0" xfId="0" applyFont="1" applyAlignment="1">
      <alignment wrapText="1"/>
    </xf>
    <xf numFmtId="0" fontId="8" fillId="0" borderId="0" xfId="0" applyFont="1" applyAlignment="1">
      <alignment vertical="top"/>
    </xf>
    <xf numFmtId="0" fontId="7" fillId="34" borderId="0" xfId="0" applyFont="1" applyFill="1" applyAlignment="1">
      <alignment horizontal="center" wrapText="1"/>
    </xf>
    <xf numFmtId="0" fontId="8" fillId="35" borderId="0" xfId="0" applyFont="1" applyFill="1" applyAlignment="1">
      <alignment vertical="top"/>
    </xf>
    <xf numFmtId="0" fontId="48" fillId="35" borderId="0" xfId="0" applyFont="1" applyFill="1"/>
    <xf numFmtId="0" fontId="7" fillId="35" borderId="0" xfId="0" applyFont="1" applyFill="1"/>
    <xf numFmtId="0" fontId="47" fillId="35" borderId="0" xfId="0" applyFont="1" applyFill="1"/>
    <xf numFmtId="0" fontId="7" fillId="35" borderId="0" xfId="0" applyFont="1" applyFill="1" applyAlignment="1">
      <alignment horizontal="right"/>
    </xf>
    <xf numFmtId="0" fontId="1" fillId="35"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5" borderId="0" xfId="0" applyFont="1" applyFill="1" applyAlignment="1">
      <alignment vertical="top" wrapText="1"/>
    </xf>
    <xf numFmtId="0" fontId="8" fillId="29" borderId="0" xfId="0" applyFont="1" applyFill="1" applyAlignment="1">
      <alignment wrapText="1"/>
    </xf>
    <xf numFmtId="9" fontId="1" fillId="0" borderId="0" xfId="0" applyNumberFormat="1" applyFont="1"/>
    <xf numFmtId="0" fontId="48" fillId="0" borderId="0" xfId="0" applyFont="1" applyAlignment="1">
      <alignment horizontal="center"/>
    </xf>
    <xf numFmtId="0" fontId="48" fillId="36" borderId="0" xfId="0" applyFont="1" applyFill="1" applyAlignment="1">
      <alignment wrapText="1"/>
    </xf>
    <xf numFmtId="0" fontId="1" fillId="36" borderId="0" xfId="0" applyFont="1" applyFill="1"/>
    <xf numFmtId="0" fontId="12" fillId="0" borderId="0" xfId="0" applyFont="1" applyAlignment="1">
      <alignment horizontal="center"/>
    </xf>
    <xf numFmtId="2" fontId="12" fillId="0" borderId="0" xfId="0" applyNumberFormat="1" applyFont="1" applyAlignment="1">
      <alignment horizontal="center"/>
    </xf>
    <xf numFmtId="0" fontId="7" fillId="0" borderId="0" xfId="0" applyFont="1" applyAlignment="1">
      <alignment wrapText="1"/>
    </xf>
    <xf numFmtId="2" fontId="12" fillId="0" borderId="0" xfId="0" applyNumberFormat="1" applyFont="1"/>
    <xf numFmtId="0" fontId="54" fillId="0" borderId="0" xfId="0" applyFont="1" applyAlignment="1">
      <alignment horizontal="left" wrapText="1"/>
    </xf>
    <xf numFmtId="168" fontId="12" fillId="0" borderId="0" xfId="0" applyNumberFormat="1" applyFont="1" applyAlignment="1">
      <alignment horizontal="center"/>
    </xf>
    <xf numFmtId="1" fontId="12" fillId="0" borderId="0" xfId="0" applyNumberFormat="1" applyFont="1" applyAlignment="1">
      <alignment horizontal="center"/>
    </xf>
    <xf numFmtId="0" fontId="54" fillId="0" borderId="0" xfId="0" applyFont="1" applyAlignment="1">
      <alignment horizontal="center" wrapText="1"/>
    </xf>
    <xf numFmtId="0" fontId="12" fillId="14" borderId="0" xfId="0" applyFont="1" applyFill="1"/>
    <xf numFmtId="0" fontId="12" fillId="0" borderId="0" xfId="0" applyFont="1"/>
    <xf numFmtId="0" fontId="28" fillId="22" borderId="1" xfId="0" applyFont="1" applyFill="1" applyBorder="1" applyAlignment="1">
      <alignment horizontal="left" indent="2"/>
    </xf>
    <xf numFmtId="0" fontId="3" fillId="0" borderId="0" xfId="0" applyFont="1" applyAlignment="1">
      <alignment horizontal="center"/>
    </xf>
    <xf numFmtId="0" fontId="16" fillId="12" borderId="6" xfId="0" applyFont="1" applyFill="1" applyBorder="1" applyAlignment="1">
      <alignment horizontal="center"/>
    </xf>
    <xf numFmtId="0" fontId="3" fillId="12" borderId="1" xfId="0" applyFont="1" applyFill="1" applyBorder="1" applyAlignment="1">
      <alignment horizontal="center"/>
    </xf>
    <xf numFmtId="0" fontId="3" fillId="12" borderId="0" xfId="0" applyFont="1" applyFill="1" applyAlignment="1">
      <alignment horizontal="center"/>
    </xf>
    <xf numFmtId="0" fontId="3" fillId="12" borderId="3" xfId="0" applyFont="1" applyFill="1" applyBorder="1" applyAlignment="1">
      <alignment horizontal="center"/>
    </xf>
    <xf numFmtId="0" fontId="1" fillId="0" borderId="0" xfId="0" applyFont="1" applyAlignment="1">
      <alignment horizontal="center"/>
    </xf>
    <xf numFmtId="0" fontId="3" fillId="8" borderId="1" xfId="0" applyFont="1" applyFill="1" applyBorder="1" applyAlignment="1">
      <alignment horizontal="center"/>
    </xf>
    <xf numFmtId="0" fontId="3" fillId="8" borderId="0" xfId="0" applyFont="1" applyFill="1" applyAlignment="1">
      <alignment horizontal="center"/>
    </xf>
    <xf numFmtId="168" fontId="3" fillId="0" borderId="3" xfId="0" applyNumberFormat="1" applyFont="1" applyBorder="1" applyAlignment="1">
      <alignment horizontal="center" vertical="top" wrapText="1"/>
    </xf>
    <xf numFmtId="168" fontId="34" fillId="8" borderId="2" xfId="0" applyNumberFormat="1" applyFont="1" applyFill="1" applyBorder="1" applyAlignment="1">
      <alignment horizontal="center"/>
    </xf>
    <xf numFmtId="3" fontId="21" fillId="0" borderId="3" xfId="0" applyNumberFormat="1" applyFont="1" applyBorder="1" applyAlignment="1">
      <alignment horizontal="center"/>
    </xf>
    <xf numFmtId="168" fontId="0" fillId="0" borderId="0" xfId="0" applyNumberFormat="1"/>
    <xf numFmtId="165" fontId="0" fillId="0" borderId="0" xfId="0" applyNumberFormat="1"/>
    <xf numFmtId="0" fontId="3" fillId="9" borderId="3" xfId="0" applyFont="1" applyFill="1" applyBorder="1" applyAlignment="1">
      <alignment horizontal="center"/>
    </xf>
    <xf numFmtId="0" fontId="0" fillId="9" borderId="0" xfId="0" applyFill="1"/>
    <xf numFmtId="168" fontId="3" fillId="13" borderId="3" xfId="0" applyNumberFormat="1" applyFont="1" applyFill="1" applyBorder="1" applyAlignment="1">
      <alignment horizontal="center"/>
    </xf>
    <xf numFmtId="168" fontId="0" fillId="13" borderId="0" xfId="0" applyNumberFormat="1" applyFill="1"/>
    <xf numFmtId="167" fontId="0" fillId="0" borderId="0" xfId="1" applyNumberFormat="1" applyFont="1"/>
    <xf numFmtId="167" fontId="4" fillId="0" borderId="0" xfId="1" applyNumberFormat="1" applyFont="1" applyAlignment="1">
      <alignment wrapText="1"/>
    </xf>
    <xf numFmtId="0" fontId="3" fillId="0" borderId="0" xfId="0" applyFont="1" applyBorder="1" applyAlignment="1">
      <alignment horizontal="center"/>
    </xf>
    <xf numFmtId="169" fontId="3" fillId="0" borderId="0" xfId="0" applyNumberFormat="1" applyFont="1" applyBorder="1" applyAlignment="1">
      <alignment horizontal="center"/>
    </xf>
    <xf numFmtId="0" fontId="0" fillId="0" borderId="0" xfId="0"/>
    <xf numFmtId="165" fontId="4" fillId="10" borderId="34" xfId="0" applyNumberFormat="1" applyFont="1" applyFill="1" applyBorder="1" applyAlignment="1">
      <alignment horizontal="right"/>
    </xf>
    <xf numFmtId="165" fontId="4" fillId="10" borderId="20" xfId="0" applyNumberFormat="1" applyFont="1" applyFill="1" applyBorder="1" applyAlignment="1">
      <alignment horizontal="right"/>
    </xf>
    <xf numFmtId="165" fontId="4" fillId="0" borderId="24" xfId="0" applyNumberFormat="1" applyFont="1" applyBorder="1" applyAlignment="1">
      <alignment horizontal="right"/>
    </xf>
    <xf numFmtId="165" fontId="4" fillId="0" borderId="21" xfId="0" applyNumberFormat="1" applyFont="1" applyBorder="1" applyAlignment="1">
      <alignment horizontal="right"/>
    </xf>
    <xf numFmtId="165" fontId="0" fillId="10" borderId="24" xfId="0" applyNumberFormat="1" applyFill="1" applyBorder="1" applyAlignment="1">
      <alignment horizontal="right"/>
    </xf>
    <xf numFmtId="165" fontId="0" fillId="10" borderId="21" xfId="0" applyNumberFormat="1" applyFill="1" applyBorder="1" applyAlignment="1">
      <alignment horizontal="right"/>
    </xf>
    <xf numFmtId="165" fontId="0" fillId="0" borderId="24" xfId="0" applyNumberFormat="1" applyBorder="1" applyAlignment="1">
      <alignment horizontal="right"/>
    </xf>
    <xf numFmtId="165" fontId="0" fillId="0" borderId="21" xfId="0" applyNumberFormat="1" applyBorder="1" applyAlignment="1">
      <alignment horizontal="right"/>
    </xf>
    <xf numFmtId="165" fontId="4" fillId="10" borderId="24" xfId="0" applyNumberFormat="1" applyFont="1" applyFill="1" applyBorder="1" applyAlignment="1">
      <alignment horizontal="right"/>
    </xf>
    <xf numFmtId="165" fontId="4" fillId="10" borderId="21" xfId="0" applyNumberFormat="1" applyFont="1" applyFill="1" applyBorder="1" applyAlignment="1">
      <alignment horizontal="right"/>
    </xf>
    <xf numFmtId="165" fontId="4" fillId="0" borderId="39" xfId="0" applyNumberFormat="1" applyFont="1" applyBorder="1" applyAlignment="1">
      <alignment horizontal="right"/>
    </xf>
    <xf numFmtId="165" fontId="4" fillId="0" borderId="22" xfId="0" applyNumberFormat="1" applyFont="1" applyBorder="1" applyAlignment="1">
      <alignment horizontal="right"/>
    </xf>
    <xf numFmtId="1" fontId="3" fillId="0" borderId="0" xfId="0" applyNumberFormat="1" applyFont="1" applyBorder="1" applyAlignment="1">
      <alignment horizontal="center"/>
    </xf>
    <xf numFmtId="1" fontId="3" fillId="8" borderId="0" xfId="0" applyNumberFormat="1" applyFont="1" applyFill="1" applyBorder="1" applyAlignment="1">
      <alignment horizontal="center"/>
    </xf>
    <xf numFmtId="167" fontId="3" fillId="0" borderId="5" xfId="1" applyNumberFormat="1" applyFont="1" applyBorder="1" applyAlignment="1">
      <alignment horizontal="center"/>
    </xf>
    <xf numFmtId="167" fontId="3" fillId="8" borderId="5" xfId="1" applyNumberFormat="1" applyFont="1" applyFill="1" applyBorder="1" applyAlignment="1">
      <alignment horizontal="center"/>
    </xf>
    <xf numFmtId="0" fontId="3" fillId="8" borderId="0" xfId="0" applyFont="1" applyFill="1" applyBorder="1" applyAlignment="1">
      <alignment horizontal="center"/>
    </xf>
    <xf numFmtId="3" fontId="3" fillId="8" borderId="0" xfId="0" applyNumberFormat="1" applyFont="1" applyFill="1" applyBorder="1" applyAlignment="1">
      <alignment horizontal="center"/>
    </xf>
    <xf numFmtId="1" fontId="3" fillId="8" borderId="4" xfId="0" applyNumberFormat="1" applyFont="1" applyFill="1" applyBorder="1" applyAlignment="1">
      <alignment horizontal="center"/>
    </xf>
    <xf numFmtId="1" fontId="3" fillId="8" borderId="7" xfId="0" applyNumberFormat="1" applyFont="1" applyFill="1" applyBorder="1" applyAlignment="1">
      <alignment horizontal="center"/>
    </xf>
    <xf numFmtId="167" fontId="3" fillId="8" borderId="0" xfId="1" applyNumberFormat="1" applyFont="1" applyFill="1" applyBorder="1" applyAlignment="1">
      <alignment horizontal="center"/>
    </xf>
    <xf numFmtId="167" fontId="3" fillId="8" borderId="6" xfId="1" applyNumberFormat="1" applyFont="1" applyFill="1" applyBorder="1" applyAlignment="1">
      <alignment horizontal="center"/>
    </xf>
    <xf numFmtId="167" fontId="3" fillId="8" borderId="3" xfId="1" applyNumberFormat="1" applyFont="1" applyFill="1" applyBorder="1" applyAlignment="1">
      <alignment horizontal="center"/>
    </xf>
    <xf numFmtId="167" fontId="3" fillId="8" borderId="8" xfId="1" applyNumberFormat="1" applyFont="1" applyFill="1" applyBorder="1" applyAlignment="1">
      <alignment horizontal="center"/>
    </xf>
    <xf numFmtId="167" fontId="3" fillId="8" borderId="2" xfId="1" applyNumberFormat="1" applyFont="1" applyFill="1" applyBorder="1" applyAlignment="1">
      <alignment horizontal="center"/>
    </xf>
    <xf numFmtId="167" fontId="3" fillId="0" borderId="0" xfId="1" applyNumberFormat="1" applyFont="1" applyBorder="1" applyAlignment="1">
      <alignment horizontal="center"/>
    </xf>
    <xf numFmtId="0" fontId="0" fillId="0" borderId="4" xfId="0" applyBorder="1"/>
    <xf numFmtId="167" fontId="3" fillId="0" borderId="6" xfId="1" applyNumberFormat="1" applyFont="1" applyBorder="1" applyAlignment="1">
      <alignment horizontal="center"/>
    </xf>
    <xf numFmtId="0" fontId="0" fillId="0" borderId="1" xfId="0" applyBorder="1"/>
    <xf numFmtId="167" fontId="3" fillId="0" borderId="3" xfId="1" applyNumberFormat="1" applyFont="1" applyBorder="1" applyAlignment="1">
      <alignment horizontal="center"/>
    </xf>
    <xf numFmtId="0" fontId="0" fillId="0" borderId="7" xfId="0" applyBorder="1"/>
    <xf numFmtId="167" fontId="3" fillId="0" borderId="8" xfId="1" applyNumberFormat="1" applyFont="1" applyBorder="1" applyAlignment="1">
      <alignment horizontal="center"/>
    </xf>
    <xf numFmtId="167" fontId="3" fillId="0" borderId="2" xfId="1" applyNumberFormat="1" applyFont="1" applyBorder="1" applyAlignment="1">
      <alignment horizontal="center"/>
    </xf>
    <xf numFmtId="0" fontId="3" fillId="0" borderId="0" xfId="0" applyFont="1" applyBorder="1" applyAlignment="1">
      <alignment horizontal="left" indent="1"/>
    </xf>
    <xf numFmtId="0" fontId="3" fillId="0" borderId="0" xfId="0" applyFont="1" applyBorder="1"/>
    <xf numFmtId="167" fontId="3" fillId="0" borderId="0" xfId="0" applyNumberFormat="1" applyFont="1" applyBorder="1" applyAlignment="1">
      <alignment horizontal="center"/>
    </xf>
    <xf numFmtId="167" fontId="3" fillId="12" borderId="0" xfId="0" applyNumberFormat="1" applyFont="1" applyFill="1" applyBorder="1" applyAlignment="1">
      <alignment horizontal="center"/>
    </xf>
    <xf numFmtId="167" fontId="3" fillId="8" borderId="0" xfId="0" applyNumberFormat="1" applyFont="1" applyFill="1" applyBorder="1" applyAlignment="1">
      <alignment horizontal="center"/>
    </xf>
    <xf numFmtId="167" fontId="3" fillId="0" borderId="0" xfId="1" applyNumberFormat="1" applyFont="1" applyAlignment="1">
      <alignment horizontal="center"/>
    </xf>
    <xf numFmtId="9" fontId="3" fillId="8" borderId="0" xfId="1" applyFont="1" applyFill="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2"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5" fillId="0" borderId="2"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4" fillId="3" borderId="0" xfId="0" applyFont="1" applyFill="1" applyAlignment="1">
      <alignment horizontal="center"/>
    </xf>
    <xf numFmtId="0" fontId="15" fillId="0" borderId="0" xfId="0" applyFont="1" applyAlignment="1">
      <alignment horizontal="left" vertical="center" wrapText="1"/>
    </xf>
    <xf numFmtId="0" fontId="17" fillId="0" borderId="0" xfId="0" applyFont="1" applyAlignment="1">
      <alignment horizontal="left" vertical="center" wrapText="1"/>
    </xf>
    <xf numFmtId="0" fontId="17" fillId="0" borderId="0" xfId="0" applyFont="1" applyAlignment="1">
      <alignment horizontal="left" wrapText="1"/>
    </xf>
    <xf numFmtId="0" fontId="1" fillId="0" borderId="0" xfId="0" applyFont="1" applyAlignment="1">
      <alignment horizontal="left" wrapText="1"/>
    </xf>
    <xf numFmtId="0" fontId="15" fillId="0" borderId="0" xfId="0" applyFont="1" applyAlignment="1">
      <alignment horizontal="left" wrapText="1"/>
    </xf>
    <xf numFmtId="0" fontId="4" fillId="0" borderId="0" xfId="0" applyFont="1" applyAlignment="1">
      <alignment horizontal="center"/>
    </xf>
    <xf numFmtId="0" fontId="4" fillId="0" borderId="25" xfId="0" applyFont="1" applyBorder="1" applyAlignment="1">
      <alignment horizontal="center"/>
    </xf>
    <xf numFmtId="0" fontId="1" fillId="0" borderId="26" xfId="0" applyFont="1" applyBorder="1" applyAlignment="1">
      <alignment horizontal="center"/>
    </xf>
    <xf numFmtId="0" fontId="1" fillId="0" borderId="28" xfId="0" applyFont="1" applyBorder="1" applyAlignment="1">
      <alignment horizontal="center"/>
    </xf>
    <xf numFmtId="0" fontId="1" fillId="0" borderId="29" xfId="0" applyFont="1" applyBorder="1" applyAlignment="1">
      <alignment horizontal="center"/>
    </xf>
    <xf numFmtId="0" fontId="3" fillId="0" borderId="0" xfId="0" applyFont="1" applyAlignment="1">
      <alignment horizontal="center"/>
    </xf>
    <xf numFmtId="0" fontId="3" fillId="0" borderId="0" xfId="0" applyFont="1" applyAlignment="1">
      <alignment horizontal="left" vertical="top" wrapText="1"/>
    </xf>
    <xf numFmtId="0" fontId="16" fillId="3" borderId="0" xfId="0" applyFont="1" applyFill="1" applyAlignment="1">
      <alignment horizontal="center"/>
    </xf>
    <xf numFmtId="0" fontId="3" fillId="12" borderId="4" xfId="0" applyFont="1" applyFill="1" applyBorder="1" applyAlignment="1">
      <alignment horizontal="center"/>
    </xf>
    <xf numFmtId="0" fontId="3" fillId="12" borderId="5" xfId="0" applyFont="1" applyFill="1" applyBorder="1" applyAlignment="1">
      <alignment horizontal="center"/>
    </xf>
    <xf numFmtId="0" fontId="16" fillId="12" borderId="4" xfId="0" applyFont="1" applyFill="1" applyBorder="1" applyAlignment="1">
      <alignment horizontal="center" wrapText="1"/>
    </xf>
    <xf numFmtId="0" fontId="16" fillId="12" borderId="6" xfId="0" applyFont="1" applyFill="1" applyBorder="1" applyAlignment="1">
      <alignment horizontal="center" wrapText="1"/>
    </xf>
    <xf numFmtId="0" fontId="16" fillId="12" borderId="1" xfId="0" applyFont="1" applyFill="1" applyBorder="1" applyAlignment="1">
      <alignment horizontal="center" wrapText="1"/>
    </xf>
    <xf numFmtId="0" fontId="16" fillId="12" borderId="0" xfId="0" applyFont="1" applyFill="1" applyAlignment="1">
      <alignment horizontal="center" wrapText="1"/>
    </xf>
    <xf numFmtId="0" fontId="16" fillId="12" borderId="7" xfId="0" applyFont="1" applyFill="1" applyBorder="1" applyAlignment="1">
      <alignment horizontal="center" wrapText="1"/>
    </xf>
    <xf numFmtId="0" fontId="16" fillId="12" borderId="8" xfId="0" applyFont="1" applyFill="1" applyBorder="1" applyAlignment="1">
      <alignment horizontal="center" wrapText="1"/>
    </xf>
    <xf numFmtId="0" fontId="3" fillId="12" borderId="6" xfId="0" applyFont="1" applyFill="1" applyBorder="1" applyAlignment="1">
      <alignment horizontal="center"/>
    </xf>
    <xf numFmtId="0" fontId="16" fillId="12" borderId="43" xfId="0" applyFont="1" applyFill="1" applyBorder="1" applyAlignment="1">
      <alignment horizontal="center"/>
    </xf>
    <xf numFmtId="0" fontId="16" fillId="12" borderId="44" xfId="0" applyFont="1" applyFill="1" applyBorder="1" applyAlignment="1">
      <alignment horizontal="center"/>
    </xf>
    <xf numFmtId="0" fontId="16" fillId="12" borderId="5" xfId="0" applyFont="1" applyFill="1" applyBorder="1" applyAlignment="1">
      <alignment horizontal="center"/>
    </xf>
    <xf numFmtId="0" fontId="16" fillId="12" borderId="6" xfId="0" applyFont="1" applyFill="1" applyBorder="1" applyAlignment="1">
      <alignment horizontal="center"/>
    </xf>
    <xf numFmtId="0" fontId="1" fillId="0" borderId="0" xfId="0" applyFont="1" applyAlignment="1">
      <alignment horizontal="left" vertical="top" wrapText="1"/>
    </xf>
    <xf numFmtId="0" fontId="4" fillId="12" borderId="4" xfId="0" applyFont="1" applyFill="1" applyBorder="1" applyAlignment="1">
      <alignment horizontal="center" wrapText="1"/>
    </xf>
    <xf numFmtId="0" fontId="4" fillId="12" borderId="5" xfId="0" applyFont="1" applyFill="1" applyBorder="1" applyAlignment="1">
      <alignment horizontal="center" wrapText="1"/>
    </xf>
    <xf numFmtId="0" fontId="4" fillId="12" borderId="1" xfId="0" applyFont="1" applyFill="1" applyBorder="1" applyAlignment="1">
      <alignment horizontal="center" wrapText="1"/>
    </xf>
    <xf numFmtId="0" fontId="4" fillId="12" borderId="0" xfId="0" applyFont="1" applyFill="1" applyAlignment="1">
      <alignment horizontal="center" wrapText="1"/>
    </xf>
    <xf numFmtId="0" fontId="1" fillId="12" borderId="4" xfId="0" applyFont="1" applyFill="1" applyBorder="1" applyAlignment="1">
      <alignment horizontal="center"/>
    </xf>
    <xf numFmtId="0" fontId="1" fillId="12" borderId="5" xfId="0" applyFont="1" applyFill="1" applyBorder="1" applyAlignment="1">
      <alignment horizontal="center"/>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6" xfId="0" applyFont="1" applyFill="1" applyBorder="1" applyAlignment="1">
      <alignment horizontal="center" wrapText="1"/>
    </xf>
    <xf numFmtId="0" fontId="18" fillId="12" borderId="4" xfId="0" applyFont="1" applyFill="1" applyBorder="1" applyAlignment="1">
      <alignment horizontal="center"/>
    </xf>
    <xf numFmtId="0" fontId="18" fillId="12" borderId="5" xfId="0" applyFont="1" applyFill="1" applyBorder="1" applyAlignment="1">
      <alignment horizontal="center"/>
    </xf>
    <xf numFmtId="0" fontId="18" fillId="12" borderId="6" xfId="0" applyFont="1" applyFill="1" applyBorder="1" applyAlignment="1">
      <alignment horizontal="center"/>
    </xf>
    <xf numFmtId="0" fontId="19" fillId="0" borderId="0" xfId="0" applyFont="1" applyAlignment="1">
      <alignment horizontal="center"/>
    </xf>
    <xf numFmtId="0" fontId="16" fillId="0" borderId="0" xfId="0" applyFont="1" applyAlignment="1">
      <alignment horizontal="left" vertical="top" wrapText="1"/>
    </xf>
    <xf numFmtId="0" fontId="16" fillId="12" borderId="4" xfId="0" applyFont="1" applyFill="1" applyBorder="1" applyAlignment="1">
      <alignment horizontal="center"/>
    </xf>
    <xf numFmtId="0" fontId="16" fillId="12" borderId="1" xfId="0" applyFont="1" applyFill="1" applyBorder="1" applyAlignment="1">
      <alignment horizontal="center"/>
    </xf>
    <xf numFmtId="0" fontId="16" fillId="12" borderId="3" xfId="0" applyFont="1" applyFill="1" applyBorder="1" applyAlignment="1">
      <alignment horizontal="center"/>
    </xf>
    <xf numFmtId="0" fontId="3" fillId="8" borderId="4" xfId="0" applyFont="1" applyFill="1" applyBorder="1" applyAlignment="1">
      <alignment horizontal="center"/>
    </xf>
    <xf numFmtId="0" fontId="3" fillId="8" borderId="5" xfId="0" applyFont="1" applyFill="1" applyBorder="1" applyAlignment="1">
      <alignment horizontal="center"/>
    </xf>
    <xf numFmtId="0" fontId="3" fillId="8" borderId="6" xfId="0" applyFont="1" applyFill="1" applyBorder="1" applyAlignment="1">
      <alignment horizontal="center"/>
    </xf>
    <xf numFmtId="0" fontId="3" fillId="12" borderId="4" xfId="0" applyFont="1" applyFill="1" applyBorder="1" applyAlignment="1">
      <alignment horizontal="right"/>
    </xf>
    <xf numFmtId="0" fontId="3" fillId="12" borderId="5" xfId="0" applyFont="1" applyFill="1" applyBorder="1" applyAlignment="1">
      <alignment horizontal="right"/>
    </xf>
    <xf numFmtId="0" fontId="16" fillId="8" borderId="43" xfId="0" applyFont="1" applyFill="1" applyBorder="1" applyAlignment="1">
      <alignment horizontal="center"/>
    </xf>
    <xf numFmtId="0" fontId="16" fillId="8" borderId="44" xfId="0" applyFont="1" applyFill="1" applyBorder="1" applyAlignment="1">
      <alignment horizontal="center"/>
    </xf>
    <xf numFmtId="0" fontId="16" fillId="8" borderId="46" xfId="0" applyFont="1" applyFill="1" applyBorder="1" applyAlignment="1">
      <alignment horizontal="center"/>
    </xf>
    <xf numFmtId="0" fontId="3" fillId="0" borderId="3" xfId="0" applyFont="1" applyBorder="1" applyAlignment="1">
      <alignment horizontal="center" wrapText="1"/>
    </xf>
    <xf numFmtId="0" fontId="16" fillId="12" borderId="7" xfId="0" applyFont="1" applyFill="1" applyBorder="1" applyAlignment="1">
      <alignment horizontal="center"/>
    </xf>
    <xf numFmtId="0" fontId="16" fillId="12" borderId="2" xfId="0" applyFont="1" applyFill="1" applyBorder="1" applyAlignment="1">
      <alignment horizontal="center"/>
    </xf>
    <xf numFmtId="0" fontId="3" fillId="0" borderId="1" xfId="0" applyFont="1" applyBorder="1" applyAlignment="1">
      <alignment horizontal="left" vertical="top" wrapText="1"/>
    </xf>
    <xf numFmtId="0" fontId="16" fillId="13" borderId="43" xfId="0" applyFont="1" applyFill="1" applyBorder="1" applyAlignment="1">
      <alignment horizontal="center" vertical="center" wrapText="1"/>
    </xf>
    <xf numFmtId="0" fontId="16" fillId="13" borderId="44" xfId="0" applyFont="1" applyFill="1" applyBorder="1" applyAlignment="1">
      <alignment horizontal="center" vertical="center" wrapText="1"/>
    </xf>
    <xf numFmtId="0" fontId="16" fillId="13" borderId="5" xfId="0" applyFont="1" applyFill="1" applyBorder="1" applyAlignment="1">
      <alignment horizontal="center" vertical="center" wrapText="1"/>
    </xf>
    <xf numFmtId="0" fontId="16" fillId="13" borderId="6" xfId="0" applyFont="1" applyFill="1" applyBorder="1" applyAlignment="1">
      <alignment horizontal="center" vertical="center" wrapText="1"/>
    </xf>
    <xf numFmtId="0" fontId="16" fillId="0" borderId="0" xfId="0" applyFont="1" applyAlignment="1">
      <alignment horizontal="center"/>
    </xf>
    <xf numFmtId="0" fontId="3" fillId="12" borderId="1" xfId="0" applyFont="1" applyFill="1" applyBorder="1" applyAlignment="1">
      <alignment horizontal="center"/>
    </xf>
    <xf numFmtId="0" fontId="3" fillId="12" borderId="0" xfId="0" applyFont="1" applyFill="1" applyAlignment="1">
      <alignment horizontal="center"/>
    </xf>
    <xf numFmtId="0" fontId="3" fillId="3" borderId="14" xfId="0" applyFont="1" applyFill="1" applyBorder="1" applyAlignment="1">
      <alignment horizontal="center" wrapText="1"/>
    </xf>
    <xf numFmtId="0" fontId="3" fillId="3" borderId="12" xfId="0" applyFont="1" applyFill="1" applyBorder="1" applyAlignment="1">
      <alignment horizontal="center" wrapText="1"/>
    </xf>
    <xf numFmtId="0" fontId="3" fillId="3" borderId="13" xfId="0" applyFont="1" applyFill="1" applyBorder="1" applyAlignment="1">
      <alignment horizontal="center" wrapText="1"/>
    </xf>
    <xf numFmtId="0" fontId="3" fillId="3" borderId="6" xfId="0" applyFont="1" applyFill="1" applyBorder="1" applyAlignment="1">
      <alignment horizontal="center" wrapText="1"/>
    </xf>
    <xf numFmtId="0" fontId="3" fillId="3" borderId="3" xfId="0" applyFont="1" applyFill="1" applyBorder="1" applyAlignment="1">
      <alignment horizontal="center" wrapText="1"/>
    </xf>
    <xf numFmtId="0" fontId="3" fillId="3" borderId="2" xfId="0" applyFont="1" applyFill="1" applyBorder="1" applyAlignment="1">
      <alignment horizontal="center" wrapText="1"/>
    </xf>
    <xf numFmtId="0" fontId="3" fillId="12" borderId="3" xfId="0" applyFont="1" applyFill="1" applyBorder="1" applyAlignment="1">
      <alignment horizontal="center"/>
    </xf>
    <xf numFmtId="0" fontId="16" fillId="0" borderId="1" xfId="0" applyFont="1" applyBorder="1" applyAlignment="1">
      <alignment horizontal="center" wrapText="1"/>
    </xf>
    <xf numFmtId="0" fontId="3" fillId="0" borderId="0" xfId="0" applyFont="1" applyAlignment="1">
      <alignment horizontal="center" wrapText="1"/>
    </xf>
    <xf numFmtId="0" fontId="16" fillId="12" borderId="4" xfId="0" applyFont="1" applyFill="1" applyBorder="1" applyAlignment="1">
      <alignment horizontal="center" vertical="center" wrapText="1"/>
    </xf>
    <xf numFmtId="0" fontId="16" fillId="12" borderId="6" xfId="0" applyFont="1" applyFill="1" applyBorder="1" applyAlignment="1">
      <alignment horizontal="center" vertical="center" wrapText="1"/>
    </xf>
    <xf numFmtId="0" fontId="16" fillId="12" borderId="1" xfId="0" applyFont="1" applyFill="1" applyBorder="1" applyAlignment="1">
      <alignment horizontal="center" vertical="center" wrapText="1"/>
    </xf>
    <xf numFmtId="0" fontId="16" fillId="12" borderId="3" xfId="0" applyFont="1" applyFill="1" applyBorder="1" applyAlignment="1">
      <alignment horizontal="center" vertical="center" wrapText="1"/>
    </xf>
    <xf numFmtId="0" fontId="16" fillId="0" borderId="1" xfId="0" applyFont="1" applyBorder="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left" wrapText="1"/>
    </xf>
    <xf numFmtId="0" fontId="16" fillId="12" borderId="0" xfId="0" applyFont="1" applyFill="1" applyAlignment="1">
      <alignment horizontal="center"/>
    </xf>
    <xf numFmtId="0" fontId="16" fillId="12" borderId="8" xfId="0" applyFont="1" applyFill="1" applyBorder="1" applyAlignment="1">
      <alignment horizontal="center"/>
    </xf>
    <xf numFmtId="0" fontId="16" fillId="8" borderId="45" xfId="0" applyFont="1" applyFill="1" applyBorder="1" applyAlignment="1">
      <alignment horizontal="center"/>
    </xf>
    <xf numFmtId="0" fontId="16" fillId="12" borderId="46" xfId="0" applyFont="1" applyFill="1" applyBorder="1" applyAlignment="1">
      <alignment horizontal="center"/>
    </xf>
    <xf numFmtId="0" fontId="16" fillId="0" borderId="4" xfId="0" applyFont="1" applyBorder="1" applyAlignment="1">
      <alignment horizontal="center" vertical="top" wrapText="1"/>
    </xf>
    <xf numFmtId="0" fontId="16" fillId="0" borderId="5" xfId="0" applyFont="1" applyBorder="1" applyAlignment="1">
      <alignment horizontal="center" vertical="top" wrapText="1"/>
    </xf>
    <xf numFmtId="0" fontId="16" fillId="0" borderId="4" xfId="0" applyFont="1" applyBorder="1" applyAlignment="1">
      <alignment horizontal="center" wrapText="1"/>
    </xf>
    <xf numFmtId="0" fontId="16" fillId="0" borderId="0" xfId="0" applyFont="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3" xfId="0" applyFont="1" applyBorder="1" applyAlignment="1">
      <alignment horizontal="left" wrapText="1" indent="3"/>
    </xf>
    <xf numFmtId="0" fontId="3" fillId="13" borderId="1" xfId="0" applyFont="1" applyFill="1" applyBorder="1" applyAlignment="1">
      <alignment horizontal="left" vertical="top" wrapText="1" indent="3"/>
    </xf>
    <xf numFmtId="0" fontId="3" fillId="13" borderId="0" xfId="0" applyFont="1" applyFill="1" applyAlignment="1">
      <alignment horizontal="left" vertical="top" wrapText="1" indent="3"/>
    </xf>
    <xf numFmtId="0" fontId="3" fillId="13" borderId="3" xfId="0" applyFont="1" applyFill="1" applyBorder="1" applyAlignment="1">
      <alignment horizontal="left" vertical="top" wrapText="1" indent="3"/>
    </xf>
    <xf numFmtId="0" fontId="3" fillId="0" borderId="4" xfId="0" applyFont="1" applyBorder="1" applyAlignment="1">
      <alignment horizontal="left" wrapText="1" indent="3"/>
    </xf>
    <xf numFmtId="0" fontId="3" fillId="0" borderId="5" xfId="0" applyFont="1" applyBorder="1" applyAlignment="1">
      <alignment horizontal="left" wrapText="1" indent="3"/>
    </xf>
    <xf numFmtId="0" fontId="3" fillId="0" borderId="6" xfId="0" applyFont="1" applyBorder="1" applyAlignment="1">
      <alignment horizontal="left" wrapText="1" indent="3"/>
    </xf>
    <xf numFmtId="0" fontId="3" fillId="0" borderId="7" xfId="0" applyFont="1" applyBorder="1" applyAlignment="1">
      <alignment horizontal="left" wrapText="1"/>
    </xf>
    <xf numFmtId="0" fontId="3" fillId="0" borderId="8" xfId="0" applyFont="1" applyBorder="1" applyAlignment="1">
      <alignment horizontal="left" wrapText="1"/>
    </xf>
    <xf numFmtId="0" fontId="3" fillId="0" borderId="2" xfId="0" applyFont="1" applyBorder="1" applyAlignment="1">
      <alignment horizontal="left" wrapText="1"/>
    </xf>
    <xf numFmtId="0" fontId="3" fillId="13" borderId="1" xfId="0" applyFont="1" applyFill="1" applyBorder="1" applyAlignment="1">
      <alignment horizontal="left" wrapText="1" indent="3"/>
    </xf>
    <xf numFmtId="0" fontId="3" fillId="13" borderId="0" xfId="0" applyFont="1" applyFill="1" applyAlignment="1">
      <alignment horizontal="left" wrapText="1" indent="3"/>
    </xf>
    <xf numFmtId="0" fontId="3" fillId="13" borderId="3" xfId="0" applyFont="1" applyFill="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3" xfId="0" applyFont="1" applyBorder="1" applyAlignment="1">
      <alignment horizontal="left" wrapText="1"/>
    </xf>
    <xf numFmtId="0" fontId="29" fillId="0" borderId="0" xfId="0" applyFont="1" applyAlignment="1">
      <alignment horizontal="left" vertical="top" wrapText="1"/>
    </xf>
    <xf numFmtId="0" fontId="32" fillId="0" borderId="0" xfId="0" applyFont="1" applyAlignment="1">
      <alignment horizontal="left" vertical="top" wrapText="1"/>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16" fillId="0" borderId="4" xfId="0" applyFont="1" applyBorder="1" applyAlignment="1">
      <alignment horizontal="center"/>
    </xf>
    <xf numFmtId="0" fontId="16" fillId="0" borderId="5" xfId="0" applyFont="1" applyBorder="1" applyAlignment="1">
      <alignment horizontal="center"/>
    </xf>
    <xf numFmtId="0" fontId="3" fillId="0" borderId="8" xfId="0" applyFont="1" applyBorder="1" applyAlignment="1">
      <alignment horizontal="left" vertical="top" wrapText="1"/>
    </xf>
    <xf numFmtId="0" fontId="16" fillId="13" borderId="0" xfId="0" applyFont="1" applyFill="1" applyAlignment="1">
      <alignment horizontal="center"/>
    </xf>
    <xf numFmtId="0" fontId="16" fillId="0" borderId="6" xfId="0" applyFont="1" applyBorder="1" applyAlignment="1">
      <alignment horizontal="center"/>
    </xf>
    <xf numFmtId="0" fontId="16" fillId="0" borderId="7" xfId="0" applyFont="1" applyBorder="1" applyAlignment="1">
      <alignment horizontal="center"/>
    </xf>
    <xf numFmtId="0" fontId="16" fillId="0" borderId="2" xfId="0" applyFont="1" applyBorder="1" applyAlignment="1">
      <alignment horizontal="center"/>
    </xf>
    <xf numFmtId="0" fontId="3" fillId="8" borderId="1" xfId="0" applyFont="1" applyFill="1" applyBorder="1" applyAlignment="1">
      <alignment horizontal="center"/>
    </xf>
    <xf numFmtId="0" fontId="3" fillId="8" borderId="0" xfId="0" applyFont="1" applyFill="1" applyAlignment="1">
      <alignment horizontal="center"/>
    </xf>
    <xf numFmtId="0" fontId="16" fillId="0" borderId="43" xfId="0" applyFont="1" applyBorder="1" applyAlignment="1">
      <alignment horizontal="center"/>
    </xf>
    <xf numFmtId="0" fontId="16" fillId="0" borderId="44" xfId="0" applyFont="1" applyBorder="1" applyAlignment="1">
      <alignment horizontal="center"/>
    </xf>
    <xf numFmtId="0" fontId="16" fillId="0" borderId="46" xfId="0" applyFont="1" applyBorder="1" applyAlignment="1">
      <alignment horizontal="center"/>
    </xf>
    <xf numFmtId="0" fontId="16" fillId="12" borderId="43" xfId="0" applyFont="1" applyFill="1" applyBorder="1" applyAlignment="1">
      <alignment horizontal="center" wrapText="1"/>
    </xf>
    <xf numFmtId="0" fontId="16" fillId="12" borderId="44" xfId="0" applyFont="1" applyFill="1" applyBorder="1" applyAlignment="1">
      <alignment horizontal="center" wrapText="1"/>
    </xf>
    <xf numFmtId="0" fontId="16" fillId="12" borderId="5" xfId="0" applyFont="1" applyFill="1" applyBorder="1" applyAlignment="1">
      <alignment horizontal="center" wrapText="1"/>
    </xf>
    <xf numFmtId="0" fontId="16" fillId="0" borderId="4" xfId="0" applyFont="1" applyBorder="1" applyAlignment="1">
      <alignment horizontal="left"/>
    </xf>
    <xf numFmtId="0" fontId="16" fillId="0" borderId="5" xfId="0" applyFont="1" applyBorder="1" applyAlignment="1">
      <alignment horizontal="left"/>
    </xf>
    <xf numFmtId="168" fontId="1" fillId="0" borderId="48" xfId="0" applyNumberFormat="1" applyFont="1" applyBorder="1" applyAlignment="1">
      <alignment horizontal="center"/>
    </xf>
    <xf numFmtId="168" fontId="1" fillId="0" borderId="49" xfId="0" applyNumberFormat="1" applyFont="1" applyBorder="1" applyAlignment="1">
      <alignment horizontal="center"/>
    </xf>
    <xf numFmtId="1" fontId="1" fillId="0" borderId="50" xfId="0" applyNumberFormat="1" applyFont="1" applyBorder="1" applyAlignment="1">
      <alignment horizontal="center"/>
    </xf>
    <xf numFmtId="1" fontId="1" fillId="0" borderId="48" xfId="0" applyNumberFormat="1" applyFont="1" applyBorder="1" applyAlignment="1">
      <alignment horizontal="center"/>
    </xf>
    <xf numFmtId="1" fontId="1" fillId="0" borderId="49" xfId="0" applyNumberFormat="1" applyFont="1" applyBorder="1" applyAlignment="1">
      <alignment horizontal="center"/>
    </xf>
    <xf numFmtId="0" fontId="16" fillId="0" borderId="1" xfId="0" applyFont="1" applyBorder="1" applyAlignment="1">
      <alignment horizontal="center"/>
    </xf>
    <xf numFmtId="0" fontId="16" fillId="0" borderId="3" xfId="0" applyFont="1" applyBorder="1" applyAlignment="1">
      <alignment horizontal="center"/>
    </xf>
    <xf numFmtId="0" fontId="3" fillId="0" borderId="0" xfId="0" applyFont="1" applyAlignment="1">
      <alignment horizontal="left" vertical="center" wrapText="1"/>
    </xf>
    <xf numFmtId="3" fontId="16" fillId="0" borderId="0" xfId="0" applyNumberFormat="1" applyFont="1" applyAlignment="1">
      <alignment horizontal="left" wrapText="1"/>
    </xf>
    <xf numFmtId="3" fontId="16" fillId="0" borderId="0" xfId="0" applyNumberFormat="1" applyFont="1" applyAlignment="1">
      <alignment horizontal="left"/>
    </xf>
    <xf numFmtId="0" fontId="3" fillId="0" borderId="8"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9" borderId="0" xfId="0" applyFont="1" applyFill="1" applyAlignment="1">
      <alignment horizontal="left" vertical="top" wrapText="1"/>
    </xf>
    <xf numFmtId="1" fontId="38" fillId="0" borderId="60" xfId="0" applyNumberFormat="1" applyFont="1" applyBorder="1" applyAlignment="1">
      <alignment horizontal="center" vertical="top"/>
    </xf>
    <xf numFmtId="1" fontId="38" fillId="0" borderId="0" xfId="0" applyNumberFormat="1" applyFont="1" applyAlignment="1">
      <alignment horizontal="center" vertical="top"/>
    </xf>
    <xf numFmtId="1" fontId="38" fillId="0" borderId="43" xfId="0" applyNumberFormat="1" applyFont="1" applyBorder="1" applyAlignment="1">
      <alignment horizontal="center" vertical="top"/>
    </xf>
    <xf numFmtId="1" fontId="38" fillId="0" borderId="44" xfId="0" applyNumberFormat="1" applyFont="1" applyBorder="1" applyAlignment="1">
      <alignment horizontal="center" vertical="top"/>
    </xf>
    <xf numFmtId="1" fontId="38" fillId="0" borderId="46" xfId="0" applyNumberFormat="1" applyFont="1" applyBorder="1" applyAlignment="1">
      <alignment horizontal="center" vertical="top"/>
    </xf>
    <xf numFmtId="0" fontId="16" fillId="27" borderId="0" xfId="0" applyFont="1" applyFill="1" applyAlignment="1">
      <alignment horizontal="center"/>
    </xf>
    <xf numFmtId="0" fontId="7" fillId="0" borderId="0" xfId="0" applyFont="1" applyAlignment="1">
      <alignment horizontal="center" wrapText="1"/>
    </xf>
    <xf numFmtId="0" fontId="7" fillId="30" borderId="0" xfId="0" applyFont="1" applyFill="1" applyAlignment="1">
      <alignment wrapText="1"/>
    </xf>
    <xf numFmtId="0" fontId="1" fillId="0" borderId="0" xfId="0" applyFont="1" applyAlignment="1">
      <alignment wrapText="1"/>
    </xf>
    <xf numFmtId="0" fontId="7" fillId="31" borderId="0" xfId="0" applyFont="1" applyFill="1" applyAlignment="1">
      <alignment horizontal="center" wrapText="1"/>
    </xf>
    <xf numFmtId="0" fontId="1" fillId="9" borderId="0" xfId="0" applyFont="1" applyFill="1" applyAlignment="1">
      <alignment horizontal="center" wrapText="1"/>
    </xf>
    <xf numFmtId="0" fontId="7" fillId="32" borderId="0" xfId="0" applyFont="1" applyFill="1" applyAlignment="1">
      <alignment horizontal="center" wrapText="1"/>
    </xf>
    <xf numFmtId="0" fontId="7" fillId="33" borderId="0" xfId="0" applyFont="1" applyFill="1" applyAlignment="1">
      <alignment horizontal="center" wrapText="1"/>
    </xf>
  </cellXfs>
  <cellStyles count="3">
    <cellStyle name="Normal" xfId="0" builtinId="0"/>
    <cellStyle name="Normal 14" xfId="2" xr:uid="{A984EDA8-A21A-42F8-BE0C-DE2C66547935}"/>
    <cellStyle name="Percent" xfId="1" builtinId="5"/>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Purchases'!$AO$73:$BB$73</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2829.6</c:v>
                </c:pt>
                <c:pt idx="12">
                  <c:v>2867.1479295552822</c:v>
                </c:pt>
                <c:pt idx="13">
                  <c:v>2902.161011259866</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Purchases'!$AO$75:$BB$75</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Purchases'!$H$31:$U$31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Purchases'!$AO$74:$BB$74</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Purchases'!$AO$68:$BB$68</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Purchases'!$AO$77:$BB$77</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2053.2721320000001</c:v>
                </c:pt>
                <c:pt idx="12">
                  <c:v>2086.4734472676282</c:v>
                </c:pt>
                <c:pt idx="13">
                  <c:v>2127.581569205749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Purchases'!$AO$68:$BB$68</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2261.872132</c:v>
                </c:pt>
                <c:pt idx="12">
                  <c:v>2307.62137682291</c:v>
                </c:pt>
                <c:pt idx="13">
                  <c:v>2357.742580465615</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Purchases'!$AO$79:$BB$79</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2099.6721320000001</c:v>
                </c:pt>
                <c:pt idx="12">
                  <c:v>2131.0734472676277</c:v>
                </c:pt>
                <c:pt idx="13">
                  <c:v>2169.3815692057492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Purchases'!$AO$68:$BB$68</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Purchases'!$AO$78:$BB$78</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1894.2721320000001</c:v>
                      </c:pt>
                      <c:pt idx="12">
                        <c:v>1926.473447267628</c:v>
                      </c:pt>
                      <c:pt idx="13">
                        <c:v>1968.581569205749</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80529</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13</xdr:row>
      <xdr:rowOff>34810</xdr:rowOff>
    </xdr:from>
    <xdr:to>
      <xdr:col>20</xdr:col>
      <xdr:colOff>567690</xdr:colOff>
      <xdr:row>17</xdr:row>
      <xdr:rowOff>34809</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80857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52916</xdr:rowOff>
    </xdr:from>
    <xdr:to>
      <xdr:col>4</xdr:col>
      <xdr:colOff>0</xdr:colOff>
      <xdr:row>41</xdr:row>
      <xdr:rowOff>47978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52916</xdr:rowOff>
    </xdr:from>
    <xdr:to>
      <xdr:col>4</xdr:col>
      <xdr:colOff>0</xdr:colOff>
      <xdr:row>41</xdr:row>
      <xdr:rowOff>47978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168053</xdr:rowOff>
    </xdr:from>
    <xdr:to>
      <xdr:col>5</xdr:col>
      <xdr:colOff>0</xdr:colOff>
      <xdr:row>74</xdr:row>
      <xdr:rowOff>59937</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13980</xdr:rowOff>
    </xdr:from>
    <xdr:to>
      <xdr:col>4</xdr:col>
      <xdr:colOff>800100</xdr:colOff>
      <xdr:row>69</xdr:row>
      <xdr:rowOff>85185</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168053</xdr:rowOff>
    </xdr:from>
    <xdr:to>
      <xdr:col>5</xdr:col>
      <xdr:colOff>0</xdr:colOff>
      <xdr:row>74</xdr:row>
      <xdr:rowOff>59937</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104</xdr:row>
      <xdr:rowOff>119917</xdr:rowOff>
    </xdr:from>
    <xdr:to>
      <xdr:col>20</xdr:col>
      <xdr:colOff>381000</xdr:colOff>
      <xdr:row>109</xdr:row>
      <xdr:rowOff>82379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103</xdr:row>
      <xdr:rowOff>15886</xdr:rowOff>
    </xdr:from>
    <xdr:to>
      <xdr:col>20</xdr:col>
      <xdr:colOff>381000</xdr:colOff>
      <xdr:row>108</xdr:row>
      <xdr:rowOff>1184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118110</xdr:colOff>
      <xdr:row>103</xdr:row>
      <xdr:rowOff>15886</xdr:rowOff>
    </xdr:from>
    <xdr:to>
      <xdr:col>20</xdr:col>
      <xdr:colOff>381000</xdr:colOff>
      <xdr:row>108</xdr:row>
      <xdr:rowOff>1184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139658</xdr:rowOff>
    </xdr:from>
    <xdr:to>
      <xdr:col>5</xdr:col>
      <xdr:colOff>0</xdr:colOff>
      <xdr:row>60</xdr:row>
      <xdr:rowOff>39007</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139658</xdr:rowOff>
    </xdr:from>
    <xdr:to>
      <xdr:col>5</xdr:col>
      <xdr:colOff>0</xdr:colOff>
      <xdr:row>60</xdr:row>
      <xdr:rowOff>39007</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129478</xdr:rowOff>
    </xdr:from>
    <xdr:to>
      <xdr:col>20</xdr:col>
      <xdr:colOff>381000</xdr:colOff>
      <xdr:row>109</xdr:row>
      <xdr:rowOff>6179</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32292</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122477</xdr:rowOff>
    </xdr:from>
    <xdr:to>
      <xdr:col>4</xdr:col>
      <xdr:colOff>800100</xdr:colOff>
      <xdr:row>77</xdr:row>
      <xdr:rowOff>126287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32292</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146164</xdr:rowOff>
    </xdr:from>
    <xdr:to>
      <xdr:col>20</xdr:col>
      <xdr:colOff>381000</xdr:colOff>
      <xdr:row>143</xdr:row>
      <xdr:rowOff>20020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107237</xdr:rowOff>
    </xdr:from>
    <xdr:to>
      <xdr:col>4</xdr:col>
      <xdr:colOff>800100</xdr:colOff>
      <xdr:row>77</xdr:row>
      <xdr:rowOff>126287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130924</xdr:rowOff>
    </xdr:from>
    <xdr:to>
      <xdr:col>20</xdr:col>
      <xdr:colOff>381000</xdr:colOff>
      <xdr:row>143</xdr:row>
      <xdr:rowOff>4780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44</xdr:row>
      <xdr:rowOff>275191</xdr:rowOff>
    </xdr:from>
    <xdr:to>
      <xdr:col>21</xdr:col>
      <xdr:colOff>438150</xdr:colOff>
      <xdr:row>47</xdr:row>
      <xdr:rowOff>57150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69065</xdr:rowOff>
    </xdr:from>
    <xdr:to>
      <xdr:col>13</xdr:col>
      <xdr:colOff>19050</xdr:colOff>
      <xdr:row>106</xdr:row>
      <xdr:rowOff>50301</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95250</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33</xdr:row>
      <xdr:rowOff>4352</xdr:rowOff>
    </xdr:from>
    <xdr:to>
      <xdr:col>21</xdr:col>
      <xdr:colOff>438150</xdr:colOff>
      <xdr:row>35</xdr:row>
      <xdr:rowOff>171450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89</xdr:row>
      <xdr:rowOff>19050</xdr:rowOff>
    </xdr:from>
    <xdr:to>
      <xdr:col>13</xdr:col>
      <xdr:colOff>19050</xdr:colOff>
      <xdr:row>93</xdr:row>
      <xdr:rowOff>38100</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114300</xdr:rowOff>
    </xdr:from>
    <xdr:to>
      <xdr:col>21</xdr:col>
      <xdr:colOff>266700</xdr:colOff>
      <xdr:row>118</xdr:row>
      <xdr:rowOff>95250</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63</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63</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449614</xdr:colOff>
      <xdr:row>67</xdr:row>
      <xdr:rowOff>49329</xdr:rowOff>
    </xdr:from>
    <xdr:to>
      <xdr:col>38</xdr:col>
      <xdr:colOff>641241</xdr:colOff>
      <xdr:row>67</xdr:row>
      <xdr:rowOff>49329</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49329</xdr:rowOff>
    </xdr:from>
    <xdr:to>
      <xdr:col>38</xdr:col>
      <xdr:colOff>526941</xdr:colOff>
      <xdr:row>68</xdr:row>
      <xdr:rowOff>231244</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74</xdr:row>
      <xdr:rowOff>334765</xdr:rowOff>
    </xdr:from>
    <xdr:to>
      <xdr:col>38</xdr:col>
      <xdr:colOff>526941</xdr:colOff>
      <xdr:row>74</xdr:row>
      <xdr:rowOff>334765</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74</xdr:row>
      <xdr:rowOff>334765</xdr:rowOff>
    </xdr:from>
    <xdr:to>
      <xdr:col>38</xdr:col>
      <xdr:colOff>603141</xdr:colOff>
      <xdr:row>74</xdr:row>
      <xdr:rowOff>334765</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49329</xdr:rowOff>
    </xdr:from>
    <xdr:to>
      <xdr:col>38</xdr:col>
      <xdr:colOff>603141</xdr:colOff>
      <xdr:row>67</xdr:row>
      <xdr:rowOff>49329</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1029857</xdr:rowOff>
    </xdr:from>
    <xdr:to>
      <xdr:col>38</xdr:col>
      <xdr:colOff>641241</xdr:colOff>
      <xdr:row>47</xdr:row>
      <xdr:rowOff>1029857</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47</xdr:row>
      <xdr:rowOff>1029857</xdr:rowOff>
    </xdr:from>
    <xdr:to>
      <xdr:col>38</xdr:col>
      <xdr:colOff>526941</xdr:colOff>
      <xdr:row>51</xdr:row>
      <xdr:rowOff>179187</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64262</xdr:rowOff>
    </xdr:from>
    <xdr:to>
      <xdr:col>38</xdr:col>
      <xdr:colOff>526941</xdr:colOff>
      <xdr:row>54</xdr:row>
      <xdr:rowOff>64262</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64262</xdr:rowOff>
    </xdr:from>
    <xdr:to>
      <xdr:col>38</xdr:col>
      <xdr:colOff>603141</xdr:colOff>
      <xdr:row>54</xdr:row>
      <xdr:rowOff>64262</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1029857</xdr:rowOff>
    </xdr:from>
    <xdr:to>
      <xdr:col>38</xdr:col>
      <xdr:colOff>603141</xdr:colOff>
      <xdr:row>47</xdr:row>
      <xdr:rowOff>1029857</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86522</xdr:rowOff>
    </xdr:from>
    <xdr:to>
      <xdr:col>38</xdr:col>
      <xdr:colOff>608623</xdr:colOff>
      <xdr:row>44</xdr:row>
      <xdr:rowOff>87157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86522</xdr:rowOff>
    </xdr:from>
    <xdr:to>
      <xdr:col>38</xdr:col>
      <xdr:colOff>492418</xdr:colOff>
      <xdr:row>47</xdr:row>
      <xdr:rowOff>1069274</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197179</xdr:rowOff>
    </xdr:from>
    <xdr:to>
      <xdr:col>38</xdr:col>
      <xdr:colOff>492418</xdr:colOff>
      <xdr:row>50</xdr:row>
      <xdr:rowOff>79891</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197179</xdr:rowOff>
    </xdr:from>
    <xdr:to>
      <xdr:col>38</xdr:col>
      <xdr:colOff>568618</xdr:colOff>
      <xdr:row>50</xdr:row>
      <xdr:rowOff>79891</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86522</xdr:rowOff>
    </xdr:from>
    <xdr:to>
      <xdr:col>38</xdr:col>
      <xdr:colOff>568618</xdr:colOff>
      <xdr:row>44</xdr:row>
      <xdr:rowOff>87157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86522</xdr:rowOff>
    </xdr:from>
    <xdr:to>
      <xdr:col>38</xdr:col>
      <xdr:colOff>608623</xdr:colOff>
      <xdr:row>44</xdr:row>
      <xdr:rowOff>87157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86522</xdr:rowOff>
    </xdr:from>
    <xdr:to>
      <xdr:col>38</xdr:col>
      <xdr:colOff>492418</xdr:colOff>
      <xdr:row>47</xdr:row>
      <xdr:rowOff>1069274</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197179</xdr:rowOff>
    </xdr:from>
    <xdr:to>
      <xdr:col>38</xdr:col>
      <xdr:colOff>492418</xdr:colOff>
      <xdr:row>50</xdr:row>
      <xdr:rowOff>79891</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197179</xdr:rowOff>
    </xdr:from>
    <xdr:to>
      <xdr:col>38</xdr:col>
      <xdr:colOff>568618</xdr:colOff>
      <xdr:row>50</xdr:row>
      <xdr:rowOff>79891</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86522</xdr:rowOff>
    </xdr:from>
    <xdr:to>
      <xdr:col>38</xdr:col>
      <xdr:colOff>568618</xdr:colOff>
      <xdr:row>44</xdr:row>
      <xdr:rowOff>87157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86522</xdr:rowOff>
    </xdr:from>
    <xdr:to>
      <xdr:col>38</xdr:col>
      <xdr:colOff>608623</xdr:colOff>
      <xdr:row>44</xdr:row>
      <xdr:rowOff>87157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86522</xdr:rowOff>
    </xdr:from>
    <xdr:to>
      <xdr:col>38</xdr:col>
      <xdr:colOff>492418</xdr:colOff>
      <xdr:row>47</xdr:row>
      <xdr:rowOff>1068094</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197573</xdr:rowOff>
    </xdr:from>
    <xdr:to>
      <xdr:col>38</xdr:col>
      <xdr:colOff>492418</xdr:colOff>
      <xdr:row>50</xdr:row>
      <xdr:rowOff>78742</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197573</xdr:rowOff>
    </xdr:from>
    <xdr:to>
      <xdr:col>38</xdr:col>
      <xdr:colOff>568618</xdr:colOff>
      <xdr:row>50</xdr:row>
      <xdr:rowOff>78742</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86522</xdr:rowOff>
    </xdr:from>
    <xdr:to>
      <xdr:col>38</xdr:col>
      <xdr:colOff>568618</xdr:colOff>
      <xdr:row>44</xdr:row>
      <xdr:rowOff>87157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86522</xdr:rowOff>
    </xdr:from>
    <xdr:to>
      <xdr:col>38</xdr:col>
      <xdr:colOff>608623</xdr:colOff>
      <xdr:row>44</xdr:row>
      <xdr:rowOff>87157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86522</xdr:rowOff>
    </xdr:from>
    <xdr:to>
      <xdr:col>38</xdr:col>
      <xdr:colOff>492418</xdr:colOff>
      <xdr:row>47</xdr:row>
      <xdr:rowOff>1068094</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197573</xdr:rowOff>
    </xdr:from>
    <xdr:to>
      <xdr:col>38</xdr:col>
      <xdr:colOff>492418</xdr:colOff>
      <xdr:row>50</xdr:row>
      <xdr:rowOff>78742</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197573</xdr:rowOff>
    </xdr:from>
    <xdr:to>
      <xdr:col>38</xdr:col>
      <xdr:colOff>568618</xdr:colOff>
      <xdr:row>50</xdr:row>
      <xdr:rowOff>78742</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86522</xdr:rowOff>
    </xdr:from>
    <xdr:to>
      <xdr:col>38</xdr:col>
      <xdr:colOff>568618</xdr:colOff>
      <xdr:row>44</xdr:row>
      <xdr:rowOff>87157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86522</xdr:rowOff>
    </xdr:from>
    <xdr:to>
      <xdr:col>38</xdr:col>
      <xdr:colOff>608623</xdr:colOff>
      <xdr:row>44</xdr:row>
      <xdr:rowOff>125257</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86522</xdr:rowOff>
    </xdr:from>
    <xdr:to>
      <xdr:col>38</xdr:col>
      <xdr:colOff>492418</xdr:colOff>
      <xdr:row>47</xdr:row>
      <xdr:rowOff>1068094</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197573</xdr:rowOff>
    </xdr:from>
    <xdr:to>
      <xdr:col>38</xdr:col>
      <xdr:colOff>492418</xdr:colOff>
      <xdr:row>50</xdr:row>
      <xdr:rowOff>78742</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197573</xdr:rowOff>
    </xdr:from>
    <xdr:to>
      <xdr:col>38</xdr:col>
      <xdr:colOff>568618</xdr:colOff>
      <xdr:row>50</xdr:row>
      <xdr:rowOff>78742</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86522</xdr:rowOff>
    </xdr:from>
    <xdr:to>
      <xdr:col>38</xdr:col>
      <xdr:colOff>568618</xdr:colOff>
      <xdr:row>44</xdr:row>
      <xdr:rowOff>125257</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54424</xdr:rowOff>
    </xdr:from>
    <xdr:to>
      <xdr:col>38</xdr:col>
      <xdr:colOff>608623</xdr:colOff>
      <xdr:row>45</xdr:row>
      <xdr:rowOff>55270</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54424</xdr:rowOff>
    </xdr:from>
    <xdr:to>
      <xdr:col>38</xdr:col>
      <xdr:colOff>456223</xdr:colOff>
      <xdr:row>54</xdr:row>
      <xdr:rowOff>39055</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37596</xdr:rowOff>
    </xdr:from>
    <xdr:to>
      <xdr:col>38</xdr:col>
      <xdr:colOff>456223</xdr:colOff>
      <xdr:row>49</xdr:row>
      <xdr:rowOff>37596</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37596</xdr:rowOff>
    </xdr:from>
    <xdr:to>
      <xdr:col>38</xdr:col>
      <xdr:colOff>532423</xdr:colOff>
      <xdr:row>49</xdr:row>
      <xdr:rowOff>37596</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54424</xdr:rowOff>
    </xdr:from>
    <xdr:to>
      <xdr:col>38</xdr:col>
      <xdr:colOff>532423</xdr:colOff>
      <xdr:row>45</xdr:row>
      <xdr:rowOff>55270</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26</xdr:row>
      <xdr:rowOff>85183</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69784</xdr:rowOff>
    </xdr:from>
    <xdr:to>
      <xdr:col>20</xdr:col>
      <xdr:colOff>149519</xdr:colOff>
      <xdr:row>29</xdr:row>
      <xdr:rowOff>46236</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54424</xdr:rowOff>
    </xdr:from>
    <xdr:to>
      <xdr:col>38</xdr:col>
      <xdr:colOff>608623</xdr:colOff>
      <xdr:row>45</xdr:row>
      <xdr:rowOff>55270</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54424</xdr:rowOff>
    </xdr:from>
    <xdr:to>
      <xdr:col>38</xdr:col>
      <xdr:colOff>456223</xdr:colOff>
      <xdr:row>54</xdr:row>
      <xdr:rowOff>39055</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37596</xdr:rowOff>
    </xdr:from>
    <xdr:to>
      <xdr:col>38</xdr:col>
      <xdr:colOff>456223</xdr:colOff>
      <xdr:row>49</xdr:row>
      <xdr:rowOff>37596</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37596</xdr:rowOff>
    </xdr:from>
    <xdr:to>
      <xdr:col>38</xdr:col>
      <xdr:colOff>532423</xdr:colOff>
      <xdr:row>49</xdr:row>
      <xdr:rowOff>37596</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54424</xdr:rowOff>
    </xdr:from>
    <xdr:to>
      <xdr:col>38</xdr:col>
      <xdr:colOff>532423</xdr:colOff>
      <xdr:row>45</xdr:row>
      <xdr:rowOff>55270</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26</xdr:row>
      <xdr:rowOff>85183</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69784</xdr:rowOff>
    </xdr:from>
    <xdr:to>
      <xdr:col>20</xdr:col>
      <xdr:colOff>149519</xdr:colOff>
      <xdr:row>29</xdr:row>
      <xdr:rowOff>46236</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23036</xdr:rowOff>
    </xdr:from>
    <xdr:to>
      <xdr:col>38</xdr:col>
      <xdr:colOff>608623</xdr:colOff>
      <xdr:row>59</xdr:row>
      <xdr:rowOff>292850</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23036</xdr:rowOff>
    </xdr:from>
    <xdr:to>
      <xdr:col>38</xdr:col>
      <xdr:colOff>456223</xdr:colOff>
      <xdr:row>69</xdr:row>
      <xdr:rowOff>251538</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127719</xdr:rowOff>
    </xdr:from>
    <xdr:to>
      <xdr:col>38</xdr:col>
      <xdr:colOff>456223</xdr:colOff>
      <xdr:row>65</xdr:row>
      <xdr:rowOff>127719</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127719</xdr:rowOff>
    </xdr:from>
    <xdr:to>
      <xdr:col>38</xdr:col>
      <xdr:colOff>532423</xdr:colOff>
      <xdr:row>65</xdr:row>
      <xdr:rowOff>127719</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23036</xdr:rowOff>
    </xdr:from>
    <xdr:to>
      <xdr:col>38</xdr:col>
      <xdr:colOff>532423</xdr:colOff>
      <xdr:row>59</xdr:row>
      <xdr:rowOff>292850</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84338</xdr:rowOff>
    </xdr:from>
    <xdr:to>
      <xdr:col>3</xdr:col>
      <xdr:colOff>304800</xdr:colOff>
      <xdr:row>32</xdr:row>
      <xdr:rowOff>7894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222158</xdr:rowOff>
    </xdr:from>
    <xdr:to>
      <xdr:col>20</xdr:col>
      <xdr:colOff>149519</xdr:colOff>
      <xdr:row>37</xdr:row>
      <xdr:rowOff>48106</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23036</xdr:rowOff>
    </xdr:from>
    <xdr:to>
      <xdr:col>38</xdr:col>
      <xdr:colOff>608623</xdr:colOff>
      <xdr:row>59</xdr:row>
      <xdr:rowOff>292850</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23036</xdr:rowOff>
    </xdr:from>
    <xdr:to>
      <xdr:col>38</xdr:col>
      <xdr:colOff>456223</xdr:colOff>
      <xdr:row>69</xdr:row>
      <xdr:rowOff>251538</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127719</xdr:rowOff>
    </xdr:from>
    <xdr:to>
      <xdr:col>38</xdr:col>
      <xdr:colOff>456223</xdr:colOff>
      <xdr:row>65</xdr:row>
      <xdr:rowOff>127719</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127719</xdr:rowOff>
    </xdr:from>
    <xdr:to>
      <xdr:col>38</xdr:col>
      <xdr:colOff>532423</xdr:colOff>
      <xdr:row>65</xdr:row>
      <xdr:rowOff>127719</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23036</xdr:rowOff>
    </xdr:from>
    <xdr:to>
      <xdr:col>38</xdr:col>
      <xdr:colOff>532423</xdr:colOff>
      <xdr:row>59</xdr:row>
      <xdr:rowOff>292850</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84338</xdr:rowOff>
    </xdr:from>
    <xdr:to>
      <xdr:col>3</xdr:col>
      <xdr:colOff>304800</xdr:colOff>
      <xdr:row>32</xdr:row>
      <xdr:rowOff>7894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222158</xdr:rowOff>
    </xdr:from>
    <xdr:to>
      <xdr:col>20</xdr:col>
      <xdr:colOff>117134</xdr:colOff>
      <xdr:row>37</xdr:row>
      <xdr:rowOff>48106</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23867</xdr:rowOff>
    </xdr:from>
    <xdr:to>
      <xdr:col>38</xdr:col>
      <xdr:colOff>608623</xdr:colOff>
      <xdr:row>59</xdr:row>
      <xdr:rowOff>292850</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23867</xdr:rowOff>
    </xdr:from>
    <xdr:to>
      <xdr:col>38</xdr:col>
      <xdr:colOff>456223</xdr:colOff>
      <xdr:row>69</xdr:row>
      <xdr:rowOff>251538</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127719</xdr:rowOff>
    </xdr:from>
    <xdr:to>
      <xdr:col>38</xdr:col>
      <xdr:colOff>456223</xdr:colOff>
      <xdr:row>65</xdr:row>
      <xdr:rowOff>127719</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127719</xdr:rowOff>
    </xdr:from>
    <xdr:to>
      <xdr:col>38</xdr:col>
      <xdr:colOff>532423</xdr:colOff>
      <xdr:row>65</xdr:row>
      <xdr:rowOff>127719</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23867</xdr:rowOff>
    </xdr:from>
    <xdr:to>
      <xdr:col>38</xdr:col>
      <xdr:colOff>532423</xdr:colOff>
      <xdr:row>59</xdr:row>
      <xdr:rowOff>292850</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84338</xdr:rowOff>
    </xdr:from>
    <xdr:to>
      <xdr:col>3</xdr:col>
      <xdr:colOff>304800</xdr:colOff>
      <xdr:row>32</xdr:row>
      <xdr:rowOff>7894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222158</xdr:rowOff>
    </xdr:from>
    <xdr:to>
      <xdr:col>20</xdr:col>
      <xdr:colOff>113324</xdr:colOff>
      <xdr:row>37</xdr:row>
      <xdr:rowOff>48106</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23867</xdr:rowOff>
    </xdr:from>
    <xdr:to>
      <xdr:col>38</xdr:col>
      <xdr:colOff>608623</xdr:colOff>
      <xdr:row>59</xdr:row>
      <xdr:rowOff>292850</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23867</xdr:rowOff>
    </xdr:from>
    <xdr:to>
      <xdr:col>38</xdr:col>
      <xdr:colOff>456223</xdr:colOff>
      <xdr:row>69</xdr:row>
      <xdr:rowOff>251538</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127719</xdr:rowOff>
    </xdr:from>
    <xdr:to>
      <xdr:col>38</xdr:col>
      <xdr:colOff>456223</xdr:colOff>
      <xdr:row>65</xdr:row>
      <xdr:rowOff>127719</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127719</xdr:rowOff>
    </xdr:from>
    <xdr:to>
      <xdr:col>38</xdr:col>
      <xdr:colOff>532423</xdr:colOff>
      <xdr:row>65</xdr:row>
      <xdr:rowOff>127719</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23867</xdr:rowOff>
    </xdr:from>
    <xdr:to>
      <xdr:col>38</xdr:col>
      <xdr:colOff>532423</xdr:colOff>
      <xdr:row>59</xdr:row>
      <xdr:rowOff>292850</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84338</xdr:rowOff>
    </xdr:from>
    <xdr:to>
      <xdr:col>3</xdr:col>
      <xdr:colOff>304800</xdr:colOff>
      <xdr:row>32</xdr:row>
      <xdr:rowOff>7894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222158</xdr:rowOff>
    </xdr:from>
    <xdr:to>
      <xdr:col>20</xdr:col>
      <xdr:colOff>113324</xdr:colOff>
      <xdr:row>37</xdr:row>
      <xdr:rowOff>48106</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11967</xdr:rowOff>
    </xdr:from>
    <xdr:to>
      <xdr:col>40</xdr:col>
      <xdr:colOff>349885</xdr:colOff>
      <xdr:row>68</xdr:row>
      <xdr:rowOff>80620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68</xdr:row>
      <xdr:rowOff>343394</xdr:rowOff>
    </xdr:from>
    <xdr:to>
      <xdr:col>40</xdr:col>
      <xdr:colOff>228600</xdr:colOff>
      <xdr:row>84</xdr:row>
      <xdr:rowOff>149486</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66004</xdr:rowOff>
    </xdr:from>
    <xdr:to>
      <xdr:col>38</xdr:col>
      <xdr:colOff>457200</xdr:colOff>
      <xdr:row>63</xdr:row>
      <xdr:rowOff>8871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66004</xdr:rowOff>
    </xdr:from>
    <xdr:to>
      <xdr:col>38</xdr:col>
      <xdr:colOff>533400</xdr:colOff>
      <xdr:row>63</xdr:row>
      <xdr:rowOff>8871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68</xdr:row>
      <xdr:rowOff>231380</xdr:rowOff>
    </xdr:from>
    <xdr:to>
      <xdr:col>40</xdr:col>
      <xdr:colOff>228600</xdr:colOff>
      <xdr:row>73</xdr:row>
      <xdr:rowOff>108844</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74763</xdr:rowOff>
    </xdr:from>
    <xdr:to>
      <xdr:col>3</xdr:col>
      <xdr:colOff>304800</xdr:colOff>
      <xdr:row>33</xdr:row>
      <xdr:rowOff>12456</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83185</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27053</xdr:rowOff>
    </xdr:from>
    <xdr:to>
      <xdr:col>20</xdr:col>
      <xdr:colOff>152400</xdr:colOff>
      <xdr:row>47</xdr:row>
      <xdr:rowOff>551521</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159890</xdr:rowOff>
    </xdr:from>
    <xdr:to>
      <xdr:col>20</xdr:col>
      <xdr:colOff>311785</xdr:colOff>
      <xdr:row>42</xdr:row>
      <xdr:rowOff>130871</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77881</xdr:rowOff>
    </xdr:from>
    <xdr:to>
      <xdr:col>40</xdr:col>
      <xdr:colOff>342900</xdr:colOff>
      <xdr:row>81</xdr:row>
      <xdr:rowOff>122331</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113</xdr:row>
      <xdr:rowOff>126066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342266</xdr:rowOff>
    </xdr:from>
    <xdr:to>
      <xdr:col>38</xdr:col>
      <xdr:colOff>450215</xdr:colOff>
      <xdr:row>77</xdr:row>
      <xdr:rowOff>286310</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342266</xdr:rowOff>
    </xdr:from>
    <xdr:to>
      <xdr:col>38</xdr:col>
      <xdr:colOff>533400</xdr:colOff>
      <xdr:row>77</xdr:row>
      <xdr:rowOff>286310</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90</xdr:row>
      <xdr:rowOff>143249</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154566</xdr:rowOff>
    </xdr:from>
    <xdr:to>
      <xdr:col>3</xdr:col>
      <xdr:colOff>304800</xdr:colOff>
      <xdr:row>42</xdr:row>
      <xdr:rowOff>100293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19537</xdr:rowOff>
    </xdr:from>
    <xdr:to>
      <xdr:col>20</xdr:col>
      <xdr:colOff>145415</xdr:colOff>
      <xdr:row>64</xdr:row>
      <xdr:rowOff>88638</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14</xdr:row>
      <xdr:rowOff>107315</xdr:rowOff>
    </xdr:from>
    <xdr:to>
      <xdr:col>3</xdr:col>
      <xdr:colOff>304800</xdr:colOff>
      <xdr:row>18</xdr:row>
      <xdr:rowOff>69215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76200</xdr:rowOff>
    </xdr:from>
    <xdr:to>
      <xdr:col>3</xdr:col>
      <xdr:colOff>304800</xdr:colOff>
      <xdr:row>20</xdr:row>
      <xdr:rowOff>69215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47</xdr:row>
      <xdr:rowOff>145191</xdr:rowOff>
    </xdr:from>
    <xdr:to>
      <xdr:col>3</xdr:col>
      <xdr:colOff>304800</xdr:colOff>
      <xdr:row>47</xdr:row>
      <xdr:rowOff>888815</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47</xdr:row>
      <xdr:rowOff>516889</xdr:rowOff>
    </xdr:from>
    <xdr:to>
      <xdr:col>20</xdr:col>
      <xdr:colOff>335915</xdr:colOff>
      <xdr:row>48</xdr:row>
      <xdr:rowOff>173989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257175</xdr:rowOff>
    </xdr:from>
    <xdr:to>
      <xdr:col>40</xdr:col>
      <xdr:colOff>342900</xdr:colOff>
      <xdr:row>82</xdr:row>
      <xdr:rowOff>140634</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115</xdr:row>
      <xdr:rowOff>97491</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164165</xdr:rowOff>
    </xdr:from>
    <xdr:to>
      <xdr:col>38</xdr:col>
      <xdr:colOff>438150</xdr:colOff>
      <xdr:row>78</xdr:row>
      <xdr:rowOff>115981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164165</xdr:rowOff>
    </xdr:from>
    <xdr:to>
      <xdr:col>38</xdr:col>
      <xdr:colOff>542925</xdr:colOff>
      <xdr:row>78</xdr:row>
      <xdr:rowOff>115981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91</xdr:row>
      <xdr:rowOff>161552</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142501</xdr:rowOff>
    </xdr:from>
    <xdr:to>
      <xdr:col>3</xdr:col>
      <xdr:colOff>304800</xdr:colOff>
      <xdr:row>42</xdr:row>
      <xdr:rowOff>100293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11767</xdr:rowOff>
    </xdr:from>
    <xdr:to>
      <xdr:col>20</xdr:col>
      <xdr:colOff>133350</xdr:colOff>
      <xdr:row>64</xdr:row>
      <xdr:rowOff>74332</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45</xdr:row>
      <xdr:rowOff>152213</xdr:rowOff>
    </xdr:from>
    <xdr:to>
      <xdr:col>3</xdr:col>
      <xdr:colOff>314325</xdr:colOff>
      <xdr:row>47</xdr:row>
      <xdr:rowOff>718297</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812615</xdr:rowOff>
    </xdr:from>
    <xdr:to>
      <xdr:col>20</xdr:col>
      <xdr:colOff>333375</xdr:colOff>
      <xdr:row>49</xdr:row>
      <xdr:rowOff>172011</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71</xdr:row>
      <xdr:rowOff>95810</xdr:rowOff>
    </xdr:from>
    <xdr:to>
      <xdr:col>40</xdr:col>
      <xdr:colOff>342900</xdr:colOff>
      <xdr:row>74</xdr:row>
      <xdr:rowOff>15876</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110379</xdr:rowOff>
    </xdr:from>
    <xdr:to>
      <xdr:col>40</xdr:col>
      <xdr:colOff>228600</xdr:colOff>
      <xdr:row>100</xdr:row>
      <xdr:rowOff>67795</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69</xdr:row>
      <xdr:rowOff>295089</xdr:rowOff>
    </xdr:from>
    <xdr:to>
      <xdr:col>38</xdr:col>
      <xdr:colOff>438150</xdr:colOff>
      <xdr:row>71</xdr:row>
      <xdr:rowOff>80495</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69</xdr:row>
      <xdr:rowOff>295089</xdr:rowOff>
    </xdr:from>
    <xdr:to>
      <xdr:col>38</xdr:col>
      <xdr:colOff>533400</xdr:colOff>
      <xdr:row>71</xdr:row>
      <xdr:rowOff>80495</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110379</xdr:rowOff>
    </xdr:from>
    <xdr:to>
      <xdr:col>40</xdr:col>
      <xdr:colOff>228600</xdr:colOff>
      <xdr:row>77</xdr:row>
      <xdr:rowOff>284069</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142501</xdr:rowOff>
    </xdr:from>
    <xdr:to>
      <xdr:col>3</xdr:col>
      <xdr:colOff>304800</xdr:colOff>
      <xdr:row>42</xdr:row>
      <xdr:rowOff>100293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11767</xdr:rowOff>
    </xdr:from>
    <xdr:to>
      <xdr:col>20</xdr:col>
      <xdr:colOff>133350</xdr:colOff>
      <xdr:row>64</xdr:row>
      <xdr:rowOff>59017</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101712</xdr:rowOff>
    </xdr:from>
    <xdr:to>
      <xdr:col>40</xdr:col>
      <xdr:colOff>342900</xdr:colOff>
      <xdr:row>62</xdr:row>
      <xdr:rowOff>143435</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24242</xdr:rowOff>
    </xdr:from>
    <xdr:to>
      <xdr:col>40</xdr:col>
      <xdr:colOff>228600</xdr:colOff>
      <xdr:row>78</xdr:row>
      <xdr:rowOff>181124</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129988</xdr:rowOff>
    </xdr:from>
    <xdr:to>
      <xdr:col>38</xdr:col>
      <xdr:colOff>419100</xdr:colOff>
      <xdr:row>56</xdr:row>
      <xdr:rowOff>154641</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129988</xdr:rowOff>
    </xdr:from>
    <xdr:to>
      <xdr:col>38</xdr:col>
      <xdr:colOff>533400</xdr:colOff>
      <xdr:row>56</xdr:row>
      <xdr:rowOff>154641</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24242</xdr:rowOff>
    </xdr:from>
    <xdr:to>
      <xdr:col>40</xdr:col>
      <xdr:colOff>228600</xdr:colOff>
      <xdr:row>62</xdr:row>
      <xdr:rowOff>41200</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58</xdr:row>
      <xdr:rowOff>134059</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89647</xdr:rowOff>
    </xdr:from>
    <xdr:to>
      <xdr:col>40</xdr:col>
      <xdr:colOff>342900</xdr:colOff>
      <xdr:row>62</xdr:row>
      <xdr:rowOff>143435</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13447</xdr:rowOff>
    </xdr:from>
    <xdr:to>
      <xdr:col>40</xdr:col>
      <xdr:colOff>228600</xdr:colOff>
      <xdr:row>78</xdr:row>
      <xdr:rowOff>170329</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129988</xdr:rowOff>
    </xdr:from>
    <xdr:to>
      <xdr:col>38</xdr:col>
      <xdr:colOff>419100</xdr:colOff>
      <xdr:row>56</xdr:row>
      <xdr:rowOff>154641</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129988</xdr:rowOff>
    </xdr:from>
    <xdr:to>
      <xdr:col>38</xdr:col>
      <xdr:colOff>533400</xdr:colOff>
      <xdr:row>56</xdr:row>
      <xdr:rowOff>154641</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13447</xdr:rowOff>
    </xdr:from>
    <xdr:to>
      <xdr:col>40</xdr:col>
      <xdr:colOff>228600</xdr:colOff>
      <xdr:row>62</xdr:row>
      <xdr:rowOff>29135</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58</xdr:row>
      <xdr:rowOff>123264</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89647</xdr:rowOff>
    </xdr:from>
    <xdr:to>
      <xdr:col>40</xdr:col>
      <xdr:colOff>342900</xdr:colOff>
      <xdr:row>62</xdr:row>
      <xdr:rowOff>143435</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13447</xdr:rowOff>
    </xdr:from>
    <xdr:to>
      <xdr:col>40</xdr:col>
      <xdr:colOff>228600</xdr:colOff>
      <xdr:row>78</xdr:row>
      <xdr:rowOff>170329</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129988</xdr:rowOff>
    </xdr:from>
    <xdr:to>
      <xdr:col>38</xdr:col>
      <xdr:colOff>419100</xdr:colOff>
      <xdr:row>56</xdr:row>
      <xdr:rowOff>154641</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129988</xdr:rowOff>
    </xdr:from>
    <xdr:to>
      <xdr:col>38</xdr:col>
      <xdr:colOff>533400</xdr:colOff>
      <xdr:row>56</xdr:row>
      <xdr:rowOff>154641</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13447</xdr:rowOff>
    </xdr:from>
    <xdr:to>
      <xdr:col>40</xdr:col>
      <xdr:colOff>228600</xdr:colOff>
      <xdr:row>62</xdr:row>
      <xdr:rowOff>29135</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58</xdr:row>
      <xdr:rowOff>123264</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155938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224790</xdr:colOff>
      <xdr:row>59</xdr:row>
      <xdr:rowOff>157843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110490</xdr:rowOff>
    </xdr:from>
    <xdr:to>
      <xdr:col>21</xdr:col>
      <xdr:colOff>224790</xdr:colOff>
      <xdr:row>21</xdr:row>
      <xdr:rowOff>80010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5261</xdr:rowOff>
    </xdr:from>
    <xdr:to>
      <xdr:col>22</xdr:col>
      <xdr:colOff>224790</xdr:colOff>
      <xdr:row>46</xdr:row>
      <xdr:rowOff>34290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157843</xdr:rowOff>
    </xdr:from>
    <xdr:to>
      <xdr:col>21</xdr:col>
      <xdr:colOff>224790</xdr:colOff>
      <xdr:row>59</xdr:row>
      <xdr:rowOff>155938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80010</xdr:rowOff>
    </xdr:from>
    <xdr:to>
      <xdr:col>21</xdr:col>
      <xdr:colOff>224790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5261</xdr:rowOff>
    </xdr:from>
    <xdr:to>
      <xdr:col>22</xdr:col>
      <xdr:colOff>224790</xdr:colOff>
      <xdr:row>46</xdr:row>
      <xdr:rowOff>34290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194310</xdr:colOff>
      <xdr:row>59</xdr:row>
      <xdr:rowOff>155938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194310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156210</xdr:rowOff>
    </xdr:from>
    <xdr:to>
      <xdr:col>22</xdr:col>
      <xdr:colOff>194310</xdr:colOff>
      <xdr:row>46</xdr:row>
      <xdr:rowOff>3810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190500</xdr:colOff>
      <xdr:row>59</xdr:row>
      <xdr:rowOff>155938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190500</xdr:colOff>
      <xdr:row>59</xdr:row>
      <xdr:rowOff>155938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179070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179070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179070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70202</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70202</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21</xdr:row>
      <xdr:rowOff>124883</xdr:rowOff>
    </xdr:from>
    <xdr:to>
      <xdr:col>4</xdr:col>
      <xdr:colOff>453390</xdr:colOff>
      <xdr:row>25</xdr:row>
      <xdr:rowOff>155645</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6209</xdr:rowOff>
    </xdr:from>
    <xdr:to>
      <xdr:col>4</xdr:col>
      <xdr:colOff>419100</xdr:colOff>
      <xdr:row>22</xdr:row>
      <xdr:rowOff>109924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114158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106538</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221887</xdr:colOff>
      <xdr:row>99</xdr:row>
      <xdr:rowOff>65156</xdr:rowOff>
    </xdr:from>
    <xdr:to>
      <xdr:col>10</xdr:col>
      <xdr:colOff>221887</xdr:colOff>
      <xdr:row>99</xdr:row>
      <xdr:rowOff>65156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99</xdr:row>
      <xdr:rowOff>65156</xdr:rowOff>
    </xdr:from>
    <xdr:to>
      <xdr:col>13</xdr:col>
      <xdr:colOff>221887</xdr:colOff>
      <xdr:row>99</xdr:row>
      <xdr:rowOff>65156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49</xdr:row>
      <xdr:rowOff>152400</xdr:rowOff>
    </xdr:from>
    <xdr:to>
      <xdr:col>3</xdr:col>
      <xdr:colOff>145415</xdr:colOff>
      <xdr:row>53</xdr:row>
      <xdr:rowOff>159385</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99</xdr:row>
      <xdr:rowOff>65156</xdr:rowOff>
    </xdr:from>
    <xdr:to>
      <xdr:col>10</xdr:col>
      <xdr:colOff>221887</xdr:colOff>
      <xdr:row>99</xdr:row>
      <xdr:rowOff>65156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99</xdr:row>
      <xdr:rowOff>65156</xdr:rowOff>
    </xdr:from>
    <xdr:to>
      <xdr:col>13</xdr:col>
      <xdr:colOff>221887</xdr:colOff>
      <xdr:row>99</xdr:row>
      <xdr:rowOff>65156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76</xdr:row>
      <xdr:rowOff>149407</xdr:rowOff>
    </xdr:from>
    <xdr:to>
      <xdr:col>10</xdr:col>
      <xdr:colOff>221887</xdr:colOff>
      <xdr:row>76</xdr:row>
      <xdr:rowOff>149407</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76</xdr:row>
      <xdr:rowOff>149407</xdr:rowOff>
    </xdr:from>
    <xdr:to>
      <xdr:col>13</xdr:col>
      <xdr:colOff>221887</xdr:colOff>
      <xdr:row>76</xdr:row>
      <xdr:rowOff>149407</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76</xdr:row>
      <xdr:rowOff>149407</xdr:rowOff>
    </xdr:from>
    <xdr:to>
      <xdr:col>10</xdr:col>
      <xdr:colOff>221887</xdr:colOff>
      <xdr:row>76</xdr:row>
      <xdr:rowOff>149407</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76</xdr:row>
      <xdr:rowOff>149407</xdr:rowOff>
    </xdr:from>
    <xdr:to>
      <xdr:col>13</xdr:col>
      <xdr:colOff>221887</xdr:colOff>
      <xdr:row>76</xdr:row>
      <xdr:rowOff>149407</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76</xdr:row>
      <xdr:rowOff>149407</xdr:rowOff>
    </xdr:from>
    <xdr:to>
      <xdr:col>10</xdr:col>
      <xdr:colOff>221887</xdr:colOff>
      <xdr:row>76</xdr:row>
      <xdr:rowOff>149407</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76</xdr:row>
      <xdr:rowOff>149407</xdr:rowOff>
    </xdr:from>
    <xdr:to>
      <xdr:col>13</xdr:col>
      <xdr:colOff>221887</xdr:colOff>
      <xdr:row>76</xdr:row>
      <xdr:rowOff>149407</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76</xdr:row>
      <xdr:rowOff>149407</xdr:rowOff>
    </xdr:from>
    <xdr:to>
      <xdr:col>10</xdr:col>
      <xdr:colOff>221887</xdr:colOff>
      <xdr:row>76</xdr:row>
      <xdr:rowOff>149407</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76</xdr:row>
      <xdr:rowOff>149407</xdr:rowOff>
    </xdr:from>
    <xdr:to>
      <xdr:col>13</xdr:col>
      <xdr:colOff>221887</xdr:colOff>
      <xdr:row>76</xdr:row>
      <xdr:rowOff>149407</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77</xdr:row>
      <xdr:rowOff>25853</xdr:rowOff>
    </xdr:from>
    <xdr:to>
      <xdr:col>10</xdr:col>
      <xdr:colOff>221887</xdr:colOff>
      <xdr:row>77</xdr:row>
      <xdr:rowOff>25853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77</xdr:row>
      <xdr:rowOff>25853</xdr:rowOff>
    </xdr:from>
    <xdr:to>
      <xdr:col>13</xdr:col>
      <xdr:colOff>221887</xdr:colOff>
      <xdr:row>77</xdr:row>
      <xdr:rowOff>25853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77</xdr:row>
      <xdr:rowOff>25853</xdr:rowOff>
    </xdr:from>
    <xdr:to>
      <xdr:col>10</xdr:col>
      <xdr:colOff>221887</xdr:colOff>
      <xdr:row>77</xdr:row>
      <xdr:rowOff>25853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77</xdr:row>
      <xdr:rowOff>25853</xdr:rowOff>
    </xdr:from>
    <xdr:to>
      <xdr:col>13</xdr:col>
      <xdr:colOff>221887</xdr:colOff>
      <xdr:row>77</xdr:row>
      <xdr:rowOff>25853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77</xdr:row>
      <xdr:rowOff>25853</xdr:rowOff>
    </xdr:from>
    <xdr:to>
      <xdr:col>10</xdr:col>
      <xdr:colOff>228600</xdr:colOff>
      <xdr:row>77</xdr:row>
      <xdr:rowOff>25853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77</xdr:row>
      <xdr:rowOff>25853</xdr:rowOff>
    </xdr:from>
    <xdr:to>
      <xdr:col>13</xdr:col>
      <xdr:colOff>228600</xdr:colOff>
      <xdr:row>77</xdr:row>
      <xdr:rowOff>25853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77</xdr:row>
      <xdr:rowOff>25853</xdr:rowOff>
    </xdr:from>
    <xdr:to>
      <xdr:col>10</xdr:col>
      <xdr:colOff>228600</xdr:colOff>
      <xdr:row>77</xdr:row>
      <xdr:rowOff>25853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77</xdr:row>
      <xdr:rowOff>25853</xdr:rowOff>
    </xdr:from>
    <xdr:to>
      <xdr:col>13</xdr:col>
      <xdr:colOff>228600</xdr:colOff>
      <xdr:row>77</xdr:row>
      <xdr:rowOff>25853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201295</xdr:colOff>
      <xdr:row>76</xdr:row>
      <xdr:rowOff>198664</xdr:rowOff>
    </xdr:from>
    <xdr:to>
      <xdr:col>10</xdr:col>
      <xdr:colOff>201295</xdr:colOff>
      <xdr:row>76</xdr:row>
      <xdr:rowOff>198664</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125095</xdr:colOff>
      <xdr:row>76</xdr:row>
      <xdr:rowOff>198664</xdr:rowOff>
    </xdr:from>
    <xdr:to>
      <xdr:col>13</xdr:col>
      <xdr:colOff>201295</xdr:colOff>
      <xdr:row>76</xdr:row>
      <xdr:rowOff>198664</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86995</xdr:colOff>
      <xdr:row>27</xdr:row>
      <xdr:rowOff>152400</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544195</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544195</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106952</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76</xdr:row>
      <xdr:rowOff>198664</xdr:rowOff>
    </xdr:from>
    <xdr:to>
      <xdr:col>10</xdr:col>
      <xdr:colOff>190500</xdr:colOff>
      <xdr:row>76</xdr:row>
      <xdr:rowOff>198664</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76</xdr:row>
      <xdr:rowOff>198664</xdr:rowOff>
    </xdr:from>
    <xdr:to>
      <xdr:col>13</xdr:col>
      <xdr:colOff>190500</xdr:colOff>
      <xdr:row>76</xdr:row>
      <xdr:rowOff>198664</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83457</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76</xdr:row>
      <xdr:rowOff>198664</xdr:rowOff>
    </xdr:from>
    <xdr:to>
      <xdr:col>10</xdr:col>
      <xdr:colOff>190500</xdr:colOff>
      <xdr:row>76</xdr:row>
      <xdr:rowOff>198664</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76</xdr:row>
      <xdr:rowOff>198664</xdr:rowOff>
    </xdr:from>
    <xdr:to>
      <xdr:col>13</xdr:col>
      <xdr:colOff>190500</xdr:colOff>
      <xdr:row>76</xdr:row>
      <xdr:rowOff>198664</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83457</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77</xdr:row>
      <xdr:rowOff>121479</xdr:rowOff>
    </xdr:from>
    <xdr:to>
      <xdr:col>5</xdr:col>
      <xdr:colOff>190500</xdr:colOff>
      <xdr:row>83</xdr:row>
      <xdr:rowOff>202759</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21491</xdr:rowOff>
    </xdr:from>
    <xdr:to>
      <xdr:col>5</xdr:col>
      <xdr:colOff>190500</xdr:colOff>
      <xdr:row>84</xdr:row>
      <xdr:rowOff>170233</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84777</xdr:rowOff>
    </xdr:from>
    <xdr:to>
      <xdr:col>5</xdr:col>
      <xdr:colOff>190500</xdr:colOff>
      <xdr:row>85</xdr:row>
      <xdr:rowOff>83297</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123080</xdr:rowOff>
    </xdr:from>
    <xdr:to>
      <xdr:col>5</xdr:col>
      <xdr:colOff>190500</xdr:colOff>
      <xdr:row>86</xdr:row>
      <xdr:rowOff>103276</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105</xdr:row>
      <xdr:rowOff>49531</xdr:rowOff>
    </xdr:from>
    <xdr:to>
      <xdr:col>5</xdr:col>
      <xdr:colOff>190500</xdr:colOff>
      <xdr:row>133</xdr:row>
      <xdr:rowOff>12094</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105</xdr:row>
      <xdr:rowOff>159899</xdr:rowOff>
    </xdr:from>
    <xdr:to>
      <xdr:col>5</xdr:col>
      <xdr:colOff>190500</xdr:colOff>
      <xdr:row>117</xdr:row>
      <xdr:rowOff>29170</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77</xdr:row>
      <xdr:rowOff>123656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72</xdr:row>
      <xdr:rowOff>16179</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64</xdr:row>
      <xdr:rowOff>74216</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342407</xdr:rowOff>
    </xdr:from>
    <xdr:to>
      <xdr:col>5</xdr:col>
      <xdr:colOff>190500</xdr:colOff>
      <xdr:row>63</xdr:row>
      <xdr:rowOff>102882</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67350</xdr:rowOff>
    </xdr:from>
    <xdr:to>
      <xdr:col>5</xdr:col>
      <xdr:colOff>190500</xdr:colOff>
      <xdr:row>62</xdr:row>
      <xdr:rowOff>103818</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10855</xdr:rowOff>
    </xdr:from>
    <xdr:to>
      <xdr:col>6</xdr:col>
      <xdr:colOff>38100</xdr:colOff>
      <xdr:row>114</xdr:row>
      <xdr:rowOff>106087</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145839</xdr:rowOff>
    </xdr:from>
    <xdr:to>
      <xdr:col>19</xdr:col>
      <xdr:colOff>637116</xdr:colOff>
      <xdr:row>15</xdr:row>
      <xdr:rowOff>140123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9497</xdr:rowOff>
    </xdr:from>
    <xdr:to>
      <xdr:col>5</xdr:col>
      <xdr:colOff>190500</xdr:colOff>
      <xdr:row>62</xdr:row>
      <xdr:rowOff>102457</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40267</xdr:rowOff>
    </xdr:from>
    <xdr:to>
      <xdr:col>5</xdr:col>
      <xdr:colOff>190500</xdr:colOff>
      <xdr:row>63</xdr:row>
      <xdr:rowOff>36569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50014</xdr:rowOff>
    </xdr:from>
    <xdr:to>
      <xdr:col>5</xdr:col>
      <xdr:colOff>190500</xdr:colOff>
      <xdr:row>64</xdr:row>
      <xdr:rowOff>36933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301767</xdr:rowOff>
    </xdr:from>
    <xdr:to>
      <xdr:col>5</xdr:col>
      <xdr:colOff>190500</xdr:colOff>
      <xdr:row>65</xdr:row>
      <xdr:rowOff>35389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86</xdr:row>
      <xdr:rowOff>179344</xdr:rowOff>
    </xdr:from>
    <xdr:to>
      <xdr:col>5</xdr:col>
      <xdr:colOff>190500</xdr:colOff>
      <xdr:row>111</xdr:row>
      <xdr:rowOff>142713</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161663</xdr:rowOff>
    </xdr:from>
    <xdr:to>
      <xdr:col>5</xdr:col>
      <xdr:colOff>190500</xdr:colOff>
      <xdr:row>98</xdr:row>
      <xdr:rowOff>168518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57</xdr:row>
      <xdr:rowOff>39695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51</xdr:row>
      <xdr:rowOff>143633</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44</xdr:row>
      <xdr:rowOff>383349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69669</xdr:rowOff>
    </xdr:from>
    <xdr:to>
      <xdr:col>5</xdr:col>
      <xdr:colOff>190500</xdr:colOff>
      <xdr:row>44</xdr:row>
      <xdr:rowOff>229616</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209419</xdr:rowOff>
    </xdr:from>
    <xdr:to>
      <xdr:col>5</xdr:col>
      <xdr:colOff>190500</xdr:colOff>
      <xdr:row>44</xdr:row>
      <xdr:rowOff>47806</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47222</xdr:rowOff>
    </xdr:from>
    <xdr:to>
      <xdr:col>6</xdr:col>
      <xdr:colOff>38100</xdr:colOff>
      <xdr:row>96</xdr:row>
      <xdr:rowOff>144244</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107739</xdr:rowOff>
    </xdr:from>
    <xdr:to>
      <xdr:col>19</xdr:col>
      <xdr:colOff>599016</xdr:colOff>
      <xdr:row>15</xdr:row>
      <xdr:rowOff>140123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59618</xdr:rowOff>
    </xdr:from>
    <xdr:to>
      <xdr:col>5</xdr:col>
      <xdr:colOff>190500</xdr:colOff>
      <xdr:row>86</xdr:row>
      <xdr:rowOff>40501</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82</xdr:row>
      <xdr:rowOff>67239</xdr:rowOff>
    </xdr:from>
    <xdr:to>
      <xdr:col>5</xdr:col>
      <xdr:colOff>190500</xdr:colOff>
      <xdr:row>86</xdr:row>
      <xdr:rowOff>179494</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84386</xdr:rowOff>
    </xdr:from>
    <xdr:to>
      <xdr:col>5</xdr:col>
      <xdr:colOff>190500</xdr:colOff>
      <xdr:row>87</xdr:row>
      <xdr:rowOff>84806</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93488</xdr:rowOff>
    </xdr:from>
    <xdr:to>
      <xdr:col>5</xdr:col>
      <xdr:colOff>190500</xdr:colOff>
      <xdr:row>88</xdr:row>
      <xdr:rowOff>85231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108</xdr:row>
      <xdr:rowOff>83044</xdr:rowOff>
    </xdr:from>
    <xdr:to>
      <xdr:col>5</xdr:col>
      <xdr:colOff>190500</xdr:colOff>
      <xdr:row>124</xdr:row>
      <xdr:rowOff>123330</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63</xdr:row>
      <xdr:rowOff>1483</xdr:rowOff>
    </xdr:from>
    <xdr:to>
      <xdr:col>5</xdr:col>
      <xdr:colOff>190500</xdr:colOff>
      <xdr:row>83</xdr:row>
      <xdr:rowOff>121852</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62</xdr:row>
      <xdr:rowOff>73943</xdr:rowOff>
    </xdr:from>
    <xdr:to>
      <xdr:col>5</xdr:col>
      <xdr:colOff>190500</xdr:colOff>
      <xdr:row>77</xdr:row>
      <xdr:rowOff>107385</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103154</xdr:rowOff>
    </xdr:from>
    <xdr:to>
      <xdr:col>5</xdr:col>
      <xdr:colOff>190500</xdr:colOff>
      <xdr:row>69</xdr:row>
      <xdr:rowOff>94122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117405</xdr:rowOff>
    </xdr:from>
    <xdr:to>
      <xdr:col>5</xdr:col>
      <xdr:colOff>190500</xdr:colOff>
      <xdr:row>68</xdr:row>
      <xdr:rowOff>160726</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67</xdr:row>
      <xdr:rowOff>122979</xdr:rowOff>
    </xdr:from>
    <xdr:to>
      <xdr:col>5</xdr:col>
      <xdr:colOff>190500</xdr:colOff>
      <xdr:row>67</xdr:row>
      <xdr:rowOff>122979</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83044</xdr:rowOff>
    </xdr:from>
    <xdr:to>
      <xdr:col>6</xdr:col>
      <xdr:colOff>38100</xdr:colOff>
      <xdr:row>122</xdr:row>
      <xdr:rowOff>74224</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102236</xdr:rowOff>
    </xdr:from>
    <xdr:to>
      <xdr:col>18</xdr:col>
      <xdr:colOff>762000</xdr:colOff>
      <xdr:row>31</xdr:row>
      <xdr:rowOff>140335</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102235</xdr:rowOff>
    </xdr:from>
    <xdr:to>
      <xdr:col>19</xdr:col>
      <xdr:colOff>713316</xdr:colOff>
      <xdr:row>35</xdr:row>
      <xdr:rowOff>140334</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59</xdr:row>
      <xdr:rowOff>263667</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66534</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241161</xdr:rowOff>
    </xdr:from>
    <xdr:to>
      <xdr:col>5</xdr:col>
      <xdr:colOff>190500</xdr:colOff>
      <xdr:row>98</xdr:row>
      <xdr:rowOff>146049</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96379</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43</xdr:row>
      <xdr:rowOff>507435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43</xdr:row>
      <xdr:rowOff>469335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246521</xdr:rowOff>
    </xdr:from>
    <xdr:to>
      <xdr:col>5</xdr:col>
      <xdr:colOff>190500</xdr:colOff>
      <xdr:row>43</xdr:row>
      <xdr:rowOff>284621</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241161</xdr:rowOff>
    </xdr:from>
    <xdr:to>
      <xdr:col>6</xdr:col>
      <xdr:colOff>38100</xdr:colOff>
      <xdr:row>96</xdr:row>
      <xdr:rowOff>66884</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59</xdr:row>
      <xdr:rowOff>263667</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66534</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241161</xdr:rowOff>
    </xdr:from>
    <xdr:to>
      <xdr:col>5</xdr:col>
      <xdr:colOff>190500</xdr:colOff>
      <xdr:row>98</xdr:row>
      <xdr:rowOff>146049</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96379</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43</xdr:row>
      <xdr:rowOff>507435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43</xdr:row>
      <xdr:rowOff>469335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246521</xdr:rowOff>
    </xdr:from>
    <xdr:to>
      <xdr:col>5</xdr:col>
      <xdr:colOff>190500</xdr:colOff>
      <xdr:row>43</xdr:row>
      <xdr:rowOff>246521</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241161</xdr:rowOff>
    </xdr:from>
    <xdr:to>
      <xdr:col>6</xdr:col>
      <xdr:colOff>38100</xdr:colOff>
      <xdr:row>96</xdr:row>
      <xdr:rowOff>66884</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59</xdr:row>
      <xdr:rowOff>263667</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66534</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203060</xdr:rowOff>
    </xdr:from>
    <xdr:to>
      <xdr:col>5</xdr:col>
      <xdr:colOff>190500</xdr:colOff>
      <xdr:row>98</xdr:row>
      <xdr:rowOff>146049</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96379</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43</xdr:row>
      <xdr:rowOff>507435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43</xdr:row>
      <xdr:rowOff>469335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246521</xdr:rowOff>
    </xdr:from>
    <xdr:to>
      <xdr:col>5</xdr:col>
      <xdr:colOff>190500</xdr:colOff>
      <xdr:row>43</xdr:row>
      <xdr:rowOff>246521</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241161</xdr:rowOff>
    </xdr:from>
    <xdr:to>
      <xdr:col>6</xdr:col>
      <xdr:colOff>38100</xdr:colOff>
      <xdr:row>96</xdr:row>
      <xdr:rowOff>66884</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59</xdr:row>
      <xdr:rowOff>263667</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66534</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203060</xdr:rowOff>
    </xdr:from>
    <xdr:to>
      <xdr:col>5</xdr:col>
      <xdr:colOff>190500</xdr:colOff>
      <xdr:row>98</xdr:row>
      <xdr:rowOff>146049</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96379</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43</xdr:row>
      <xdr:rowOff>507435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43</xdr:row>
      <xdr:rowOff>469335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246521</xdr:rowOff>
    </xdr:from>
    <xdr:to>
      <xdr:col>5</xdr:col>
      <xdr:colOff>190500</xdr:colOff>
      <xdr:row>43</xdr:row>
      <xdr:rowOff>246521</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203060</xdr:rowOff>
    </xdr:from>
    <xdr:to>
      <xdr:col>6</xdr:col>
      <xdr:colOff>38100</xdr:colOff>
      <xdr:row>96</xdr:row>
      <xdr:rowOff>66884</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96</xdr:row>
      <xdr:rowOff>28361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43</xdr:row>
      <xdr:rowOff>285467</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43</xdr:row>
      <xdr:rowOff>506377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178012</xdr:rowOff>
    </xdr:from>
    <xdr:to>
      <xdr:col>5</xdr:col>
      <xdr:colOff>637540</xdr:colOff>
      <xdr:row>45</xdr:row>
      <xdr:rowOff>26459</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637540</xdr:colOff>
      <xdr:row>46</xdr:row>
      <xdr:rowOff>35702</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637540</xdr:colOff>
      <xdr:row>47</xdr:row>
      <xdr:rowOff>45154</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103154</xdr:rowOff>
    </xdr:from>
    <xdr:to>
      <xdr:col>5</xdr:col>
      <xdr:colOff>637540</xdr:colOff>
      <xdr:row>90</xdr:row>
      <xdr:rowOff>46919</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637540</xdr:colOff>
      <xdr:row>91</xdr:row>
      <xdr:rowOff>160302</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96</xdr:row>
      <xdr:rowOff>28361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43</xdr:row>
      <xdr:rowOff>285467</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43</xdr:row>
      <xdr:rowOff>506377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178012</xdr:rowOff>
    </xdr:from>
    <xdr:to>
      <xdr:col>5</xdr:col>
      <xdr:colOff>637540</xdr:colOff>
      <xdr:row>45</xdr:row>
      <xdr:rowOff>26459</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637540</xdr:colOff>
      <xdr:row>46</xdr:row>
      <xdr:rowOff>35702</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637540</xdr:colOff>
      <xdr:row>47</xdr:row>
      <xdr:rowOff>45154</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103154</xdr:rowOff>
    </xdr:from>
    <xdr:to>
      <xdr:col>5</xdr:col>
      <xdr:colOff>637540</xdr:colOff>
      <xdr:row>90</xdr:row>
      <xdr:rowOff>46919</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637540</xdr:colOff>
      <xdr:row>91</xdr:row>
      <xdr:rowOff>160302</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96</xdr:row>
      <xdr:rowOff>28361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43</xdr:row>
      <xdr:rowOff>285467</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43</xdr:row>
      <xdr:rowOff>506377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637540</xdr:colOff>
      <xdr:row>44</xdr:row>
      <xdr:rowOff>383046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637540</xdr:colOff>
      <xdr:row>46</xdr:row>
      <xdr:rowOff>12418</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637540</xdr:colOff>
      <xdr:row>47</xdr:row>
      <xdr:rowOff>45154</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637540</xdr:colOff>
      <xdr:row>65</xdr:row>
      <xdr:rowOff>142169</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637540</xdr:colOff>
      <xdr:row>66</xdr:row>
      <xdr:rowOff>116981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637540</xdr:colOff>
      <xdr:row>67</xdr:row>
      <xdr:rowOff>160654</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637540</xdr:colOff>
      <xdr:row>68</xdr:row>
      <xdr:rowOff>159456</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40501</xdr:rowOff>
    </xdr:from>
    <xdr:to>
      <xdr:col>5</xdr:col>
      <xdr:colOff>637540</xdr:colOff>
      <xdr:row>90</xdr:row>
      <xdr:rowOff>46919</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637540</xdr:colOff>
      <xdr:row>91</xdr:row>
      <xdr:rowOff>160302</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96</xdr:row>
      <xdr:rowOff>28361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43</xdr:row>
      <xdr:rowOff>285467</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43</xdr:row>
      <xdr:rowOff>506377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44</xdr:row>
      <xdr:rowOff>383046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609600</xdr:colOff>
      <xdr:row>46</xdr:row>
      <xdr:rowOff>12418</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609600</xdr:colOff>
      <xdr:row>47</xdr:row>
      <xdr:rowOff>45154</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40501</xdr:rowOff>
    </xdr:from>
    <xdr:to>
      <xdr:col>5</xdr:col>
      <xdr:colOff>609600</xdr:colOff>
      <xdr:row>90</xdr:row>
      <xdr:rowOff>46919</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609600</xdr:colOff>
      <xdr:row>91</xdr:row>
      <xdr:rowOff>160302</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96</xdr:row>
      <xdr:rowOff>28361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43</xdr:row>
      <xdr:rowOff>285467</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43</xdr:row>
      <xdr:rowOff>506377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44</xdr:row>
      <xdr:rowOff>383046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609600</xdr:colOff>
      <xdr:row>46</xdr:row>
      <xdr:rowOff>12418</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609600</xdr:colOff>
      <xdr:row>47</xdr:row>
      <xdr:rowOff>45154</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40501</xdr:rowOff>
    </xdr:from>
    <xdr:to>
      <xdr:col>5</xdr:col>
      <xdr:colOff>609600</xdr:colOff>
      <xdr:row>90</xdr:row>
      <xdr:rowOff>46919</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609600</xdr:colOff>
      <xdr:row>91</xdr:row>
      <xdr:rowOff>160302</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96</xdr:row>
      <xdr:rowOff>28361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43</xdr:row>
      <xdr:rowOff>285467</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43</xdr:row>
      <xdr:rowOff>506377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44</xdr:row>
      <xdr:rowOff>383046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609600</xdr:colOff>
      <xdr:row>46</xdr:row>
      <xdr:rowOff>12418</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609600</xdr:colOff>
      <xdr:row>47</xdr:row>
      <xdr:rowOff>45154</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40501</xdr:rowOff>
    </xdr:from>
    <xdr:to>
      <xdr:col>5</xdr:col>
      <xdr:colOff>609600</xdr:colOff>
      <xdr:row>90</xdr:row>
      <xdr:rowOff>46919</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609600</xdr:colOff>
      <xdr:row>91</xdr:row>
      <xdr:rowOff>160302</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217383</xdr:rowOff>
    </xdr:from>
    <xdr:to>
      <xdr:col>6</xdr:col>
      <xdr:colOff>38100</xdr:colOff>
      <xdr:row>99</xdr:row>
      <xdr:rowOff>139911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247791</xdr:rowOff>
    </xdr:from>
    <xdr:to>
      <xdr:col>5</xdr:col>
      <xdr:colOff>609600</xdr:colOff>
      <xdr:row>50</xdr:row>
      <xdr:rowOff>95532</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363362</xdr:rowOff>
    </xdr:from>
    <xdr:to>
      <xdr:col>5</xdr:col>
      <xdr:colOff>609600</xdr:colOff>
      <xdr:row>50</xdr:row>
      <xdr:rowOff>171732</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160444</xdr:rowOff>
    </xdr:from>
    <xdr:to>
      <xdr:col>5</xdr:col>
      <xdr:colOff>609600</xdr:colOff>
      <xdr:row>48</xdr:row>
      <xdr:rowOff>83045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107739</xdr:rowOff>
    </xdr:from>
    <xdr:to>
      <xdr:col>5</xdr:col>
      <xdr:colOff>609600</xdr:colOff>
      <xdr:row>48</xdr:row>
      <xdr:rowOff>153459</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74437</xdr:rowOff>
    </xdr:from>
    <xdr:to>
      <xdr:col>5</xdr:col>
      <xdr:colOff>609600</xdr:colOff>
      <xdr:row>49</xdr:row>
      <xdr:rowOff>162700</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2327</xdr:rowOff>
    </xdr:from>
    <xdr:to>
      <xdr:col>5</xdr:col>
      <xdr:colOff>609600</xdr:colOff>
      <xdr:row>69</xdr:row>
      <xdr:rowOff>132645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10724</xdr:rowOff>
    </xdr:from>
    <xdr:to>
      <xdr:col>5</xdr:col>
      <xdr:colOff>609600</xdr:colOff>
      <xdr:row>70</xdr:row>
      <xdr:rowOff>149719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48260</xdr:rowOff>
    </xdr:from>
    <xdr:to>
      <xdr:col>5</xdr:col>
      <xdr:colOff>609600</xdr:colOff>
      <xdr:row>71</xdr:row>
      <xdr:rowOff>133913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46848</xdr:rowOff>
    </xdr:from>
    <xdr:to>
      <xdr:col>5</xdr:col>
      <xdr:colOff>609600</xdr:colOff>
      <xdr:row>72</xdr:row>
      <xdr:rowOff>161927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123684</xdr:rowOff>
    </xdr:from>
    <xdr:to>
      <xdr:col>5</xdr:col>
      <xdr:colOff>609600</xdr:colOff>
      <xdr:row>94</xdr:row>
      <xdr:rowOff>11924</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100</xdr:row>
      <xdr:rowOff>323003</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100</xdr:row>
      <xdr:rowOff>103293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88405</xdr:rowOff>
    </xdr:from>
    <xdr:to>
      <xdr:col>6</xdr:col>
      <xdr:colOff>66040</xdr:colOff>
      <xdr:row>123</xdr:row>
      <xdr:rowOff>123332</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121921</xdr:rowOff>
    </xdr:from>
    <xdr:to>
      <xdr:col>5</xdr:col>
      <xdr:colOff>609600</xdr:colOff>
      <xdr:row>83</xdr:row>
      <xdr:rowOff>20531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65</xdr:row>
      <xdr:rowOff>102517</xdr:rowOff>
    </xdr:from>
    <xdr:to>
      <xdr:col>5</xdr:col>
      <xdr:colOff>637540</xdr:colOff>
      <xdr:row>80</xdr:row>
      <xdr:rowOff>159666</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35632</xdr:rowOff>
    </xdr:from>
    <xdr:to>
      <xdr:col>5</xdr:col>
      <xdr:colOff>609600</xdr:colOff>
      <xdr:row>74</xdr:row>
      <xdr:rowOff>9171</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8538</xdr:rowOff>
    </xdr:from>
    <xdr:to>
      <xdr:col>5</xdr:col>
      <xdr:colOff>609600</xdr:colOff>
      <xdr:row>74</xdr:row>
      <xdr:rowOff>121779</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160865</xdr:rowOff>
    </xdr:from>
    <xdr:to>
      <xdr:col>5</xdr:col>
      <xdr:colOff>609600</xdr:colOff>
      <xdr:row>75</xdr:row>
      <xdr:rowOff>104069</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84809</xdr:rowOff>
    </xdr:from>
    <xdr:to>
      <xdr:col>5</xdr:col>
      <xdr:colOff>609600</xdr:colOff>
      <xdr:row>94</xdr:row>
      <xdr:rowOff>3173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84807</xdr:rowOff>
    </xdr:from>
    <xdr:to>
      <xdr:col>5</xdr:col>
      <xdr:colOff>609600</xdr:colOff>
      <xdr:row>94</xdr:row>
      <xdr:rowOff>168276</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91</xdr:row>
      <xdr:rowOff>84807</xdr:rowOff>
    </xdr:from>
    <xdr:to>
      <xdr:col>5</xdr:col>
      <xdr:colOff>609600</xdr:colOff>
      <xdr:row>95</xdr:row>
      <xdr:rowOff>165099</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92</xdr:row>
      <xdr:rowOff>84809</xdr:rowOff>
    </xdr:from>
    <xdr:to>
      <xdr:col>5</xdr:col>
      <xdr:colOff>609600</xdr:colOff>
      <xdr:row>96</xdr:row>
      <xdr:rowOff>165099</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116</xdr:row>
      <xdr:rowOff>47272</xdr:rowOff>
    </xdr:from>
    <xdr:to>
      <xdr:col>5</xdr:col>
      <xdr:colOff>609600</xdr:colOff>
      <xdr:row>116</xdr:row>
      <xdr:rowOff>67592</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117</xdr:row>
      <xdr:rowOff>47272</xdr:rowOff>
    </xdr:from>
    <xdr:to>
      <xdr:col>5</xdr:col>
      <xdr:colOff>609600</xdr:colOff>
      <xdr:row>141</xdr:row>
      <xdr:rowOff>22156</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117</xdr:row>
      <xdr:rowOff>47272</xdr:rowOff>
    </xdr:from>
    <xdr:to>
      <xdr:col>5</xdr:col>
      <xdr:colOff>609600</xdr:colOff>
      <xdr:row>139</xdr:row>
      <xdr:rowOff>113382</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114</xdr:row>
      <xdr:rowOff>38806</xdr:rowOff>
    </xdr:from>
    <xdr:to>
      <xdr:col>6</xdr:col>
      <xdr:colOff>57150</xdr:colOff>
      <xdr:row>128</xdr:row>
      <xdr:rowOff>151694</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7057</xdr:rowOff>
    </xdr:from>
    <xdr:to>
      <xdr:col>5</xdr:col>
      <xdr:colOff>628650</xdr:colOff>
      <xdr:row>86</xdr:row>
      <xdr:rowOff>17640</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83257</xdr:rowOff>
    </xdr:from>
    <xdr:to>
      <xdr:col>5</xdr:col>
      <xdr:colOff>628650</xdr:colOff>
      <xdr:row>86</xdr:row>
      <xdr:rowOff>11290</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72</xdr:row>
      <xdr:rowOff>142523</xdr:rowOff>
    </xdr:from>
    <xdr:to>
      <xdr:col>5</xdr:col>
      <xdr:colOff>628650</xdr:colOff>
      <xdr:row>77</xdr:row>
      <xdr:rowOff>28221</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73</xdr:row>
      <xdr:rowOff>142522</xdr:rowOff>
    </xdr:from>
    <xdr:to>
      <xdr:col>5</xdr:col>
      <xdr:colOff>628650</xdr:colOff>
      <xdr:row>76</xdr:row>
      <xdr:rowOff>38100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78</xdr:row>
      <xdr:rowOff>144639</xdr:rowOff>
    </xdr:from>
    <xdr:to>
      <xdr:col>5</xdr:col>
      <xdr:colOff>609600</xdr:colOff>
      <xdr:row>80</xdr:row>
      <xdr:rowOff>150988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88547</xdr:rowOff>
    </xdr:from>
    <xdr:to>
      <xdr:col>5</xdr:col>
      <xdr:colOff>609600</xdr:colOff>
      <xdr:row>99</xdr:row>
      <xdr:rowOff>6350</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82550</xdr:rowOff>
    </xdr:from>
    <xdr:to>
      <xdr:col>5</xdr:col>
      <xdr:colOff>609600</xdr:colOff>
      <xdr:row>100</xdr:row>
      <xdr:rowOff>6350</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96</xdr:row>
      <xdr:rowOff>88899</xdr:rowOff>
    </xdr:from>
    <xdr:to>
      <xdr:col>5</xdr:col>
      <xdr:colOff>609600</xdr:colOff>
      <xdr:row>100</xdr:row>
      <xdr:rowOff>189443</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97</xdr:row>
      <xdr:rowOff>82550</xdr:rowOff>
    </xdr:from>
    <xdr:to>
      <xdr:col>5</xdr:col>
      <xdr:colOff>609600</xdr:colOff>
      <xdr:row>101</xdr:row>
      <xdr:rowOff>20108</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121</xdr:row>
      <xdr:rowOff>113595</xdr:rowOff>
    </xdr:from>
    <xdr:to>
      <xdr:col>5</xdr:col>
      <xdr:colOff>609600</xdr:colOff>
      <xdr:row>121</xdr:row>
      <xdr:rowOff>145345</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122</xdr:row>
      <xdr:rowOff>107244</xdr:rowOff>
    </xdr:from>
    <xdr:to>
      <xdr:col>5</xdr:col>
      <xdr:colOff>609600</xdr:colOff>
      <xdr:row>146</xdr:row>
      <xdr:rowOff>11994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122</xdr:row>
      <xdr:rowOff>107244</xdr:rowOff>
    </xdr:from>
    <xdr:to>
      <xdr:col>5</xdr:col>
      <xdr:colOff>609600</xdr:colOff>
      <xdr:row>144</xdr:row>
      <xdr:rowOff>107245</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92</xdr:row>
      <xdr:rowOff>48682</xdr:rowOff>
    </xdr:from>
    <xdr:to>
      <xdr:col>6</xdr:col>
      <xdr:colOff>57150</xdr:colOff>
      <xdr:row>104</xdr:row>
      <xdr:rowOff>162983</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29634</xdr:rowOff>
    </xdr:from>
    <xdr:to>
      <xdr:col>5</xdr:col>
      <xdr:colOff>628650</xdr:colOff>
      <xdr:row>59</xdr:row>
      <xdr:rowOff>361244</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105834</xdr:rowOff>
    </xdr:from>
    <xdr:to>
      <xdr:col>5</xdr:col>
      <xdr:colOff>628650</xdr:colOff>
      <xdr:row>59</xdr:row>
      <xdr:rowOff>345017</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50094</xdr:rowOff>
    </xdr:from>
    <xdr:to>
      <xdr:col>5</xdr:col>
      <xdr:colOff>628650</xdr:colOff>
      <xdr:row>54</xdr:row>
      <xdr:rowOff>40216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51</xdr:row>
      <xdr:rowOff>50094</xdr:rowOff>
    </xdr:from>
    <xdr:to>
      <xdr:col>5</xdr:col>
      <xdr:colOff>628650</xdr:colOff>
      <xdr:row>53</xdr:row>
      <xdr:rowOff>83961</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56</xdr:row>
      <xdr:rowOff>115712</xdr:rowOff>
    </xdr:from>
    <xdr:to>
      <xdr:col>5</xdr:col>
      <xdr:colOff>609600</xdr:colOff>
      <xdr:row>58</xdr:row>
      <xdr:rowOff>124883</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67734</xdr:rowOff>
    </xdr:from>
    <xdr:to>
      <xdr:col>5</xdr:col>
      <xdr:colOff>609600</xdr:colOff>
      <xdr:row>77</xdr:row>
      <xdr:rowOff>1410</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67734</xdr:rowOff>
    </xdr:from>
    <xdr:to>
      <xdr:col>5</xdr:col>
      <xdr:colOff>609600</xdr:colOff>
      <xdr:row>78</xdr:row>
      <xdr:rowOff>1412</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67733</xdr:rowOff>
    </xdr:from>
    <xdr:to>
      <xdr:col>5</xdr:col>
      <xdr:colOff>609600</xdr:colOff>
      <xdr:row>79</xdr:row>
      <xdr:rowOff>1411</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67733</xdr:rowOff>
    </xdr:from>
    <xdr:to>
      <xdr:col>5</xdr:col>
      <xdr:colOff>609600</xdr:colOff>
      <xdr:row>80</xdr:row>
      <xdr:rowOff>1411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239184</xdr:rowOff>
    </xdr:from>
    <xdr:to>
      <xdr:col>5</xdr:col>
      <xdr:colOff>609600</xdr:colOff>
      <xdr:row>100</xdr:row>
      <xdr:rowOff>277284</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73025</xdr:rowOff>
    </xdr:from>
    <xdr:to>
      <xdr:col>5</xdr:col>
      <xdr:colOff>609600</xdr:colOff>
      <xdr:row>124</xdr:row>
      <xdr:rowOff>9172</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73025</xdr:rowOff>
    </xdr:from>
    <xdr:to>
      <xdr:col>5</xdr:col>
      <xdr:colOff>609600</xdr:colOff>
      <xdr:row>122</xdr:row>
      <xdr:rowOff>104069</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98</xdr:row>
      <xdr:rowOff>16933</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45720</xdr:rowOff>
    </xdr:from>
    <xdr:to>
      <xdr:col>5</xdr:col>
      <xdr:colOff>609600</xdr:colOff>
      <xdr:row>50</xdr:row>
      <xdr:rowOff>46990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7620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45720</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83820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169545</xdr:rowOff>
    </xdr:from>
    <xdr:to>
      <xdr:col>5</xdr:col>
      <xdr:colOff>609600</xdr:colOff>
      <xdr:row>96</xdr:row>
      <xdr:rowOff>30903</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169545</xdr:rowOff>
    </xdr:from>
    <xdr:to>
      <xdr:col>5</xdr:col>
      <xdr:colOff>609600</xdr:colOff>
      <xdr:row>123</xdr:row>
      <xdr:rowOff>39159</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169545</xdr:rowOff>
    </xdr:from>
    <xdr:to>
      <xdr:col>5</xdr:col>
      <xdr:colOff>609600</xdr:colOff>
      <xdr:row>123</xdr:row>
      <xdr:rowOff>39159</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98</xdr:row>
      <xdr:rowOff>16933</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96</xdr:row>
      <xdr:rowOff>16933</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161925</xdr:rowOff>
    </xdr:from>
    <xdr:to>
      <xdr:col>5</xdr:col>
      <xdr:colOff>609600</xdr:colOff>
      <xdr:row>123</xdr:row>
      <xdr:rowOff>39159</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161925</xdr:rowOff>
    </xdr:from>
    <xdr:to>
      <xdr:col>5</xdr:col>
      <xdr:colOff>609600</xdr:colOff>
      <xdr:row>123</xdr:row>
      <xdr:rowOff>39159</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98</xdr:row>
      <xdr:rowOff>16933</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96</xdr:row>
      <xdr:rowOff>16933</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161925</xdr:rowOff>
    </xdr:from>
    <xdr:to>
      <xdr:col>5</xdr:col>
      <xdr:colOff>609600</xdr:colOff>
      <xdr:row>123</xdr:row>
      <xdr:rowOff>39159</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161925</xdr:rowOff>
    </xdr:from>
    <xdr:to>
      <xdr:col>5</xdr:col>
      <xdr:colOff>609600</xdr:colOff>
      <xdr:row>123</xdr:row>
      <xdr:rowOff>39159</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S37" dT="2022-09-30T19:04:36.69" personId="{104078EE-2393-4C21-9029-18A325FBDB70}" id="{52B73EBC-59DE-4AFE-A4BC-5DCFD4E527B4}">
    <text>Add factor to match data</text>
  </threadedComment>
  <threadedComment ref="C65" dT="2021-06-14T11:28:38.43" personId="{58CF8BEC-4104-46F7-BE4F-2C9403635492}" id="{BB2BD600-D27D-45BD-8287-F361E12EE9C4}">
    <text>https://www.cbo.gov/system/files/2020-04/hr748.pdf</text>
  </threadedComment>
  <threadedComment ref="C6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7" dT="2021-06-11T14:09:21.80" personId="{58CF8BEC-4104-46F7-BE4F-2C9403635492}" id="{57CD4897-BB4E-42F1-89BB-E63A5874F81B}">
    <text>Total provider relief fund is 100, but we assume that 27% is in the form of grants based on the BEA data that came in.</text>
  </threadedComment>
  <threadedComment ref="J93" dT="2022-09-30T19:04:58.57" personId="{104078EE-2393-4C21-9029-18A325FBDB70}" id="{4D719FE1-A97C-46FC-9D71-7ECFBB4F6D87}">
    <text>Using data -- not a different spending pattern</text>
  </threadedComment>
  <threadedComment ref="R116" dT="2022-07-28T17:27:50.97" personId="{104078EE-2393-4C21-9029-18A325FBDB70}" id="{E702D61C-4760-4164-BD3F-5AB302CA98ED}">
    <text>Using previous forecast because of reallocation by the BEA</text>
  </threadedComment>
  <threadedComment ref="S116" dT="2022-10-27T14:12:06.27" personId="{609654FB-393E-4954-B3A3-EDB231775774}" id="{776019CE-8128-450F-A25E-EF6C5707CFC6}">
    <text>Don't pull again</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33" dT="2022-06-30T18:28:35.88" personId="{104078EE-2393-4C21-9029-18A325FBDB70}" id="{3D5BBFAC-4E76-4F2A-B34F-264D54111B07}">
    <text>May 2022 CBO economic projections row 129 quarterly table</text>
  </threadedComment>
  <threadedComment ref="R34" dT="2022-07-28T09:43:05.00" personId="{104078EE-2393-4C21-9029-18A325FBDB70}" id="{C49E6240-A907-4D0A-9954-9A2A9B1F4C48}">
    <text>Louise, we applied a judgemental gr based on data in the last quarter. Would you want to update the gr based on new data?</text>
  </threadedComment>
  <threadedComment ref="R34" dT="2022-07-28T14:19:09.31" personId="{104078EE-2393-4C21-9029-18A325FBDB70}" id="{7430FEA9-8516-4B56-B1C3-5BBB7552D724}" parentId="{C49E6240-A907-4D0A-9954-9A2A9B1F4C48}">
    <text>Doing so would push this up to a 13.6</text>
  </threadedComment>
  <threadedComment ref="R40" dT="2022-07-28T09:43:05.00" personId="{104078EE-2393-4C21-9029-18A325FBDB70}" id="{EA2E560B-B4F0-4579-B2C7-C9B4B3176BED}">
    <text>Louise, we applied a judgemental gr based on data in the last quarter. Would you want to update the gr based on new data?</text>
  </threadedComment>
  <threadedComment ref="R40" dT="2022-07-28T14:19:09.31" personId="{104078EE-2393-4C21-9029-18A325FBDB70}" id="{5B3E394F-55A1-4BC8-86E5-EAAE822957AC}" parentId="{EA2E560B-B4F0-4579-B2C7-C9B4B3176BED}">
    <text>Doing so would push this up to a 13.6</text>
  </threadedComment>
  <threadedComment ref="AM69" dT="2021-06-07T15:35:26.89" personId="{58CF8BEC-4104-46F7-BE4F-2C9403635492}" id="{5B268A7E-4684-4417-99DA-FD209D4D638F}">
    <text>January 2020 Ten Year Economic Projections, Quarterly Table, Row 131</text>
  </threadedComment>
  <threadedComment ref="AM70" dT="2021-07-07T15:58:20.18" personId="{58CF8BEC-4104-46F7-BE4F-2C9403635492}" id="{EDDC02C6-9D5A-4D48-BD38-306F90DEE81E}">
    <text>July 2021 Ten-Year Economic Projections, Quarterly Table, Row 130</text>
  </threadedComment>
  <threadedComment ref="AM73" dT="2021-06-08T18:07:26.42" personId="{58CF8BEC-4104-46F7-BE4F-2C9403635492}" id="{740ECA18-D6DC-4F42-982C-CBA3C5290FBF}">
    <text>January 2020 Ten Year Economic Projections, Quarterly Table, Row 130</text>
  </threadedComment>
  <threadedComment ref="AM74" dT="2021-06-08T18:07:37.18" personId="{58CF8BEC-4104-46F7-BE4F-2C9403635492}" id="{1C07D7AD-E31D-4773-BE5C-B49586DCA617}">
    <text>February 2021 Ten Year Economic Projections, Quarterly Table, Row 130</text>
  </threadedComment>
  <threadedComment ref="AM75"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77" dT="2021-11-02T13:23:36.94" personId="{58CF8BEC-4104-46F7-BE4F-2C9403635492}" id="{8624CBF8-0C25-4544-B55E-7210BBE07E41}">
    <text>Formula changes to grow by counterfactual pre-covid growth rate</text>
  </threadedComment>
  <threadedComment ref="M77" dT="2021-11-02T13:26:53.83" personId="{58CF8BEC-4104-46F7-BE4F-2C9403635492}" id="{B38BAE8E-DF30-49E2-9F96-90A1041E4DF0}">
    <text>Accounting for step up in social security</text>
  </threadedComment>
  <threadedComment ref="M77" dT="2022-07-28T10:16:22.56" personId="{104078EE-2393-4C21-9029-18A325FBDB70}" id="{E0C007BA-F33F-4062-A357-370316E1FFF4}" parentId="{B38BAE8E-DF30-49E2-9F96-90A1041E4DF0}">
    <text>every Q1</text>
  </threadedComment>
  <threadedComment ref="U77" dT="2022-10-28T13:56:35.19" personId="{609654FB-393E-4954-B3A3-EDB231775774}" id="{FE50DF0B-94A1-45DC-903B-EE712149D3CA}">
    <text>COLA adjustment questions.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R28" dT="2022-10-27T18:55:12.78" personId="{609654FB-393E-4954-B3A3-EDB231775774}" id="{A10CFC64-1C02-48DA-8AEE-48D50538ECF3}">
    <text>The levels are a lot lower!</text>
  </threadedComment>
  <threadedComment ref="D46" dT="2022-07-27T15:51:26.42" personId="{104078EE-2393-4C21-9029-18A325FBDB70}" id="{1F09D10C-D690-4114-9BF1-2EC77E8CF729}">
    <text>May 2022 CBO Revenue Projections, Table 1, Row 10</text>
  </threadedComment>
  <threadedComment ref="D47" dT="2022-07-27T15:51:47.98" personId="{104078EE-2393-4C21-9029-18A325FBDB70}" id="{61B8BFB1-3686-4221-A789-3E8E4ED150E8}">
    <text>May 2022 CBO Revenue Projections, Table 1, Row 11</text>
  </threadedComment>
  <threadedComment ref="D49" dT="2022-07-27T15:52:32.00" personId="{104078EE-2393-4C21-9029-18A325FBDB70}" id="{96AD0B56-665E-45B3-8EC7-21E5F6DCD149}">
    <text>May 2022 CBO Revenue Projections, Table 1, Row 14</text>
  </threadedComment>
  <threadedComment ref="D50" dT="2022-07-27T15:52:46.05" personId="{104078EE-2393-4C21-9029-18A325FBDB70}" id="{291B3A2C-0242-451F-9C7C-691A3E499120}">
    <text>May 2022 CBO Revenue Projections, Table 1, Row 16</text>
  </threadedComment>
  <threadedComment ref="D51" dT="2022-07-27T15:53:07.84" personId="{104078EE-2393-4C21-9029-18A325FBDB70}" id="{9F3EE33C-5BEE-4035-92B3-03F363699E8F}">
    <text>May 2022 CBO Revenue Projections, Table 1, Row 12</text>
  </threadedComment>
  <threadedComment ref="D69" dT="2022-07-27T15:54:14.53" personId="{104078EE-2393-4C21-9029-18A325FBDB70}" id="{A5A53FB3-DAD9-4431-BC17-DE8533EBEBA7}">
    <text>May 2022 CBO Economic Projections, Fiscal Year Table, Row 92</text>
  </threadedComment>
  <threadedComment ref="D70" dT="2022-07-27T15:54:45.28" personId="{104078EE-2393-4C21-9029-18A325FBDB70}" id="{F60F16A6-D839-4373-9BA5-EC2FED164153}">
    <text>May 2022 CBO Economic Projections, Fiscal Year Table, Row 96</text>
  </threadedComment>
  <threadedComment ref="D71" dT="2022-07-27T15:55:08.90" personId="{104078EE-2393-4C21-9029-18A325FBDB70}" id="{866A2822-7717-4700-A376-2CCB1FB07C1B}">
    <text>May 2022 CBO Economic Projections, Fiscal Year Table, Row 116</text>
  </threadedComment>
  <threadedComment ref="D72" dT="2022-07-27T15:55:40.56" personId="{104078EE-2393-4C21-9029-18A325FBDB70}" id="{577EB3F0-E41D-40F3-99BD-1BCE1A91B538}">
    <text>May 2022 CBO Economic Projections, Fiscal Year Table, Row 110</text>
  </threadedComment>
  <threadedComment ref="D94" dT="2022-07-27T16:01:10.90" personId="{104078EE-2393-4C21-9029-18A325FBDB70}" id="{3DA40B3D-4A5D-452E-A72D-B2030842DDB4}">
    <text>May 2022 CBO Ten Year Economic Projections, Quarterly Table, Row 96</text>
  </threadedComment>
  <threadedComment ref="D95" dT="2022-07-27T16:01:37.37" personId="{104078EE-2393-4C21-9029-18A325FBDB70}" id="{D99B9B54-6076-41EB-BC07-437AE218B08B}">
    <text>May 2022 CBO Ten Year Economic Projections, Quarterly Table, Row 98</text>
  </threadedComment>
  <threadedComment ref="D96" dT="2022-07-27T16:02:04.85" personId="{104078EE-2393-4C21-9029-18A325FBDB70}" id="{623F5CCB-51DE-44FD-917A-D45F49A14B56}">
    <text>May 2022 CBO Ten Year Economic Projections, Quarterly Table, Row 116</text>
  </threadedComment>
  <threadedComment ref="D97" dT="2022-03-31T15:05:09.08" personId="{104078EE-2393-4C21-9029-18A325FBDB70}" id="{76D39B51-9B45-4C9D-BC1F-F3C52C7844F2}">
    <text>May 2022 CBO Ten Year Economic Projections, Quarterly Table, Row 112</text>
  </threadedComment>
  <threadedComment ref="D102" dT="2022-07-27T16:01:10.90" personId="{104078EE-2393-4C21-9029-18A325FBDB70}" id="{261212D0-3270-4BCA-9A94-F5349DB2897B}">
    <text>May 2022 CBO Ten Year Economic Projections, Quarterly Table, Row 96</text>
  </threadedComment>
  <threadedComment ref="D103" dT="2022-07-27T16:01:37.37" personId="{104078EE-2393-4C21-9029-18A325FBDB70}" id="{093CFE5E-1370-4B7D-A6E3-831D81F9257A}">
    <text>May 2022 CBO Ten Year Economic Projections, Quarterly Table, Row 98</text>
  </threadedComment>
  <threadedComment ref="D104" dT="2022-07-27T16:02:04.85" personId="{104078EE-2393-4C21-9029-18A325FBDB70}" id="{8471787A-6E7E-4D0B-B7B0-44BB3DD67EEC}">
    <text>May 2022 CBO Ten Year Economic Projections, Quarterly Table, Row 116</text>
  </threadedComment>
  <threadedComment ref="D105" dT="2022-03-31T15:05:09.08" personId="{104078EE-2393-4C21-9029-18A325FBDB70}" id="{C0761490-DB03-459E-80D6-455B0C07D430}">
    <text>May 2022 CBO Ten Year Economic Projections, Quarterly Table, Row 112</text>
  </threadedComment>
  <threadedComment ref="D150" dT="2022-07-27T16:01:10.90" personId="{104078EE-2393-4C21-9029-18A325FBDB70}" id="{6D3A4604-69CE-4F3F-813F-7F7EA08ED613}">
    <text>May 2022 CBO Ten Year Economic Projections, Quarterly Table, Row 96</text>
  </threadedComment>
  <threadedComment ref="D151" dT="2022-07-27T16:01:37.37" personId="{104078EE-2393-4C21-9029-18A325FBDB70}" id="{2FAA442C-06B5-4B8F-BB61-A81BAEC7050D}">
    <text>May 2022 CBO Ten Year Economic Projections, Quarterly Table, Row 98</text>
  </threadedComment>
  <threadedComment ref="D152" dT="2022-07-27T16:02:04.85" personId="{104078EE-2393-4C21-9029-18A325FBDB70}" id="{C4EBBB9E-22EA-4672-A509-43BCF8EEAB30}">
    <text>May 2022 CBO Ten Year Economic Projections, Quarterly Table, Row 116</text>
  </threadedComment>
  <threadedComment ref="D153" dT="2022-03-31T15:05:09.08" personId="{104078EE-2393-4C21-9029-18A325FBDB70}" id="{DC8487FB-C6EB-42F5-AE71-8B2B07C2A8EE}">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1.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drawing" Target="../drawings/drawing10.xm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5546875" defaultRowHeight="14.4" x14ac:dyDescent="0.3"/>
  <cols>
    <col min="2" max="2" width="34.21875" customWidth="1"/>
    <col min="17" max="17" width="38.44140625" customWidth="1"/>
  </cols>
  <sheetData>
    <row r="10" spans="2:17" x14ac:dyDescent="0.3">
      <c r="B10" s="1108" t="s">
        <v>0</v>
      </c>
      <c r="C10" s="1109"/>
      <c r="D10" s="1109"/>
      <c r="E10" s="1109"/>
      <c r="F10" s="1109"/>
      <c r="G10" s="1109"/>
      <c r="H10" s="1109"/>
      <c r="I10" s="1109"/>
      <c r="J10" s="1109"/>
      <c r="K10" s="1109"/>
      <c r="L10" s="1109"/>
      <c r="M10" s="1109"/>
      <c r="N10" s="1109"/>
      <c r="O10" s="1109"/>
      <c r="P10" s="1109"/>
      <c r="Q10" s="1110"/>
    </row>
    <row r="11" spans="2:17" x14ac:dyDescent="0.3">
      <c r="B11" s="1111"/>
      <c r="C11" s="1112"/>
      <c r="D11" s="1112"/>
      <c r="E11" s="1112"/>
      <c r="F11" s="1112"/>
      <c r="G11" s="1112"/>
      <c r="H11" s="1112"/>
      <c r="I11" s="1112"/>
      <c r="J11" s="1112"/>
      <c r="K11" s="1112"/>
      <c r="L11" s="1112"/>
      <c r="M11" s="1112"/>
      <c r="N11" s="1112"/>
      <c r="O11" s="1112"/>
      <c r="P11" s="1112"/>
      <c r="Q11" s="1113"/>
    </row>
    <row r="12" spans="2:17" x14ac:dyDescent="0.3">
      <c r="B12" s="8" t="s">
        <v>1</v>
      </c>
      <c r="C12" s="5"/>
      <c r="D12" s="5"/>
      <c r="E12" s="5"/>
      <c r="F12" s="5"/>
      <c r="G12" s="5"/>
      <c r="H12" s="5"/>
      <c r="I12" s="5"/>
      <c r="J12" s="5"/>
      <c r="K12" s="5"/>
      <c r="L12" s="5"/>
      <c r="M12" s="5"/>
      <c r="N12" s="5"/>
      <c r="O12" s="5"/>
      <c r="P12" s="5"/>
      <c r="Q12" s="10"/>
    </row>
    <row r="13" spans="2:17" x14ac:dyDescent="0.3">
      <c r="B13" s="7" t="s">
        <v>2</v>
      </c>
      <c r="C13" s="1114" t="s">
        <v>3</v>
      </c>
      <c r="D13" s="1114"/>
      <c r="E13" s="1114"/>
      <c r="F13" s="1114"/>
      <c r="G13" s="1114"/>
      <c r="H13" s="1114"/>
      <c r="I13" s="1114"/>
      <c r="J13" s="1114"/>
      <c r="K13" s="1114"/>
      <c r="L13" s="1114"/>
      <c r="M13" s="1114"/>
      <c r="N13" s="1114"/>
      <c r="O13" s="1114"/>
      <c r="P13" s="1114"/>
      <c r="Q13" s="1115"/>
    </row>
    <row r="14" spans="2:17" x14ac:dyDescent="0.3">
      <c r="B14" s="7" t="s">
        <v>4</v>
      </c>
      <c r="C14" s="11" t="s">
        <v>5</v>
      </c>
      <c r="D14" s="11"/>
      <c r="E14" s="11"/>
      <c r="F14" s="11"/>
      <c r="G14" s="11"/>
      <c r="H14" s="11"/>
      <c r="I14" s="11"/>
      <c r="J14" s="11"/>
      <c r="K14" s="11"/>
      <c r="L14" s="11"/>
      <c r="M14" s="11"/>
      <c r="N14" s="11"/>
      <c r="O14" s="11"/>
      <c r="P14" s="11"/>
      <c r="Q14" s="12"/>
    </row>
    <row r="15" spans="2:17" x14ac:dyDescent="0.3">
      <c r="B15" s="7" t="s">
        <v>6</v>
      </c>
      <c r="C15" s="11" t="s">
        <v>7</v>
      </c>
      <c r="D15" s="11"/>
      <c r="E15" s="11"/>
      <c r="F15" s="11"/>
      <c r="G15" s="11"/>
      <c r="H15" s="11"/>
      <c r="I15" s="11"/>
      <c r="J15" s="11"/>
      <c r="K15" s="11"/>
      <c r="L15" s="11"/>
      <c r="M15" s="11"/>
      <c r="N15" s="11"/>
      <c r="O15" s="11"/>
      <c r="P15" s="11"/>
      <c r="Q15" s="12"/>
    </row>
    <row r="16" spans="2:17" x14ac:dyDescent="0.3">
      <c r="B16" s="7" t="s">
        <v>8</v>
      </c>
      <c r="C16" s="11" t="s">
        <v>902</v>
      </c>
      <c r="D16" s="11"/>
      <c r="E16" s="11"/>
      <c r="F16" s="11"/>
      <c r="G16" s="11"/>
      <c r="H16" s="11"/>
      <c r="I16" s="11"/>
      <c r="J16" s="11"/>
      <c r="K16" s="11"/>
      <c r="L16" s="11"/>
      <c r="M16" s="11"/>
      <c r="N16" s="11"/>
      <c r="O16" s="11"/>
      <c r="P16" s="11"/>
      <c r="Q16" s="12"/>
    </row>
    <row r="17" spans="2:17" x14ac:dyDescent="0.3">
      <c r="B17" s="7" t="s">
        <v>9</v>
      </c>
      <c r="C17" s="11" t="s">
        <v>10</v>
      </c>
      <c r="D17" s="11"/>
      <c r="E17" s="11"/>
      <c r="F17" s="11"/>
      <c r="G17" s="11"/>
      <c r="H17" s="11"/>
      <c r="I17" s="11"/>
      <c r="J17" s="11"/>
      <c r="K17" s="11"/>
      <c r="L17" s="11"/>
      <c r="M17" s="11"/>
      <c r="N17" s="11"/>
      <c r="O17" s="11"/>
      <c r="P17" s="11"/>
      <c r="Q17" s="12"/>
    </row>
    <row r="18" spans="2:17" x14ac:dyDescent="0.3">
      <c r="B18" s="7" t="s">
        <v>903</v>
      </c>
      <c r="C18" s="11" t="s">
        <v>11</v>
      </c>
      <c r="D18" s="11"/>
      <c r="E18" s="11"/>
      <c r="F18" s="11"/>
      <c r="G18" s="11"/>
      <c r="H18" s="11"/>
      <c r="I18" s="11"/>
      <c r="J18" s="11"/>
      <c r="K18" s="11"/>
      <c r="L18" s="11"/>
      <c r="M18" s="11"/>
      <c r="N18" s="11"/>
      <c r="O18" s="11"/>
      <c r="P18" s="11"/>
      <c r="Q18" s="12"/>
    </row>
    <row r="19" spans="2:17" x14ac:dyDescent="0.3">
      <c r="B19" s="7" t="s">
        <v>12</v>
      </c>
      <c r="C19" s="11" t="s">
        <v>904</v>
      </c>
      <c r="D19" s="11"/>
      <c r="E19" s="11"/>
      <c r="F19" s="11"/>
      <c r="G19" s="11"/>
      <c r="H19" s="11"/>
      <c r="I19" s="11"/>
      <c r="J19" s="11"/>
      <c r="K19" s="11"/>
      <c r="L19" s="11"/>
      <c r="M19" s="11"/>
      <c r="N19" s="11"/>
      <c r="O19" s="11"/>
      <c r="P19" s="11"/>
      <c r="Q19" s="12"/>
    </row>
    <row r="20" spans="2:17" ht="30.75" customHeight="1" x14ac:dyDescent="0.3">
      <c r="B20" s="7" t="s">
        <v>13</v>
      </c>
      <c r="C20" s="1106" t="s">
        <v>14</v>
      </c>
      <c r="D20" s="1106"/>
      <c r="E20" s="1106"/>
      <c r="F20" s="1106"/>
      <c r="G20" s="1106"/>
      <c r="H20" s="1106"/>
      <c r="I20" s="1106"/>
      <c r="J20" s="1106"/>
      <c r="K20" s="1106"/>
      <c r="L20" s="1106"/>
      <c r="M20" s="1106"/>
      <c r="N20" s="1106"/>
      <c r="O20" s="1106"/>
      <c r="P20" s="1106"/>
      <c r="Q20" s="1107"/>
    </row>
    <row r="21" spans="2:17" x14ac:dyDescent="0.3">
      <c r="B21" s="7" t="s">
        <v>15</v>
      </c>
      <c r="C21" s="11" t="s">
        <v>16</v>
      </c>
      <c r="D21" s="11"/>
      <c r="E21" s="11"/>
      <c r="F21" s="11"/>
      <c r="G21" s="11"/>
      <c r="H21" s="11"/>
      <c r="I21" s="11"/>
      <c r="J21" s="11"/>
      <c r="K21" s="11"/>
      <c r="L21" s="11"/>
      <c r="M21" s="11"/>
      <c r="N21" s="11"/>
      <c r="O21" s="11"/>
      <c r="P21" s="11"/>
      <c r="Q21" s="12"/>
    </row>
    <row r="22" spans="2:17" ht="32.25" customHeight="1" x14ac:dyDescent="0.3">
      <c r="B22" s="1" t="s">
        <v>906</v>
      </c>
      <c r="C22" s="1106" t="s">
        <v>905</v>
      </c>
      <c r="D22" s="1106"/>
      <c r="E22" s="1106"/>
      <c r="F22" s="1106"/>
      <c r="G22" s="1106"/>
      <c r="H22" s="1106"/>
      <c r="I22" s="1106"/>
      <c r="J22" s="1106"/>
      <c r="K22" s="1106"/>
      <c r="L22" s="1106"/>
      <c r="M22" s="1106"/>
      <c r="N22" s="1106"/>
      <c r="O22" s="1106"/>
      <c r="P22" s="1106"/>
      <c r="Q22" s="1107"/>
    </row>
    <row r="23" spans="2:17" ht="31.2" customHeight="1" x14ac:dyDescent="0.3">
      <c r="B23" s="7" t="s">
        <v>17</v>
      </c>
      <c r="C23" s="1106" t="s">
        <v>907</v>
      </c>
      <c r="D23" s="1106"/>
      <c r="E23" s="1106"/>
      <c r="F23" s="1106"/>
      <c r="G23" s="1106"/>
      <c r="H23" s="1106"/>
      <c r="I23" s="1106"/>
      <c r="J23" s="1106"/>
      <c r="K23" s="1106"/>
      <c r="L23" s="1106"/>
      <c r="M23" s="1106"/>
      <c r="N23" s="1106"/>
      <c r="O23" s="1106"/>
      <c r="P23" s="1106"/>
      <c r="Q23" s="1107"/>
    </row>
    <row r="24" spans="2:17" x14ac:dyDescent="0.3">
      <c r="B24" s="7" t="s">
        <v>18</v>
      </c>
      <c r="C24" s="11" t="s">
        <v>19</v>
      </c>
      <c r="D24" s="11"/>
      <c r="E24" s="11"/>
      <c r="F24" s="11"/>
      <c r="G24" s="11"/>
      <c r="H24" s="11"/>
      <c r="I24" s="11"/>
      <c r="J24" s="11"/>
      <c r="K24" s="11"/>
      <c r="L24" s="11"/>
      <c r="M24" s="11"/>
      <c r="N24" s="11"/>
      <c r="O24" s="11"/>
      <c r="P24" s="11"/>
      <c r="Q24" s="12"/>
    </row>
    <row r="25" spans="2:17" x14ac:dyDescent="0.3">
      <c r="B25" s="7" t="s">
        <v>20</v>
      </c>
      <c r="C25" s="11" t="s">
        <v>21</v>
      </c>
      <c r="D25" s="11"/>
      <c r="E25" s="11"/>
      <c r="F25" s="11"/>
      <c r="G25" s="11"/>
      <c r="H25" s="11"/>
      <c r="I25" s="11"/>
      <c r="J25" s="11"/>
      <c r="K25" s="11"/>
      <c r="L25" s="11"/>
      <c r="M25" s="11"/>
      <c r="N25" s="11"/>
      <c r="O25" s="11"/>
      <c r="P25" s="11"/>
      <c r="Q25" s="12"/>
    </row>
    <row r="26" spans="2:17" x14ac:dyDescent="0.3">
      <c r="B26" s="7" t="s">
        <v>22</v>
      </c>
      <c r="C26" s="11" t="s">
        <v>23</v>
      </c>
      <c r="D26" s="11"/>
      <c r="E26" s="11"/>
      <c r="F26" s="11"/>
      <c r="G26" s="11"/>
      <c r="H26" s="11"/>
      <c r="I26" s="11"/>
      <c r="J26" s="11"/>
      <c r="K26" s="11"/>
      <c r="L26" s="11"/>
      <c r="M26" s="11"/>
      <c r="N26" s="11"/>
      <c r="O26" s="11"/>
      <c r="P26" s="11"/>
      <c r="Q26" s="12"/>
    </row>
    <row r="27" spans="2:17" x14ac:dyDescent="0.3">
      <c r="B27" s="7" t="s">
        <v>24</v>
      </c>
      <c r="C27" s="11" t="s">
        <v>908</v>
      </c>
      <c r="D27" s="11"/>
      <c r="E27" s="11"/>
      <c r="F27" s="11"/>
      <c r="G27" s="11"/>
      <c r="H27" s="11"/>
      <c r="I27" s="11"/>
      <c r="J27" s="11"/>
      <c r="K27" s="11"/>
      <c r="L27" s="11"/>
      <c r="M27" s="11"/>
      <c r="N27" s="11"/>
      <c r="O27" s="11"/>
      <c r="P27" s="11"/>
      <c r="Q27" s="12"/>
    </row>
    <row r="28" spans="2:17" x14ac:dyDescent="0.3">
      <c r="B28" s="7" t="s">
        <v>25</v>
      </c>
      <c r="C28" s="11" t="s">
        <v>909</v>
      </c>
      <c r="D28" s="11"/>
      <c r="E28" s="11"/>
      <c r="F28" s="11"/>
      <c r="G28" s="11"/>
      <c r="H28" s="11"/>
      <c r="I28" s="11"/>
      <c r="J28" s="11"/>
      <c r="K28" s="11"/>
      <c r="L28" s="11"/>
      <c r="M28" s="11"/>
      <c r="N28" s="11"/>
      <c r="O28" s="11"/>
      <c r="P28" s="11"/>
      <c r="Q28" s="12"/>
    </row>
    <row r="29" spans="2:17" x14ac:dyDescent="0.3">
      <c r="B29" s="7" t="s">
        <v>26</v>
      </c>
      <c r="C29" s="11" t="s">
        <v>27</v>
      </c>
      <c r="D29" s="11"/>
      <c r="E29" s="11"/>
      <c r="F29" s="11"/>
      <c r="G29" s="11"/>
      <c r="H29" s="11"/>
      <c r="I29" s="11"/>
      <c r="J29" s="11"/>
      <c r="K29" s="11"/>
      <c r="L29" s="11"/>
      <c r="M29" s="11"/>
      <c r="N29" s="11"/>
      <c r="O29" s="11"/>
      <c r="P29" s="11"/>
      <c r="Q29" s="12"/>
    </row>
    <row r="30" spans="2:17" x14ac:dyDescent="0.3">
      <c r="B30" s="7"/>
      <c r="C30" s="11"/>
      <c r="D30" s="11"/>
      <c r="E30" s="11"/>
      <c r="F30" s="11"/>
      <c r="G30" s="11"/>
      <c r="H30" s="11"/>
      <c r="I30" s="11"/>
      <c r="J30" s="11"/>
      <c r="K30" s="11"/>
      <c r="L30" s="11"/>
      <c r="M30" s="11"/>
      <c r="N30" s="11"/>
      <c r="O30" s="11"/>
      <c r="P30" s="11"/>
      <c r="Q30" s="12"/>
    </row>
    <row r="31" spans="2:17" x14ac:dyDescent="0.3">
      <c r="B31" s="9" t="s">
        <v>28</v>
      </c>
      <c r="C31" s="11"/>
      <c r="D31" s="11"/>
      <c r="E31" s="11"/>
      <c r="F31" s="11"/>
      <c r="G31" s="11"/>
      <c r="H31" s="11"/>
      <c r="I31" s="11"/>
      <c r="J31" s="11"/>
      <c r="K31" s="11"/>
      <c r="L31" s="11"/>
      <c r="M31" s="11"/>
      <c r="N31" s="11"/>
      <c r="O31" s="11"/>
      <c r="P31" s="11"/>
      <c r="Q31" s="12"/>
    </row>
    <row r="32" spans="2:17" x14ac:dyDescent="0.3">
      <c r="B32" s="7" t="s">
        <v>29</v>
      </c>
      <c r="C32" s="11"/>
      <c r="D32" s="11"/>
      <c r="E32" s="11"/>
      <c r="F32" s="11"/>
      <c r="G32" s="11"/>
      <c r="H32" s="11"/>
      <c r="I32" s="11"/>
      <c r="J32" s="11"/>
      <c r="K32" s="11"/>
      <c r="L32" s="11"/>
      <c r="M32" s="11"/>
      <c r="N32" s="11"/>
      <c r="O32" s="11"/>
      <c r="P32" s="11"/>
      <c r="Q32" s="12"/>
    </row>
    <row r="33" spans="2:17" ht="30.75" customHeight="1" x14ac:dyDescent="0.3">
      <c r="B33" s="1105" t="s">
        <v>910</v>
      </c>
      <c r="C33" s="1106"/>
      <c r="D33" s="1106"/>
      <c r="E33" s="1106"/>
      <c r="F33" s="1106"/>
      <c r="G33" s="1106"/>
      <c r="H33" s="1106"/>
      <c r="I33" s="1106"/>
      <c r="J33" s="1106"/>
      <c r="K33" s="1106"/>
      <c r="L33" s="1106"/>
      <c r="M33" s="1106"/>
      <c r="N33" s="1106"/>
      <c r="O33" s="1106"/>
      <c r="P33" s="1106"/>
      <c r="Q33" s="1107"/>
    </row>
    <row r="34" spans="2:17" x14ac:dyDescent="0.3">
      <c r="B34" s="3" t="s">
        <v>30</v>
      </c>
      <c r="C34" s="11"/>
      <c r="D34" s="11"/>
      <c r="E34" s="11"/>
      <c r="F34" s="11"/>
      <c r="G34" s="11"/>
      <c r="H34" s="11"/>
      <c r="I34" s="11"/>
      <c r="J34" s="11"/>
      <c r="K34" s="11"/>
      <c r="L34" s="11"/>
      <c r="M34" s="11"/>
      <c r="N34" s="11"/>
      <c r="O34" s="11"/>
      <c r="P34" s="11"/>
      <c r="Q34" s="12"/>
    </row>
    <row r="35" spans="2:17" x14ac:dyDescent="0.3">
      <c r="B35" s="7" t="s">
        <v>31</v>
      </c>
      <c r="C35" s="11"/>
      <c r="D35" s="11"/>
      <c r="E35" s="11"/>
      <c r="F35" s="11"/>
      <c r="G35" s="11"/>
      <c r="H35" s="11"/>
      <c r="I35" s="11"/>
      <c r="J35" s="11"/>
      <c r="K35" s="11"/>
      <c r="L35" s="11"/>
      <c r="M35" s="11"/>
      <c r="N35" s="11"/>
      <c r="O35" s="11"/>
      <c r="P35" s="11"/>
      <c r="Q35" s="12"/>
    </row>
    <row r="36" spans="2:17" x14ac:dyDescent="0.3">
      <c r="B36" s="6" t="s">
        <v>32</v>
      </c>
      <c r="C36" s="13"/>
      <c r="D36" s="13"/>
      <c r="E36" s="13"/>
      <c r="F36" s="13"/>
      <c r="G36" s="13"/>
      <c r="H36" s="13"/>
      <c r="I36" s="13"/>
      <c r="J36" s="13"/>
      <c r="K36" s="13"/>
      <c r="L36" s="13"/>
      <c r="M36" s="13"/>
      <c r="N36" s="13"/>
      <c r="O36" s="13"/>
      <c r="P36" s="13"/>
      <c r="Q36" s="2"/>
    </row>
    <row r="39" spans="2:17" x14ac:dyDescent="0.3">
      <c r="B39" s="4"/>
      <c r="C39" s="4"/>
      <c r="D39" s="4"/>
      <c r="E39" s="4"/>
      <c r="F39" s="4"/>
      <c r="G39" s="4"/>
      <c r="H39" s="4"/>
      <c r="I39" s="4"/>
      <c r="J39" s="4"/>
      <c r="K39" s="4"/>
      <c r="L39" s="4"/>
      <c r="M39" s="4"/>
      <c r="N39" s="4"/>
      <c r="O39" s="4"/>
      <c r="P39" s="4"/>
      <c r="Q39" s="4"/>
    </row>
    <row r="40" spans="2:17" x14ac:dyDescent="0.3">
      <c r="B40" s="4"/>
      <c r="C40" s="4"/>
      <c r="D40" s="4"/>
      <c r="E40" s="4"/>
      <c r="F40" s="4"/>
      <c r="G40" s="4"/>
      <c r="H40" s="4"/>
      <c r="I40" s="4"/>
      <c r="J40" s="4"/>
      <c r="K40" s="4"/>
      <c r="L40" s="4"/>
      <c r="M40" s="4"/>
      <c r="N40" s="4"/>
      <c r="O40" s="4"/>
      <c r="P40" s="4"/>
      <c r="Q40" s="4"/>
    </row>
    <row r="41" spans="2:17" x14ac:dyDescent="0.3">
      <c r="B41" s="4"/>
      <c r="C41" s="4"/>
      <c r="D41" s="4"/>
      <c r="E41" s="4"/>
      <c r="F41" s="4"/>
      <c r="G41" s="4"/>
      <c r="H41" s="4"/>
      <c r="I41" s="4"/>
      <c r="J41" s="4"/>
      <c r="K41" s="4"/>
      <c r="L41" s="4"/>
      <c r="M41" s="4"/>
      <c r="N41" s="4"/>
      <c r="O41" s="4"/>
      <c r="P41" s="4"/>
      <c r="Q41" s="4"/>
    </row>
    <row r="42" spans="2:17" x14ac:dyDescent="0.3">
      <c r="B42" s="4"/>
      <c r="C42" s="4"/>
      <c r="D42" s="4"/>
      <c r="E42" s="4"/>
      <c r="F42" s="4"/>
      <c r="G42" s="4"/>
      <c r="H42" s="4"/>
      <c r="I42" s="4"/>
      <c r="J42" s="4"/>
      <c r="K42" s="4"/>
      <c r="L42" s="4"/>
      <c r="M42" s="4"/>
      <c r="N42" s="4"/>
      <c r="O42" s="4"/>
      <c r="P42" s="4"/>
      <c r="Q42" s="4"/>
    </row>
    <row r="43" spans="2:17" x14ac:dyDescent="0.3">
      <c r="B43" s="4"/>
      <c r="C43" s="4"/>
      <c r="D43" s="4"/>
      <c r="E43" s="4"/>
      <c r="F43" s="4"/>
      <c r="G43" s="4"/>
      <c r="H43" s="4"/>
      <c r="I43" s="4"/>
      <c r="J43" s="4"/>
      <c r="K43" s="4"/>
      <c r="L43" s="4"/>
      <c r="M43" s="4"/>
      <c r="N43" s="4"/>
      <c r="O43" s="4"/>
      <c r="P43" s="4"/>
      <c r="Q43" s="4"/>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0"/>
  <sheetViews>
    <sheetView workbookViewId="0">
      <selection activeCell="L18" sqref="L18"/>
    </sheetView>
  </sheetViews>
  <sheetFormatPr defaultColWidth="11.5546875" defaultRowHeight="14.4" x14ac:dyDescent="0.3"/>
  <cols>
    <col min="1" max="1" width="33" customWidth="1"/>
    <col min="2" max="2" width="27.21875" customWidth="1"/>
  </cols>
  <sheetData>
    <row r="1" spans="1:12" x14ac:dyDescent="0.3">
      <c r="A1" s="76" t="s">
        <v>178</v>
      </c>
      <c r="B1" s="76" t="s">
        <v>179</v>
      </c>
      <c r="C1" s="136" t="s">
        <v>292</v>
      </c>
      <c r="D1" s="136" t="s">
        <v>293</v>
      </c>
      <c r="E1" s="136" t="s">
        <v>294</v>
      </c>
      <c r="F1" s="136" t="s">
        <v>295</v>
      </c>
      <c r="G1" s="76" t="s">
        <v>296</v>
      </c>
      <c r="H1" s="76" t="s">
        <v>180</v>
      </c>
      <c r="I1" s="76" t="s">
        <v>181</v>
      </c>
      <c r="J1" s="76" t="s">
        <v>182</v>
      </c>
      <c r="K1" s="76" t="s">
        <v>183</v>
      </c>
      <c r="L1" s="76" t="s">
        <v>184</v>
      </c>
    </row>
    <row r="2" spans="1:12" ht="28.95" customHeight="1" x14ac:dyDescent="0.3">
      <c r="A2" s="14" t="s">
        <v>297</v>
      </c>
      <c r="B2" t="s">
        <v>298</v>
      </c>
      <c r="C2">
        <f>Grants!J85</f>
        <v>325.28399999999999</v>
      </c>
      <c r="D2">
        <f>Grants!K85</f>
        <v>297.32000000000005</v>
      </c>
      <c r="E2">
        <f>Grants!L85</f>
        <v>289.54199999999997</v>
      </c>
      <c r="F2">
        <f>Grants!M85</f>
        <v>315.67900000000003</v>
      </c>
      <c r="G2">
        <f>Grants!N85</f>
        <v>361.52700000000004</v>
      </c>
      <c r="H2">
        <f>Grants!O85</f>
        <v>374.99100000000004</v>
      </c>
      <c r="I2" s="37">
        <f>Grants!P85</f>
        <v>401.58485200000007</v>
      </c>
      <c r="J2" s="37">
        <f>Grants!Q85</f>
        <v>438.45827479999997</v>
      </c>
      <c r="K2" s="37">
        <f>Grants!R85</f>
        <v>505.04903199999995</v>
      </c>
      <c r="L2" s="37">
        <f>Grants!S85</f>
        <v>492.38786800000003</v>
      </c>
    </row>
    <row r="3" spans="1:12" ht="28.95" customHeight="1" x14ac:dyDescent="0.3">
      <c r="A3" s="14" t="s">
        <v>859</v>
      </c>
      <c r="B3" t="s">
        <v>856</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7">
        <f>'Social Benefits'!P28</f>
        <v>1884.7240000000002</v>
      </c>
      <c r="J3" s="37">
        <f>'Social Benefits'!Q28</f>
        <v>1829.5239999999999</v>
      </c>
      <c r="K3" s="37">
        <f>'Social Benefits'!R28</f>
        <v>1821.124</v>
      </c>
      <c r="L3" s="37">
        <f>'Social Benefits'!S28</f>
        <v>1818.9020000000003</v>
      </c>
    </row>
    <row r="4" spans="1:12" ht="28.95" customHeight="1" x14ac:dyDescent="0.3">
      <c r="A4" s="14" t="s">
        <v>861</v>
      </c>
      <c r="B4" t="s">
        <v>857</v>
      </c>
      <c r="C4">
        <f>'Social Benefits'!J17</f>
        <v>0</v>
      </c>
      <c r="D4">
        <f>'Social Benefits'!K17</f>
        <v>0</v>
      </c>
      <c r="E4">
        <f>'Social Benefits'!L17</f>
        <v>0</v>
      </c>
      <c r="F4">
        <f>'Social Benefits'!M17</f>
        <v>0</v>
      </c>
      <c r="G4">
        <f>'Social Benefits'!N17</f>
        <v>33.921840000000024</v>
      </c>
      <c r="H4">
        <f>'Social Benefits'!O17</f>
        <v>44.966160000000031</v>
      </c>
      <c r="I4" s="37">
        <f>'Social Benefits'!P17</f>
        <v>52.756999999999998</v>
      </c>
      <c r="J4" s="37">
        <f>'Social Benefits'!Q17</f>
        <v>52.756999999999998</v>
      </c>
      <c r="K4" s="37">
        <f>'Social Benefits'!R17</f>
        <v>52.756999999999998</v>
      </c>
      <c r="L4" s="37">
        <f>'Social Benefits'!S17</f>
        <v>52.756999999999998</v>
      </c>
    </row>
    <row r="5" spans="1:12" x14ac:dyDescent="0.3">
      <c r="A5" s="14" t="s">
        <v>860</v>
      </c>
      <c r="B5" t="s">
        <v>858</v>
      </c>
      <c r="C5">
        <f>'Social Benefits'!J24</f>
        <v>160.9</v>
      </c>
      <c r="D5">
        <f>'Social Benefits'!K24</f>
        <v>58.4</v>
      </c>
      <c r="E5">
        <f>'Social Benefits'!L24</f>
        <v>34.5</v>
      </c>
      <c r="F5">
        <f>'Social Benefits'!M24</f>
        <v>21.4</v>
      </c>
      <c r="G5">
        <f>'Social Benefits'!N24</f>
        <v>13.3</v>
      </c>
      <c r="H5">
        <f>'Social Benefits'!O24</f>
        <v>21.804000000000041</v>
      </c>
      <c r="I5" s="37">
        <f>'Social Benefits'!P24</f>
        <v>51.919000000000011</v>
      </c>
      <c r="J5" s="37">
        <f>'Social Benefits'!Q24</f>
        <v>46.619</v>
      </c>
      <c r="K5" s="37">
        <f>'Social Benefits'!R24</f>
        <v>39.719000000000008</v>
      </c>
      <c r="L5" s="37">
        <f>'Social Benefits'!S24</f>
        <v>27.819000000000003</v>
      </c>
    </row>
    <row r="6" spans="1:12" x14ac:dyDescent="0.3">
      <c r="A6" s="37" t="s">
        <v>201</v>
      </c>
      <c r="B6" s="37" t="s">
        <v>899</v>
      </c>
      <c r="C6" s="137">
        <f>Subsidies!J45</f>
        <v>0</v>
      </c>
      <c r="D6" s="137">
        <f>Subsidies!K45</f>
        <v>0</v>
      </c>
      <c r="E6" s="137">
        <f>Subsidies!L45</f>
        <v>0</v>
      </c>
      <c r="F6" s="137">
        <f>Subsidies!M45</f>
        <v>0</v>
      </c>
      <c r="G6" s="137">
        <f>Subsidies!N45</f>
        <v>58.782959999999989</v>
      </c>
      <c r="H6" s="137">
        <f>Subsidies!O45</f>
        <v>267.78904</v>
      </c>
      <c r="I6" s="137">
        <f>Subsidies!P45</f>
        <v>110.24799999999999</v>
      </c>
      <c r="J6" s="137">
        <f>Subsidies!Q45</f>
        <v>110.24799999999999</v>
      </c>
      <c r="K6" s="137">
        <f>Subsidies!R45</f>
        <v>110.24799999999999</v>
      </c>
      <c r="L6" s="137">
        <f>Subsidies!S45</f>
        <v>110.24799999999999</v>
      </c>
    </row>
    <row r="7" spans="1:12" ht="28.95" customHeight="1" x14ac:dyDescent="0.3">
      <c r="A7" s="14" t="s">
        <v>940</v>
      </c>
      <c r="B7" t="s">
        <v>938</v>
      </c>
      <c r="C7" s="37"/>
      <c r="D7" s="37"/>
      <c r="E7" s="37"/>
      <c r="F7" s="37"/>
      <c r="G7" s="37"/>
      <c r="H7" s="37"/>
      <c r="J7" s="135"/>
      <c r="K7" s="135"/>
      <c r="L7" s="135">
        <f>forecast!C21</f>
        <v>334.6</v>
      </c>
    </row>
    <row r="8" spans="1:12" x14ac:dyDescent="0.3">
      <c r="A8" t="s">
        <v>941</v>
      </c>
      <c r="B8" t="s">
        <v>939</v>
      </c>
      <c r="C8" s="37"/>
      <c r="D8" s="37"/>
      <c r="E8" s="37"/>
      <c r="F8" s="37"/>
      <c r="G8" s="37"/>
      <c r="H8" s="37"/>
      <c r="J8" s="135"/>
      <c r="K8" s="135"/>
      <c r="L8" s="135">
        <f>forecast!C22</f>
        <v>101.6</v>
      </c>
    </row>
    <row r="9" spans="1:12" x14ac:dyDescent="0.3">
      <c r="A9" s="14" t="s">
        <v>1018</v>
      </c>
      <c r="B9" t="s">
        <v>1019</v>
      </c>
      <c r="C9">
        <f>Grants!J116</f>
        <v>76.015000000000001</v>
      </c>
      <c r="D9">
        <f>Grants!K116</f>
        <v>78.872</v>
      </c>
      <c r="E9">
        <f>Grants!L116</f>
        <v>75.819000000000003</v>
      </c>
      <c r="F9">
        <f>Grants!M116</f>
        <v>73.662000000000006</v>
      </c>
      <c r="G9">
        <f>Grants!N116</f>
        <v>75.066000000000003</v>
      </c>
      <c r="H9">
        <f>Grants!O116</f>
        <v>69.344999999999999</v>
      </c>
      <c r="I9">
        <f>Grants!P116</f>
        <v>72.477000000000004</v>
      </c>
      <c r="J9">
        <f>Grants!Q116</f>
        <v>72.528999999999996</v>
      </c>
      <c r="K9">
        <f>Grants!R116</f>
        <v>75.340000000000018</v>
      </c>
      <c r="L9">
        <f>Grants!S116</f>
        <v>75.340000000000018</v>
      </c>
    </row>
    <row r="10" spans="1:12" x14ac:dyDescent="0.3">
      <c r="C10" s="37"/>
      <c r="D10" s="37"/>
      <c r="E10" s="37"/>
      <c r="F10" s="37"/>
      <c r="G10" s="37"/>
      <c r="H10" s="37"/>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G1:AC73"/>
  <sheetViews>
    <sheetView topLeftCell="G25" zoomScale="61" zoomScaleNormal="143" workbookViewId="0">
      <selection activeCell="S53" sqref="S53"/>
    </sheetView>
  </sheetViews>
  <sheetFormatPr defaultColWidth="11.5546875" defaultRowHeight="14.4" x14ac:dyDescent="0.3"/>
  <cols>
    <col min="1" max="6" width="0" hidden="1" customWidth="1"/>
    <col min="8" max="8" width="22.44140625" customWidth="1"/>
    <col min="9" max="9" width="11.44140625" customWidth="1"/>
    <col min="10" max="10" width="13.21875" customWidth="1"/>
    <col min="11" max="11" width="11.21875" customWidth="1"/>
    <col min="12" max="12" width="10.21875" customWidth="1"/>
    <col min="13" max="13" width="9.44140625" customWidth="1"/>
    <col min="14" max="15" width="8.77734375" customWidth="1"/>
    <col min="16" max="16" width="11.77734375" customWidth="1"/>
    <col min="17" max="18" width="8.77734375" customWidth="1"/>
    <col min="19" max="19" width="9.44140625" customWidth="1"/>
  </cols>
  <sheetData>
    <row r="1" spans="8:22" x14ac:dyDescent="0.3">
      <c r="H1" s="1146" t="s">
        <v>364</v>
      </c>
      <c r="I1" s="1146"/>
      <c r="J1" s="1146"/>
      <c r="K1" s="1146"/>
      <c r="L1" s="1146"/>
      <c r="M1" s="1146"/>
      <c r="N1" s="1146"/>
      <c r="O1" s="1146"/>
      <c r="P1" s="1146"/>
      <c r="Q1" s="1146"/>
      <c r="R1" s="1146"/>
      <c r="S1" s="1146"/>
    </row>
    <row r="2" spans="8:22" x14ac:dyDescent="0.3">
      <c r="H2" s="1145" t="s">
        <v>365</v>
      </c>
      <c r="I2" s="1145"/>
      <c r="J2" s="1145"/>
      <c r="K2" s="1145"/>
      <c r="L2" s="1145"/>
      <c r="M2" s="1145"/>
      <c r="N2" s="1145"/>
      <c r="O2" s="1145"/>
      <c r="P2" s="1145"/>
      <c r="Q2" s="1145"/>
      <c r="R2" s="1145"/>
      <c r="S2" s="1145"/>
    </row>
    <row r="3" spans="8:22" x14ac:dyDescent="0.3">
      <c r="H3" s="1145"/>
      <c r="I3" s="1145"/>
      <c r="J3" s="1145"/>
      <c r="K3" s="1145"/>
      <c r="L3" s="1145"/>
      <c r="M3" s="1145"/>
      <c r="N3" s="1145"/>
      <c r="O3" s="1145"/>
      <c r="P3" s="1145"/>
      <c r="Q3" s="1145"/>
      <c r="R3" s="1145"/>
      <c r="S3" s="1145"/>
    </row>
    <row r="4" spans="8:22" x14ac:dyDescent="0.3">
      <c r="H4" s="1145"/>
      <c r="I4" s="1145"/>
      <c r="J4" s="1145"/>
      <c r="K4" s="1145"/>
      <c r="L4" s="1145"/>
      <c r="M4" s="1145"/>
      <c r="N4" s="1145"/>
      <c r="O4" s="1145"/>
      <c r="P4" s="1145"/>
      <c r="Q4" s="1145"/>
      <c r="R4" s="1145"/>
      <c r="S4" s="1145"/>
    </row>
    <row r="5" spans="8:22" ht="54.75" customHeight="1" x14ac:dyDescent="0.3">
      <c r="H5" s="1145"/>
      <c r="I5" s="1145"/>
      <c r="J5" s="1145"/>
      <c r="K5" s="1145"/>
      <c r="L5" s="1145"/>
      <c r="M5" s="1145"/>
      <c r="N5" s="1145"/>
      <c r="O5" s="1145"/>
      <c r="P5" s="1145"/>
      <c r="Q5" s="1145"/>
      <c r="R5" s="1145"/>
      <c r="S5" s="1145"/>
    </row>
    <row r="6" spans="8:22" x14ac:dyDescent="0.3">
      <c r="H6" s="180"/>
      <c r="I6" s="180"/>
      <c r="J6" s="180"/>
      <c r="K6" s="180"/>
      <c r="L6" s="180"/>
      <c r="M6" s="180"/>
      <c r="N6" s="180"/>
      <c r="O6" s="180"/>
      <c r="P6" s="180"/>
      <c r="Q6" s="180"/>
      <c r="R6" s="180"/>
      <c r="S6" s="180"/>
    </row>
    <row r="7" spans="8:22" x14ac:dyDescent="0.3">
      <c r="H7" s="161" t="s">
        <v>366</v>
      </c>
    </row>
    <row r="8" spans="8:22" ht="16.2" customHeight="1" x14ac:dyDescent="0.3"/>
    <row r="9" spans="8:22" ht="15.75" customHeight="1" x14ac:dyDescent="0.3">
      <c r="L9" s="1147">
        <v>2020</v>
      </c>
      <c r="M9" s="1148"/>
      <c r="N9" s="1148"/>
      <c r="O9" s="188">
        <v>2021</v>
      </c>
      <c r="P9" s="188"/>
      <c r="Q9" s="188"/>
      <c r="R9" s="187"/>
    </row>
    <row r="10" spans="8:22" ht="41.55" customHeight="1" x14ac:dyDescent="0.3">
      <c r="H10" s="192" t="s">
        <v>367</v>
      </c>
      <c r="I10" s="192" t="s">
        <v>368</v>
      </c>
      <c r="J10" s="193" t="s">
        <v>369</v>
      </c>
      <c r="K10" s="149"/>
      <c r="L10" s="184" t="s">
        <v>329</v>
      </c>
      <c r="M10" s="186" t="s">
        <v>238</v>
      </c>
      <c r="N10" s="186" t="s">
        <v>327</v>
      </c>
      <c r="O10" s="186" t="s">
        <v>328</v>
      </c>
      <c r="P10" s="186" t="s">
        <v>329</v>
      </c>
      <c r="Q10" s="186" t="s">
        <v>238</v>
      </c>
      <c r="R10" s="189" t="s">
        <v>327</v>
      </c>
      <c r="S10" s="180" t="s">
        <v>370</v>
      </c>
      <c r="T10" s="149"/>
      <c r="U10" s="149"/>
      <c r="V10" s="149"/>
    </row>
    <row r="11" spans="8:22" x14ac:dyDescent="0.3">
      <c r="H11" s="194">
        <v>43934</v>
      </c>
      <c r="I11" s="138">
        <v>248</v>
      </c>
      <c r="J11" s="153">
        <f>I11</f>
        <v>248</v>
      </c>
      <c r="K11" s="138"/>
      <c r="L11" s="169">
        <f>S11/26*J11</f>
        <v>95.384615384615387</v>
      </c>
      <c r="M11" s="165">
        <f>13/26*J11</f>
        <v>124</v>
      </c>
      <c r="N11" s="165">
        <f>J11-SUM(L11:M11)</f>
        <v>28.615384615384613</v>
      </c>
      <c r="O11" s="165"/>
      <c r="P11" s="165"/>
      <c r="Q11" s="165"/>
      <c r="R11" s="170"/>
      <c r="S11" s="138">
        <v>10</v>
      </c>
      <c r="T11" s="138"/>
      <c r="U11" s="166"/>
      <c r="V11" s="138"/>
    </row>
    <row r="12" spans="8:22" x14ac:dyDescent="0.3">
      <c r="H12" s="167">
        <v>43937</v>
      </c>
      <c r="I12" s="138">
        <v>342</v>
      </c>
      <c r="J12" s="153">
        <f>I12-I11</f>
        <v>94</v>
      </c>
      <c r="K12" s="138"/>
      <c r="L12" s="169">
        <f t="shared" ref="L12:L20" si="0">S12/26*J12</f>
        <v>36.153846153846153</v>
      </c>
      <c r="M12" s="165">
        <f t="shared" ref="M12:M20" si="1">13/26*J12</f>
        <v>47</v>
      </c>
      <c r="N12" s="165">
        <f t="shared" ref="N12:N21" si="2">J12-SUM(L12:M12)</f>
        <v>10.84615384615384</v>
      </c>
      <c r="O12" s="165"/>
      <c r="P12" s="165"/>
      <c r="Q12" s="165"/>
      <c r="R12" s="170"/>
      <c r="S12" s="138">
        <v>10</v>
      </c>
      <c r="T12" s="138"/>
      <c r="U12" s="138"/>
      <c r="V12" s="138"/>
    </row>
    <row r="13" spans="8:22" x14ac:dyDescent="0.3">
      <c r="H13" s="167">
        <v>43952</v>
      </c>
      <c r="I13" s="138">
        <v>518</v>
      </c>
      <c r="J13" s="153">
        <f>I13-I12</f>
        <v>176</v>
      </c>
      <c r="K13" s="138"/>
      <c r="L13" s="169">
        <f t="shared" si="0"/>
        <v>54.15384615384616</v>
      </c>
      <c r="M13" s="165">
        <f t="shared" si="1"/>
        <v>88</v>
      </c>
      <c r="N13" s="165">
        <f t="shared" si="2"/>
        <v>33.84615384615384</v>
      </c>
      <c r="O13" s="165"/>
      <c r="P13" s="165"/>
      <c r="Q13" s="165"/>
      <c r="R13" s="170"/>
      <c r="S13" s="138">
        <v>8</v>
      </c>
      <c r="T13" s="138"/>
      <c r="U13" s="138"/>
      <c r="V13" s="138"/>
    </row>
    <row r="14" spans="8:22" x14ac:dyDescent="0.3">
      <c r="H14" s="167">
        <v>43959</v>
      </c>
      <c r="I14" s="138">
        <v>531</v>
      </c>
      <c r="J14" s="153">
        <f t="shared" ref="J14:J45" si="3">I14-I13</f>
        <v>13</v>
      </c>
      <c r="K14" s="138"/>
      <c r="L14" s="169">
        <f t="shared" si="0"/>
        <v>3.5</v>
      </c>
      <c r="M14" s="165">
        <f t="shared" si="1"/>
        <v>6.5</v>
      </c>
      <c r="N14" s="165">
        <f t="shared" si="2"/>
        <v>3</v>
      </c>
      <c r="O14" s="165"/>
      <c r="P14" s="165"/>
      <c r="Q14" s="165"/>
      <c r="R14" s="170"/>
      <c r="S14" s="138">
        <f t="shared" ref="S14:S20" si="4">S13-1</f>
        <v>7</v>
      </c>
      <c r="T14" s="138"/>
      <c r="U14" s="138"/>
      <c r="V14" s="138"/>
    </row>
    <row r="15" spans="8:22" x14ac:dyDescent="0.3">
      <c r="H15" s="167">
        <v>43967</v>
      </c>
      <c r="I15" s="138">
        <v>513</v>
      </c>
      <c r="J15" s="153">
        <f t="shared" si="3"/>
        <v>-18</v>
      </c>
      <c r="K15" s="138"/>
      <c r="L15" s="169">
        <f t="shared" ref="L15:L17" si="5">S15/26*J15</f>
        <v>-4.1538461538461542</v>
      </c>
      <c r="M15" s="165">
        <f t="shared" ref="M15:M17" si="6">13/26*J15</f>
        <v>-9</v>
      </c>
      <c r="N15" s="165">
        <f t="shared" ref="N15:N17" si="7">J15-SUM(L15:M15)</f>
        <v>-4.8461538461538467</v>
      </c>
      <c r="O15" s="165"/>
      <c r="P15" s="165"/>
      <c r="Q15" s="165"/>
      <c r="R15" s="170"/>
      <c r="S15" s="138">
        <f t="shared" si="4"/>
        <v>6</v>
      </c>
      <c r="T15" s="138"/>
      <c r="U15" s="138"/>
      <c r="V15" s="138"/>
    </row>
    <row r="16" spans="8:22" x14ac:dyDescent="0.3">
      <c r="H16" s="167">
        <v>43974</v>
      </c>
      <c r="I16" s="138">
        <v>511</v>
      </c>
      <c r="J16" s="153">
        <f t="shared" si="3"/>
        <v>-2</v>
      </c>
      <c r="K16" s="138"/>
      <c r="L16" s="169">
        <f t="shared" si="5"/>
        <v>-0.38461538461538464</v>
      </c>
      <c r="M16" s="165">
        <f t="shared" si="6"/>
        <v>-1</v>
      </c>
      <c r="N16" s="165">
        <f t="shared" si="7"/>
        <v>-0.61538461538461542</v>
      </c>
      <c r="O16" s="165"/>
      <c r="P16" s="165"/>
      <c r="Q16" s="165"/>
      <c r="R16" s="170"/>
      <c r="S16" s="138">
        <f t="shared" si="4"/>
        <v>5</v>
      </c>
      <c r="T16" s="138"/>
      <c r="U16" s="138"/>
      <c r="V16" s="138"/>
    </row>
    <row r="17" spans="8:22" x14ac:dyDescent="0.3">
      <c r="H17" s="167">
        <v>43981</v>
      </c>
      <c r="I17" s="138">
        <v>510</v>
      </c>
      <c r="J17" s="153">
        <f t="shared" si="3"/>
        <v>-1</v>
      </c>
      <c r="K17" s="138"/>
      <c r="L17" s="169">
        <f t="shared" si="5"/>
        <v>-0.15384615384615385</v>
      </c>
      <c r="M17" s="165">
        <f t="shared" si="6"/>
        <v>-0.5</v>
      </c>
      <c r="N17" s="165">
        <f t="shared" si="7"/>
        <v>-0.34615384615384615</v>
      </c>
      <c r="O17" s="165"/>
      <c r="P17" s="165"/>
      <c r="Q17" s="165"/>
      <c r="R17" s="170"/>
      <c r="S17" s="138">
        <f t="shared" si="4"/>
        <v>4</v>
      </c>
      <c r="T17" s="138"/>
      <c r="U17" s="138"/>
      <c r="V17" s="138"/>
    </row>
    <row r="18" spans="8:22" x14ac:dyDescent="0.3">
      <c r="H18" s="167">
        <v>43988</v>
      </c>
      <c r="I18" s="138">
        <v>511</v>
      </c>
      <c r="J18" s="153">
        <f t="shared" si="3"/>
        <v>1</v>
      </c>
      <c r="K18" s="138"/>
      <c r="L18" s="169">
        <f t="shared" si="0"/>
        <v>0.11538461538461539</v>
      </c>
      <c r="M18" s="165">
        <f t="shared" si="1"/>
        <v>0.5</v>
      </c>
      <c r="N18" s="165">
        <f t="shared" si="2"/>
        <v>0.38461538461538458</v>
      </c>
      <c r="O18" s="165"/>
      <c r="P18" s="165"/>
      <c r="Q18" s="165"/>
      <c r="R18" s="170"/>
      <c r="S18" s="138">
        <f t="shared" si="4"/>
        <v>3</v>
      </c>
      <c r="T18" s="138"/>
      <c r="U18" s="138"/>
      <c r="V18" s="138"/>
    </row>
    <row r="19" spans="8:22" x14ac:dyDescent="0.3">
      <c r="H19" s="167">
        <v>43994</v>
      </c>
      <c r="I19" s="138">
        <v>512</v>
      </c>
      <c r="J19" s="153">
        <f t="shared" si="3"/>
        <v>1</v>
      </c>
      <c r="K19" s="138"/>
      <c r="L19" s="169">
        <f t="shared" si="0"/>
        <v>7.6923076923076927E-2</v>
      </c>
      <c r="M19" s="165">
        <f t="shared" si="1"/>
        <v>0.5</v>
      </c>
      <c r="N19" s="165">
        <f t="shared" si="2"/>
        <v>0.42307692307692313</v>
      </c>
      <c r="O19" s="165"/>
      <c r="P19" s="165"/>
      <c r="Q19" s="165"/>
      <c r="R19" s="170"/>
      <c r="S19" s="138">
        <f t="shared" si="4"/>
        <v>2</v>
      </c>
      <c r="T19" s="138"/>
      <c r="U19" s="138"/>
      <c r="V19" s="138"/>
    </row>
    <row r="20" spans="8:22" x14ac:dyDescent="0.3">
      <c r="H20" s="167">
        <v>44002</v>
      </c>
      <c r="I20" s="138">
        <v>515</v>
      </c>
      <c r="J20" s="153">
        <f t="shared" si="3"/>
        <v>3</v>
      </c>
      <c r="K20" s="138"/>
      <c r="L20" s="169">
        <f t="shared" si="0"/>
        <v>0.11538461538461539</v>
      </c>
      <c r="M20" s="165">
        <f t="shared" si="1"/>
        <v>1.5</v>
      </c>
      <c r="N20" s="165">
        <f t="shared" si="2"/>
        <v>1.3846153846153846</v>
      </c>
      <c r="O20" s="165"/>
      <c r="P20" s="165"/>
      <c r="Q20" s="165"/>
      <c r="R20" s="170"/>
      <c r="S20" s="138">
        <f t="shared" si="4"/>
        <v>1</v>
      </c>
      <c r="T20" s="138"/>
      <c r="U20" s="138"/>
      <c r="V20" s="138"/>
    </row>
    <row r="21" spans="8:22" x14ac:dyDescent="0.3">
      <c r="H21" s="167">
        <v>44009</v>
      </c>
      <c r="I21" s="138">
        <v>519</v>
      </c>
      <c r="J21" s="153">
        <f t="shared" si="3"/>
        <v>4</v>
      </c>
      <c r="K21" s="138"/>
      <c r="L21" s="169"/>
      <c r="M21" s="165">
        <f>S21/26*J21</f>
        <v>2</v>
      </c>
      <c r="N21" s="165">
        <f t="shared" si="2"/>
        <v>2</v>
      </c>
      <c r="O21" s="165"/>
      <c r="P21" s="165"/>
      <c r="Q21" s="165"/>
      <c r="R21" s="170"/>
      <c r="S21" s="138">
        <v>13</v>
      </c>
      <c r="T21" s="138"/>
      <c r="U21" s="138"/>
      <c r="V21" s="138"/>
    </row>
    <row r="22" spans="8:22" x14ac:dyDescent="0.3">
      <c r="H22" s="167">
        <v>44012</v>
      </c>
      <c r="I22" s="138">
        <v>521</v>
      </c>
      <c r="J22" s="153">
        <f t="shared" si="3"/>
        <v>2</v>
      </c>
      <c r="K22" s="138"/>
      <c r="L22" s="169"/>
      <c r="M22" s="165">
        <f t="shared" ref="M22:M26" si="8">S22/26*J22</f>
        <v>1</v>
      </c>
      <c r="N22" s="165">
        <f>J22-SUM(L22:M22)</f>
        <v>1</v>
      </c>
      <c r="O22" s="165"/>
      <c r="P22" s="165"/>
      <c r="Q22" s="165"/>
      <c r="R22" s="170"/>
      <c r="S22" s="138">
        <v>13</v>
      </c>
      <c r="T22" s="138"/>
      <c r="U22" s="138"/>
      <c r="V22" s="138"/>
    </row>
    <row r="23" spans="8:22" x14ac:dyDescent="0.3">
      <c r="H23" s="167">
        <v>44029</v>
      </c>
      <c r="I23" s="138">
        <v>518</v>
      </c>
      <c r="J23" s="153">
        <f t="shared" si="3"/>
        <v>-3</v>
      </c>
      <c r="K23" s="138"/>
      <c r="L23" s="169"/>
      <c r="M23" s="165">
        <f t="shared" ref="M23" si="9">S23/26*J23</f>
        <v>-1.153846153846154</v>
      </c>
      <c r="N23" s="165">
        <f t="shared" ref="N23" si="10">13/26*J23</f>
        <v>-1.5</v>
      </c>
      <c r="O23" s="165">
        <f t="shared" ref="O23" si="11">J23-N23-M23</f>
        <v>-0.34615384615384603</v>
      </c>
      <c r="P23" s="165"/>
      <c r="Q23" s="165"/>
      <c r="R23" s="170"/>
      <c r="S23" s="138">
        <f>S22-3</f>
        <v>10</v>
      </c>
      <c r="T23" s="138"/>
      <c r="U23" s="138"/>
      <c r="V23" s="138"/>
    </row>
    <row r="24" spans="8:22" x14ac:dyDescent="0.3">
      <c r="H24" s="167">
        <v>44036</v>
      </c>
      <c r="I24" s="138">
        <v>520</v>
      </c>
      <c r="J24" s="153">
        <f t="shared" si="3"/>
        <v>2</v>
      </c>
      <c r="K24" s="138"/>
      <c r="L24" s="169"/>
      <c r="M24" s="165">
        <f t="shared" si="8"/>
        <v>0.69230769230769229</v>
      </c>
      <c r="N24" s="165">
        <f t="shared" ref="N24:N26" si="12">13/26*J24</f>
        <v>1</v>
      </c>
      <c r="O24" s="165">
        <f t="shared" ref="O24:O26" si="13">J24-N24-M24</f>
        <v>0.30769230769230771</v>
      </c>
      <c r="P24" s="165"/>
      <c r="Q24" s="165"/>
      <c r="R24" s="170"/>
      <c r="S24" s="138">
        <f>S23-1</f>
        <v>9</v>
      </c>
      <c r="T24" s="138"/>
      <c r="U24" s="138"/>
      <c r="V24" s="138"/>
    </row>
    <row r="25" spans="8:22" x14ac:dyDescent="0.3">
      <c r="H25" s="167">
        <v>44043</v>
      </c>
      <c r="I25" s="138">
        <v>521</v>
      </c>
      <c r="J25" s="153">
        <f t="shared" si="3"/>
        <v>1</v>
      </c>
      <c r="K25" s="138"/>
      <c r="L25" s="169"/>
      <c r="M25" s="165">
        <f t="shared" si="8"/>
        <v>0.30769230769230771</v>
      </c>
      <c r="N25" s="165">
        <f t="shared" si="12"/>
        <v>0.5</v>
      </c>
      <c r="O25" s="165">
        <f t="shared" si="13"/>
        <v>0.19230769230769229</v>
      </c>
      <c r="P25" s="165"/>
      <c r="Q25" s="165"/>
      <c r="R25" s="170"/>
      <c r="S25" s="138">
        <f>S24-1</f>
        <v>8</v>
      </c>
      <c r="T25" s="138"/>
      <c r="U25" s="138"/>
      <c r="V25" s="138"/>
    </row>
    <row r="26" spans="8:22" x14ac:dyDescent="0.3">
      <c r="H26" s="167">
        <v>44051</v>
      </c>
      <c r="I26" s="138">
        <v>525</v>
      </c>
      <c r="J26" s="153">
        <f t="shared" si="3"/>
        <v>4</v>
      </c>
      <c r="K26" s="138"/>
      <c r="L26" s="169"/>
      <c r="M26" s="165">
        <f t="shared" si="8"/>
        <v>1.0769230769230769</v>
      </c>
      <c r="N26" s="165">
        <f t="shared" si="12"/>
        <v>2</v>
      </c>
      <c r="O26" s="165">
        <f t="shared" si="13"/>
        <v>0.92307692307692313</v>
      </c>
      <c r="P26" s="165"/>
      <c r="Q26" s="165"/>
      <c r="R26" s="170"/>
      <c r="S26" s="138">
        <f>S25-1</f>
        <v>7</v>
      </c>
      <c r="T26" s="138"/>
      <c r="U26" s="138"/>
      <c r="V26" s="138"/>
    </row>
    <row r="27" spans="8:22" x14ac:dyDescent="0.3">
      <c r="H27" s="167">
        <v>44220</v>
      </c>
      <c r="I27" s="138">
        <v>558</v>
      </c>
      <c r="J27" s="153">
        <f t="shared" si="3"/>
        <v>33</v>
      </c>
      <c r="K27" s="138"/>
      <c r="L27" s="169"/>
      <c r="M27" s="165"/>
      <c r="N27" s="165"/>
      <c r="O27" s="165">
        <f>S27/26*J27</f>
        <v>12.692307692307693</v>
      </c>
      <c r="P27" s="165">
        <f>J27/2</f>
        <v>16.5</v>
      </c>
      <c r="Q27" s="165">
        <f>J27-P27-O27</f>
        <v>3.8076923076923066</v>
      </c>
      <c r="R27" s="170"/>
      <c r="S27" s="138">
        <v>10</v>
      </c>
      <c r="T27" s="138">
        <v>10</v>
      </c>
      <c r="U27" s="138"/>
      <c r="V27" s="138"/>
    </row>
    <row r="28" spans="8:22" x14ac:dyDescent="0.3">
      <c r="H28" s="167">
        <v>44227</v>
      </c>
      <c r="I28" s="138">
        <v>596</v>
      </c>
      <c r="J28" s="153">
        <f t="shared" si="3"/>
        <v>38</v>
      </c>
      <c r="K28" s="138"/>
      <c r="L28" s="169"/>
      <c r="M28" s="165"/>
      <c r="N28" s="165"/>
      <c r="O28" s="165">
        <f t="shared" ref="O28:O36" si="14">S28/26*J28</f>
        <v>13.153846153846153</v>
      </c>
      <c r="P28" s="165">
        <f t="shared" ref="P28:P36" si="15">J28/2</f>
        <v>19</v>
      </c>
      <c r="Q28" s="165">
        <f t="shared" ref="Q28:Q36" si="16">J28-P28-O28</f>
        <v>5.8461538461538467</v>
      </c>
      <c r="R28" s="170"/>
      <c r="S28" s="138">
        <f>S27-1</f>
        <v>9</v>
      </c>
      <c r="T28" s="138">
        <f>T27-1</f>
        <v>9</v>
      </c>
      <c r="U28" s="138"/>
      <c r="V28" s="138"/>
    </row>
    <row r="29" spans="8:22" x14ac:dyDescent="0.3">
      <c r="H29" s="167">
        <v>44234</v>
      </c>
      <c r="I29" s="138">
        <v>623</v>
      </c>
      <c r="J29" s="153">
        <f t="shared" si="3"/>
        <v>27</v>
      </c>
      <c r="K29" s="138"/>
      <c r="L29" s="169"/>
      <c r="M29" s="165"/>
      <c r="N29" s="165"/>
      <c r="O29" s="165">
        <f t="shared" si="14"/>
        <v>8.3076923076923084</v>
      </c>
      <c r="P29" s="165">
        <f t="shared" si="15"/>
        <v>13.5</v>
      </c>
      <c r="Q29" s="165">
        <f t="shared" si="16"/>
        <v>5.1923076923076916</v>
      </c>
      <c r="R29" s="170"/>
      <c r="S29" s="138">
        <f t="shared" ref="S29:S36" si="17">S28-1</f>
        <v>8</v>
      </c>
      <c r="T29" s="138">
        <f t="shared" ref="T29:T36" si="18">T28-1</f>
        <v>8</v>
      </c>
      <c r="U29" s="138"/>
      <c r="V29" s="138"/>
    </row>
    <row r="30" spans="8:22" x14ac:dyDescent="0.3">
      <c r="H30" s="167">
        <v>44242</v>
      </c>
      <c r="I30" s="138">
        <v>648</v>
      </c>
      <c r="J30" s="153">
        <f t="shared" si="3"/>
        <v>25</v>
      </c>
      <c r="K30" s="138"/>
      <c r="L30" s="169"/>
      <c r="M30" s="165"/>
      <c r="N30" s="165"/>
      <c r="O30" s="165">
        <f t="shared" si="14"/>
        <v>6.7307692307692308</v>
      </c>
      <c r="P30" s="165">
        <f t="shared" si="15"/>
        <v>12.5</v>
      </c>
      <c r="Q30" s="165">
        <f t="shared" si="16"/>
        <v>5.7692307692307692</v>
      </c>
      <c r="R30" s="170"/>
      <c r="S30" s="138">
        <f t="shared" si="17"/>
        <v>7</v>
      </c>
      <c r="T30" s="138">
        <f t="shared" si="18"/>
        <v>7</v>
      </c>
      <c r="U30" s="138"/>
      <c r="V30" s="138"/>
    </row>
    <row r="31" spans="8:22" x14ac:dyDescent="0.3">
      <c r="H31" s="167">
        <v>44248</v>
      </c>
      <c r="I31" s="138">
        <v>663</v>
      </c>
      <c r="J31" s="153">
        <f t="shared" si="3"/>
        <v>15</v>
      </c>
      <c r="K31" s="138"/>
      <c r="L31" s="169"/>
      <c r="M31" s="165"/>
      <c r="N31" s="165"/>
      <c r="O31" s="165">
        <f t="shared" si="14"/>
        <v>3.4615384615384617</v>
      </c>
      <c r="P31" s="165">
        <f t="shared" si="15"/>
        <v>7.5</v>
      </c>
      <c r="Q31" s="165">
        <f t="shared" si="16"/>
        <v>4.0384615384615383</v>
      </c>
      <c r="R31" s="170"/>
      <c r="S31" s="138">
        <f t="shared" si="17"/>
        <v>6</v>
      </c>
      <c r="T31" s="138">
        <f t="shared" si="18"/>
        <v>6</v>
      </c>
      <c r="U31" s="138"/>
      <c r="V31" s="138"/>
    </row>
    <row r="32" spans="8:22" x14ac:dyDescent="0.3">
      <c r="H32" s="167">
        <v>44255</v>
      </c>
      <c r="I32" s="138">
        <v>679</v>
      </c>
      <c r="J32" s="153">
        <f t="shared" si="3"/>
        <v>16</v>
      </c>
      <c r="K32" s="138"/>
      <c r="L32" s="169"/>
      <c r="M32" s="165"/>
      <c r="N32" s="165"/>
      <c r="O32" s="165">
        <f t="shared" si="14"/>
        <v>3.0769230769230771</v>
      </c>
      <c r="P32" s="165">
        <f t="shared" si="15"/>
        <v>8</v>
      </c>
      <c r="Q32" s="165">
        <f t="shared" si="16"/>
        <v>4.9230769230769234</v>
      </c>
      <c r="R32" s="170"/>
      <c r="S32" s="138">
        <f t="shared" si="17"/>
        <v>5</v>
      </c>
      <c r="T32" s="138">
        <f t="shared" si="18"/>
        <v>5</v>
      </c>
      <c r="U32" s="138"/>
      <c r="V32" s="138"/>
    </row>
    <row r="33" spans="8:22" x14ac:dyDescent="0.3">
      <c r="H33" s="167">
        <v>44262</v>
      </c>
      <c r="I33" s="138">
        <v>687</v>
      </c>
      <c r="J33" s="153">
        <f t="shared" si="3"/>
        <v>8</v>
      </c>
      <c r="K33" s="138"/>
      <c r="L33" s="169"/>
      <c r="M33" s="165"/>
      <c r="N33" s="165"/>
      <c r="O33" s="165">
        <f t="shared" si="14"/>
        <v>1.2307692307692308</v>
      </c>
      <c r="P33" s="165">
        <f t="shared" si="15"/>
        <v>4</v>
      </c>
      <c r="Q33" s="165">
        <f t="shared" si="16"/>
        <v>2.7692307692307692</v>
      </c>
      <c r="R33" s="170"/>
      <c r="S33" s="138">
        <f t="shared" si="17"/>
        <v>4</v>
      </c>
      <c r="T33" s="138">
        <f t="shared" si="18"/>
        <v>4</v>
      </c>
      <c r="U33" s="138"/>
      <c r="V33" s="138"/>
    </row>
    <row r="34" spans="8:22" x14ac:dyDescent="0.3">
      <c r="H34" s="167">
        <v>44269</v>
      </c>
      <c r="I34" s="138">
        <v>704</v>
      </c>
      <c r="J34" s="153">
        <f t="shared" si="3"/>
        <v>17</v>
      </c>
      <c r="K34" s="138"/>
      <c r="L34" s="169"/>
      <c r="M34" s="165"/>
      <c r="N34" s="165"/>
      <c r="O34" s="165">
        <f t="shared" si="14"/>
        <v>1.9615384615384617</v>
      </c>
      <c r="P34" s="165">
        <f t="shared" si="15"/>
        <v>8.5</v>
      </c>
      <c r="Q34" s="165">
        <f t="shared" si="16"/>
        <v>6.5384615384615383</v>
      </c>
      <c r="R34" s="170"/>
      <c r="S34" s="138">
        <f t="shared" si="17"/>
        <v>3</v>
      </c>
      <c r="T34" s="138">
        <f t="shared" si="18"/>
        <v>3</v>
      </c>
      <c r="U34" s="138"/>
      <c r="V34" s="138"/>
    </row>
    <row r="35" spans="8:22" x14ac:dyDescent="0.3">
      <c r="H35" s="167">
        <v>44276</v>
      </c>
      <c r="I35" s="138">
        <v>718</v>
      </c>
      <c r="J35" s="153">
        <f t="shared" si="3"/>
        <v>14</v>
      </c>
      <c r="K35" s="138"/>
      <c r="L35" s="169"/>
      <c r="M35" s="165"/>
      <c r="N35" s="165"/>
      <c r="O35" s="165">
        <f t="shared" si="14"/>
        <v>1.0769230769230771</v>
      </c>
      <c r="P35" s="165">
        <f t="shared" si="15"/>
        <v>7</v>
      </c>
      <c r="Q35" s="165">
        <f t="shared" si="16"/>
        <v>5.9230769230769234</v>
      </c>
      <c r="R35" s="170"/>
      <c r="S35" s="138">
        <f t="shared" si="17"/>
        <v>2</v>
      </c>
      <c r="T35" s="138">
        <f t="shared" si="18"/>
        <v>2</v>
      </c>
      <c r="U35" s="138"/>
      <c r="V35" s="138"/>
    </row>
    <row r="36" spans="8:22" x14ac:dyDescent="0.3">
      <c r="H36" s="167">
        <v>44283</v>
      </c>
      <c r="I36" s="138">
        <v>734</v>
      </c>
      <c r="J36" s="153">
        <f t="shared" si="3"/>
        <v>16</v>
      </c>
      <c r="K36" s="138"/>
      <c r="L36" s="169"/>
      <c r="M36" s="165"/>
      <c r="N36" s="165"/>
      <c r="O36" s="165">
        <f t="shared" si="14"/>
        <v>0.61538461538461542</v>
      </c>
      <c r="P36" s="165">
        <f t="shared" si="15"/>
        <v>8</v>
      </c>
      <c r="Q36" s="165">
        <f t="shared" si="16"/>
        <v>7.384615384615385</v>
      </c>
      <c r="R36" s="170"/>
      <c r="S36" s="138">
        <f t="shared" si="17"/>
        <v>1</v>
      </c>
      <c r="T36" s="138">
        <f t="shared" si="18"/>
        <v>1</v>
      </c>
      <c r="U36" s="138"/>
      <c r="V36" s="138"/>
    </row>
    <row r="37" spans="8:22" x14ac:dyDescent="0.3">
      <c r="H37" s="167">
        <v>44290</v>
      </c>
      <c r="I37" s="138">
        <v>746</v>
      </c>
      <c r="J37" s="153">
        <f t="shared" si="3"/>
        <v>12</v>
      </c>
      <c r="K37" s="138"/>
      <c r="L37" s="169"/>
      <c r="M37" s="165"/>
      <c r="N37" s="165"/>
      <c r="O37" s="165"/>
      <c r="P37" s="165">
        <f>T37/26*J37</f>
        <v>6</v>
      </c>
      <c r="Q37" s="165">
        <f>J37/2</f>
        <v>6</v>
      </c>
      <c r="R37" s="170">
        <f>J37-Q37-P37</f>
        <v>0</v>
      </c>
      <c r="S37" s="138">
        <v>13</v>
      </c>
      <c r="T37" s="138">
        <v>13</v>
      </c>
      <c r="U37" s="138"/>
      <c r="V37" s="138"/>
    </row>
    <row r="38" spans="8:22" x14ac:dyDescent="0.3">
      <c r="H38" s="167">
        <v>44297</v>
      </c>
      <c r="I38" s="138">
        <v>755</v>
      </c>
      <c r="J38" s="153">
        <f t="shared" si="3"/>
        <v>9</v>
      </c>
      <c r="K38" s="138"/>
      <c r="L38" s="169"/>
      <c r="M38" s="165"/>
      <c r="N38" s="165"/>
      <c r="O38" s="165"/>
      <c r="P38" s="165">
        <f t="shared" ref="P38:P45" si="19">T38/26*J38</f>
        <v>4.1538461538461542</v>
      </c>
      <c r="Q38" s="165">
        <f t="shared" ref="Q38:Q45" si="20">J38/2</f>
        <v>4.5</v>
      </c>
      <c r="R38" s="170">
        <f t="shared" ref="R38:R45" si="21">J38-Q38-P38</f>
        <v>0.34615384615384581</v>
      </c>
      <c r="S38" s="138">
        <f>S37-1</f>
        <v>12</v>
      </c>
      <c r="T38" s="138">
        <f>T37-1</f>
        <v>12</v>
      </c>
      <c r="U38" s="138"/>
      <c r="V38" s="138"/>
    </row>
    <row r="39" spans="8:22" x14ac:dyDescent="0.3">
      <c r="H39" s="167">
        <v>44304</v>
      </c>
      <c r="I39" s="138">
        <v>762</v>
      </c>
      <c r="J39" s="153">
        <f t="shared" si="3"/>
        <v>7</v>
      </c>
      <c r="K39" s="138"/>
      <c r="L39" s="169"/>
      <c r="M39" s="165"/>
      <c r="N39" s="165"/>
      <c r="O39" s="165"/>
      <c r="P39" s="165">
        <f t="shared" si="19"/>
        <v>2.9615384615384617</v>
      </c>
      <c r="Q39" s="165">
        <f t="shared" si="20"/>
        <v>3.5</v>
      </c>
      <c r="R39" s="170">
        <f t="shared" si="21"/>
        <v>0.53846153846153832</v>
      </c>
      <c r="S39" s="138">
        <f t="shared" ref="S39:S45" si="22">S38-1</f>
        <v>11</v>
      </c>
      <c r="T39" s="138">
        <f t="shared" ref="T39:T45" si="23">T38-1</f>
        <v>11</v>
      </c>
      <c r="U39" s="138"/>
      <c r="V39" s="138"/>
    </row>
    <row r="40" spans="8:22" x14ac:dyDescent="0.3">
      <c r="H40" s="167">
        <v>44311</v>
      </c>
      <c r="I40" s="138">
        <v>771</v>
      </c>
      <c r="J40" s="153">
        <f t="shared" si="3"/>
        <v>9</v>
      </c>
      <c r="K40" s="138"/>
      <c r="L40" s="169"/>
      <c r="M40" s="165"/>
      <c r="N40" s="165"/>
      <c r="O40" s="165"/>
      <c r="P40" s="165">
        <f t="shared" si="19"/>
        <v>3.4615384615384617</v>
      </c>
      <c r="Q40" s="165">
        <f t="shared" si="20"/>
        <v>4.5</v>
      </c>
      <c r="R40" s="170">
        <f t="shared" si="21"/>
        <v>1.0384615384615383</v>
      </c>
      <c r="S40" s="138">
        <f t="shared" si="22"/>
        <v>10</v>
      </c>
      <c r="T40" s="138">
        <f t="shared" si="23"/>
        <v>10</v>
      </c>
      <c r="U40" s="138"/>
      <c r="V40" s="138"/>
    </row>
    <row r="41" spans="8:22" x14ac:dyDescent="0.3">
      <c r="H41" s="167">
        <v>44318</v>
      </c>
      <c r="I41" s="138">
        <v>780</v>
      </c>
      <c r="J41" s="153">
        <f t="shared" si="3"/>
        <v>9</v>
      </c>
      <c r="K41" s="138"/>
      <c r="L41" s="169"/>
      <c r="M41" s="165"/>
      <c r="N41" s="165"/>
      <c r="O41" s="165"/>
      <c r="P41" s="165">
        <f t="shared" si="19"/>
        <v>3.1153846153846154</v>
      </c>
      <c r="Q41" s="165">
        <f t="shared" si="20"/>
        <v>4.5</v>
      </c>
      <c r="R41" s="170">
        <f t="shared" si="21"/>
        <v>1.3846153846153846</v>
      </c>
      <c r="S41" s="138">
        <f t="shared" si="22"/>
        <v>9</v>
      </c>
      <c r="T41" s="138">
        <f t="shared" si="23"/>
        <v>9</v>
      </c>
      <c r="U41" s="138"/>
      <c r="V41" s="138"/>
    </row>
    <row r="42" spans="8:22" x14ac:dyDescent="0.3">
      <c r="H42" s="167">
        <v>44325</v>
      </c>
      <c r="I42" s="138">
        <v>782</v>
      </c>
      <c r="J42" s="153">
        <f t="shared" si="3"/>
        <v>2</v>
      </c>
      <c r="K42" s="138"/>
      <c r="L42" s="169"/>
      <c r="M42" s="165"/>
      <c r="N42" s="165"/>
      <c r="O42" s="165"/>
      <c r="P42" s="165">
        <f t="shared" si="19"/>
        <v>0.61538461538461542</v>
      </c>
      <c r="Q42" s="165">
        <f t="shared" si="20"/>
        <v>1</v>
      </c>
      <c r="R42" s="170">
        <f t="shared" si="21"/>
        <v>0.38461538461538458</v>
      </c>
      <c r="S42" s="138">
        <f t="shared" si="22"/>
        <v>8</v>
      </c>
      <c r="T42" s="138">
        <f t="shared" si="23"/>
        <v>8</v>
      </c>
      <c r="U42" s="138"/>
      <c r="V42" s="138"/>
    </row>
    <row r="43" spans="8:22" x14ac:dyDescent="0.3">
      <c r="H43" s="167">
        <v>44332</v>
      </c>
      <c r="I43" s="138">
        <v>788</v>
      </c>
      <c r="J43" s="153">
        <f t="shared" si="3"/>
        <v>6</v>
      </c>
      <c r="K43" s="138"/>
      <c r="L43" s="169"/>
      <c r="M43" s="165"/>
      <c r="N43" s="165"/>
      <c r="O43" s="165"/>
      <c r="P43" s="165">
        <f t="shared" si="19"/>
        <v>1.6153846153846154</v>
      </c>
      <c r="Q43" s="165">
        <f t="shared" si="20"/>
        <v>3</v>
      </c>
      <c r="R43" s="170">
        <f t="shared" si="21"/>
        <v>1.3846153846153846</v>
      </c>
      <c r="S43" s="138">
        <f t="shared" si="22"/>
        <v>7</v>
      </c>
      <c r="T43" s="138">
        <f t="shared" si="23"/>
        <v>7</v>
      </c>
      <c r="U43" s="138"/>
      <c r="V43" s="138"/>
    </row>
    <row r="44" spans="8:22" x14ac:dyDescent="0.3">
      <c r="H44" s="167">
        <v>44339</v>
      </c>
      <c r="I44" s="138">
        <v>796</v>
      </c>
      <c r="J44" s="153">
        <f t="shared" si="3"/>
        <v>8</v>
      </c>
      <c r="K44" s="138"/>
      <c r="L44" s="169"/>
      <c r="M44" s="165"/>
      <c r="N44" s="165"/>
      <c r="O44" s="165"/>
      <c r="P44" s="165">
        <f t="shared" si="19"/>
        <v>1.8461538461538463</v>
      </c>
      <c r="Q44" s="165">
        <f t="shared" si="20"/>
        <v>4</v>
      </c>
      <c r="R44" s="170">
        <f t="shared" si="21"/>
        <v>2.1538461538461537</v>
      </c>
      <c r="S44" s="138">
        <f t="shared" si="22"/>
        <v>6</v>
      </c>
      <c r="T44" s="138">
        <f t="shared" si="23"/>
        <v>6</v>
      </c>
      <c r="U44" s="138"/>
      <c r="V44" s="138"/>
    </row>
    <row r="45" spans="8:22" x14ac:dyDescent="0.3">
      <c r="H45" s="168">
        <v>44347</v>
      </c>
      <c r="I45" s="156">
        <v>800</v>
      </c>
      <c r="J45" s="160">
        <f t="shared" si="3"/>
        <v>4</v>
      </c>
      <c r="K45" s="138"/>
      <c r="L45" s="169"/>
      <c r="M45" s="165"/>
      <c r="N45" s="165"/>
      <c r="O45" s="165"/>
      <c r="P45" s="165">
        <f t="shared" si="19"/>
        <v>0.76923076923076927</v>
      </c>
      <c r="Q45" s="165">
        <f t="shared" si="20"/>
        <v>2</v>
      </c>
      <c r="R45" s="170">
        <f t="shared" si="21"/>
        <v>1.2307692307692308</v>
      </c>
      <c r="S45" s="138">
        <f t="shared" si="22"/>
        <v>5</v>
      </c>
      <c r="T45" s="138">
        <f t="shared" si="23"/>
        <v>5</v>
      </c>
      <c r="U45" s="138"/>
      <c r="V45" s="138"/>
    </row>
    <row r="46" spans="8:22" x14ac:dyDescent="0.3">
      <c r="H46" s="138"/>
      <c r="I46" s="138"/>
      <c r="J46" s="138"/>
      <c r="K46" s="138"/>
      <c r="L46" s="169">
        <f>SUM(L11:L45)</f>
        <v>184.80769230769229</v>
      </c>
      <c r="M46" s="165">
        <f t="shared" ref="M46:R46" si="24">SUM(M11:M45)</f>
        <v>261.42307692307696</v>
      </c>
      <c r="N46" s="165">
        <f t="shared" si="24"/>
        <v>77.692307692307693</v>
      </c>
      <c r="O46" s="165">
        <f t="shared" si="24"/>
        <v>53.384615384615394</v>
      </c>
      <c r="P46" s="165">
        <f t="shared" si="24"/>
        <v>129.03846153846155</v>
      </c>
      <c r="Q46" s="165">
        <f t="shared" si="24"/>
        <v>85.192307692307693</v>
      </c>
      <c r="R46" s="170">
        <f t="shared" si="24"/>
        <v>8.4615384615384599</v>
      </c>
      <c r="S46" s="138"/>
      <c r="T46" s="138"/>
      <c r="U46" s="138"/>
      <c r="V46" s="138"/>
    </row>
    <row r="47" spans="8:22" x14ac:dyDescent="0.3">
      <c r="H47" s="138"/>
      <c r="I47" s="138"/>
      <c r="J47" s="138"/>
      <c r="K47" s="138"/>
      <c r="L47" s="171">
        <f>L46*4</f>
        <v>739.23076923076917</v>
      </c>
      <c r="M47" s="172">
        <f t="shared" ref="M47:R47" si="25">M46*4</f>
        <v>1045.6923076923078</v>
      </c>
      <c r="N47" s="172">
        <f t="shared" si="25"/>
        <v>310.76923076923077</v>
      </c>
      <c r="O47" s="172">
        <f t="shared" si="25"/>
        <v>213.53846153846158</v>
      </c>
      <c r="P47" s="172">
        <f t="shared" si="25"/>
        <v>516.15384615384619</v>
      </c>
      <c r="Q47" s="172">
        <f t="shared" si="25"/>
        <v>340.76923076923077</v>
      </c>
      <c r="R47" s="174">
        <f t="shared" si="25"/>
        <v>33.84615384615384</v>
      </c>
      <c r="S47" s="138" t="s">
        <v>371</v>
      </c>
      <c r="T47" s="138"/>
      <c r="U47" s="138"/>
      <c r="V47" s="138"/>
    </row>
    <row r="48" spans="8:22" x14ac:dyDescent="0.3">
      <c r="J48" s="154" t="s">
        <v>372</v>
      </c>
      <c r="L48" s="154">
        <v>634</v>
      </c>
      <c r="M48" s="195">
        <f>K55</f>
        <v>900.7</v>
      </c>
      <c r="N48" s="195">
        <f t="shared" ref="N48:P48" si="26">L55</f>
        <v>270.7</v>
      </c>
      <c r="O48" s="195">
        <f t="shared" si="26"/>
        <v>208.7</v>
      </c>
      <c r="P48" s="195">
        <f t="shared" si="26"/>
        <v>469.7</v>
      </c>
      <c r="Q48" s="195">
        <v>279</v>
      </c>
      <c r="R48" s="195"/>
    </row>
    <row r="50" spans="8:29" x14ac:dyDescent="0.3">
      <c r="H50" s="1149" t="s">
        <v>373</v>
      </c>
      <c r="I50" s="1150"/>
      <c r="J50" s="1156" t="s">
        <v>325</v>
      </c>
      <c r="K50" s="1157"/>
      <c r="L50" s="1157"/>
      <c r="M50" s="1158"/>
      <c r="N50" s="1158"/>
      <c r="O50" s="1158"/>
      <c r="P50" s="1159"/>
      <c r="Q50" s="179"/>
      <c r="R50" s="179"/>
      <c r="S50" s="179"/>
      <c r="T50" s="179"/>
      <c r="U50" s="179"/>
      <c r="V50" s="179"/>
      <c r="W50" s="179"/>
      <c r="X50" s="179"/>
      <c r="Y50" s="179"/>
    </row>
    <row r="51" spans="8:29" x14ac:dyDescent="0.3">
      <c r="H51" s="1151"/>
      <c r="I51" s="1152"/>
      <c r="J51" s="1147">
        <v>2020</v>
      </c>
      <c r="K51" s="1148"/>
      <c r="L51" s="1148"/>
      <c r="M51" s="1147">
        <v>2021</v>
      </c>
      <c r="N51" s="1148"/>
      <c r="O51" s="1148"/>
      <c r="P51" s="1155"/>
      <c r="Q51" s="1144"/>
      <c r="R51" s="1144"/>
      <c r="S51" s="1144"/>
      <c r="T51" s="1144"/>
      <c r="U51" s="1144"/>
      <c r="V51" s="1144"/>
      <c r="W51" s="1144"/>
      <c r="X51" s="1144"/>
    </row>
    <row r="52" spans="8:29" x14ac:dyDescent="0.3">
      <c r="H52" s="1153"/>
      <c r="I52" s="1154"/>
      <c r="J52" s="152" t="s">
        <v>329</v>
      </c>
      <c r="K52" s="151" t="s">
        <v>238</v>
      </c>
      <c r="L52" s="151" t="s">
        <v>327</v>
      </c>
      <c r="M52" s="173" t="s">
        <v>328</v>
      </c>
      <c r="N52" s="175" t="s">
        <v>329</v>
      </c>
      <c r="O52" s="175" t="s">
        <v>238</v>
      </c>
      <c r="P52" s="155" t="s">
        <v>327</v>
      </c>
      <c r="Q52" s="138"/>
      <c r="S52" s="154"/>
      <c r="T52" s="154"/>
      <c r="U52" s="138"/>
      <c r="V52" s="154"/>
      <c r="W52" s="154"/>
      <c r="X52" s="154"/>
      <c r="Y52" s="154"/>
      <c r="Z52" s="154"/>
      <c r="AA52" s="154"/>
    </row>
    <row r="53" spans="8:29" ht="32.700000000000003" customHeight="1" x14ac:dyDescent="0.3">
      <c r="H53" s="185" t="s">
        <v>374</v>
      </c>
      <c r="I53" s="138" t="s">
        <v>375</v>
      </c>
      <c r="J53" s="190">
        <f>'Haver Pivoted'!GU47</f>
        <v>57.2</v>
      </c>
      <c r="K53" s="191">
        <f>'Haver Pivoted'!GV47</f>
        <v>81.2</v>
      </c>
      <c r="L53" s="191">
        <f>'Haver Pivoted'!GW47</f>
        <v>24.4</v>
      </c>
      <c r="M53" s="157">
        <f>'Haver Pivoted'!GX47</f>
        <v>11.7</v>
      </c>
      <c r="N53" s="157">
        <f>'Haver Pivoted'!GY47</f>
        <v>28.5</v>
      </c>
      <c r="O53" s="150">
        <f>'Haver Pivoted'!GZ47</f>
        <v>18.8</v>
      </c>
      <c r="P53" s="150">
        <f>'Haver Pivoted'!HA47</f>
        <v>1.6</v>
      </c>
      <c r="Q53" s="157"/>
      <c r="S53" s="154"/>
      <c r="T53" s="154"/>
      <c r="U53" s="154"/>
      <c r="V53" s="154"/>
      <c r="W53" s="154"/>
      <c r="X53" s="154"/>
      <c r="Y53" s="154"/>
      <c r="Z53" s="154"/>
      <c r="AA53" s="154"/>
    </row>
    <row r="54" spans="8:29" ht="33.75" customHeight="1" x14ac:dyDescent="0.3">
      <c r="H54" s="185" t="s">
        <v>376</v>
      </c>
      <c r="I54" s="147" t="s">
        <v>377</v>
      </c>
      <c r="J54" s="162">
        <f>'Haver Pivoted'!GU49</f>
        <v>576.9</v>
      </c>
      <c r="K54" s="157">
        <f>'Haver Pivoted'!GV49</f>
        <v>819.5</v>
      </c>
      <c r="L54" s="157">
        <f>'Haver Pivoted'!GW49</f>
        <v>246.3</v>
      </c>
      <c r="M54" s="157">
        <f>'Haver Pivoted'!GX49</f>
        <v>197</v>
      </c>
      <c r="N54" s="157">
        <f>'Haver Pivoted'!GY49</f>
        <v>441.2</v>
      </c>
      <c r="O54" s="150">
        <f>'Haver Pivoted'!GZ49</f>
        <v>276.7</v>
      </c>
      <c r="P54" s="150">
        <f>'Haver Pivoted'!HA49</f>
        <v>28.2</v>
      </c>
      <c r="Q54" s="157"/>
      <c r="R54" s="157"/>
    </row>
    <row r="55" spans="8:29" x14ac:dyDescent="0.3">
      <c r="H55" s="177" t="s">
        <v>360</v>
      </c>
      <c r="I55" s="138"/>
      <c r="J55" s="162">
        <f>J54+J53</f>
        <v>634.1</v>
      </c>
      <c r="K55" s="157">
        <f t="shared" ref="K55:M55" si="27">K54+K53</f>
        <v>900.7</v>
      </c>
      <c r="L55" s="157">
        <f t="shared" si="27"/>
        <v>270.7</v>
      </c>
      <c r="M55" s="157">
        <f t="shared" si="27"/>
        <v>208.7</v>
      </c>
      <c r="N55" s="157">
        <f t="shared" ref="N55:P55" si="28">N54+N53</f>
        <v>469.7</v>
      </c>
      <c r="O55" s="150">
        <f t="shared" si="28"/>
        <v>295.5</v>
      </c>
      <c r="P55" s="150">
        <f t="shared" si="28"/>
        <v>29.8</v>
      </c>
      <c r="Q55" s="157"/>
      <c r="R55" s="157"/>
    </row>
    <row r="56" spans="8:29" x14ac:dyDescent="0.3">
      <c r="H56" s="148" t="s">
        <v>378</v>
      </c>
      <c r="I56" s="156"/>
      <c r="J56" s="181">
        <f t="shared" ref="J56:P56" si="29">J53/J55</f>
        <v>9.0206592020186091E-2</v>
      </c>
      <c r="K56" s="182">
        <f t="shared" si="29"/>
        <v>9.015210391917397E-2</v>
      </c>
      <c r="L56" s="182">
        <f t="shared" si="29"/>
        <v>9.0136682674547469E-2</v>
      </c>
      <c r="M56" s="182">
        <f t="shared" si="29"/>
        <v>5.6061332055582176E-2</v>
      </c>
      <c r="N56" s="182">
        <f t="shared" si="29"/>
        <v>6.0677027890142649E-2</v>
      </c>
      <c r="O56" s="183">
        <f t="shared" si="29"/>
        <v>6.3620981387478848E-2</v>
      </c>
      <c r="P56" s="183">
        <f t="shared" si="29"/>
        <v>5.3691275167785234E-2</v>
      </c>
      <c r="Q56" s="163"/>
      <c r="R56" s="164"/>
    </row>
    <row r="58" spans="8:29" x14ac:dyDescent="0.3">
      <c r="H58" s="154" t="s">
        <v>886</v>
      </c>
    </row>
    <row r="59" spans="8:29" x14ac:dyDescent="0.3">
      <c r="H59" s="176"/>
      <c r="I59" s="138"/>
      <c r="J59" s="157"/>
      <c r="K59" s="157"/>
      <c r="L59" s="157"/>
      <c r="M59" s="157"/>
      <c r="N59" s="157"/>
      <c r="O59" s="157"/>
      <c r="P59" s="158"/>
      <c r="Q59" s="157"/>
      <c r="R59" s="157"/>
      <c r="S59" s="157"/>
      <c r="T59" s="154"/>
      <c r="U59" s="154"/>
      <c r="V59" s="154"/>
      <c r="W59" s="154"/>
      <c r="X59" s="154"/>
      <c r="Y59" s="154"/>
      <c r="Z59" s="154"/>
      <c r="AA59" s="154"/>
      <c r="AB59" s="154"/>
      <c r="AC59" s="154"/>
    </row>
    <row r="60" spans="8:29" x14ac:dyDescent="0.3">
      <c r="P60" s="157"/>
      <c r="Q60" s="154"/>
      <c r="R60" s="154"/>
      <c r="S60" s="154"/>
      <c r="T60" s="154"/>
      <c r="U60" s="154"/>
      <c r="V60" s="154"/>
      <c r="W60" s="154"/>
      <c r="X60" s="154"/>
      <c r="Y60" s="154"/>
      <c r="Z60" s="154"/>
      <c r="AA60" s="154"/>
      <c r="AB60" s="154"/>
      <c r="AC60" s="154"/>
    </row>
    <row r="61" spans="8:29" x14ac:dyDescent="0.3">
      <c r="P61" s="157"/>
      <c r="Q61" s="159"/>
      <c r="R61" s="159"/>
      <c r="S61" s="159"/>
      <c r="T61" s="159"/>
      <c r="U61" s="159"/>
      <c r="V61" s="159"/>
      <c r="W61" s="159"/>
      <c r="X61" s="159"/>
      <c r="Y61" s="159"/>
      <c r="Z61" s="159"/>
      <c r="AA61" s="159"/>
      <c r="AB61" s="159"/>
      <c r="AC61" s="154"/>
    </row>
    <row r="62" spans="8:29" x14ac:dyDescent="0.3">
      <c r="P62" s="157"/>
      <c r="Q62" s="159"/>
      <c r="R62" s="159"/>
      <c r="S62" s="159"/>
      <c r="T62" s="159"/>
      <c r="U62" s="159"/>
      <c r="V62" s="159"/>
      <c r="W62" s="159"/>
      <c r="X62" s="159"/>
      <c r="Y62" s="159"/>
      <c r="Z62" s="159"/>
      <c r="AA62" s="159"/>
      <c r="AB62" s="159"/>
      <c r="AC62" s="154"/>
    </row>
    <row r="63" spans="8:29" x14ac:dyDescent="0.3">
      <c r="I63" s="154" t="s">
        <v>328</v>
      </c>
      <c r="J63" s="154" t="s">
        <v>329</v>
      </c>
      <c r="K63" s="154" t="s">
        <v>238</v>
      </c>
      <c r="L63" s="154" t="s">
        <v>327</v>
      </c>
      <c r="P63" s="164"/>
      <c r="Q63" s="159"/>
      <c r="R63" s="159"/>
      <c r="S63" s="159"/>
      <c r="T63" s="159"/>
      <c r="U63" s="159"/>
      <c r="V63" s="159"/>
      <c r="W63" s="159"/>
      <c r="X63" s="159"/>
      <c r="Y63" s="159"/>
      <c r="Z63" s="159"/>
      <c r="AA63" s="159"/>
      <c r="AB63" s="159"/>
      <c r="AC63" s="154"/>
    </row>
    <row r="64" spans="8:29" x14ac:dyDescent="0.3">
      <c r="H64" s="154" t="s">
        <v>887</v>
      </c>
      <c r="I64" s="154">
        <v>81.599999999999994</v>
      </c>
      <c r="J64" s="154">
        <v>188.9</v>
      </c>
      <c r="K64" s="154">
        <v>117.2</v>
      </c>
      <c r="L64" s="154" t="e">
        <f>#REF!+#REF!</f>
        <v>#REF!</v>
      </c>
      <c r="P64" s="154"/>
      <c r="Q64" s="154"/>
      <c r="R64" s="154"/>
      <c r="S64" s="154"/>
      <c r="T64" s="154"/>
      <c r="U64" s="154"/>
      <c r="V64" s="154"/>
      <c r="W64" s="154"/>
      <c r="X64" s="154"/>
      <c r="Y64" s="154"/>
      <c r="Z64" s="154"/>
      <c r="AA64" s="154"/>
      <c r="AB64" s="154"/>
      <c r="AC64" s="154"/>
    </row>
    <row r="65" spans="7:29" x14ac:dyDescent="0.3">
      <c r="H65" s="154" t="s">
        <v>532</v>
      </c>
      <c r="I65" s="195">
        <f>M53</f>
        <v>11.7</v>
      </c>
      <c r="J65" s="195">
        <f t="shared" ref="J65:K65" si="30">N53</f>
        <v>28.5</v>
      </c>
      <c r="K65" s="195">
        <f t="shared" si="30"/>
        <v>18.8</v>
      </c>
      <c r="L65" s="154" t="e">
        <f>#REF!</f>
        <v>#REF!</v>
      </c>
      <c r="P65" s="154"/>
      <c r="Q65" s="154"/>
      <c r="R65" s="154"/>
      <c r="S65" s="154"/>
      <c r="T65" s="154"/>
      <c r="U65" s="154"/>
      <c r="V65" s="154"/>
      <c r="W65" s="154"/>
      <c r="X65" s="154"/>
      <c r="Y65" s="154"/>
      <c r="Z65" s="154"/>
      <c r="AA65" s="154"/>
      <c r="AB65" s="154"/>
      <c r="AC65" s="154"/>
    </row>
    <row r="66" spans="7:29" x14ac:dyDescent="0.3">
      <c r="H66" s="154" t="s">
        <v>888</v>
      </c>
      <c r="I66" s="195">
        <f>I67-SUM(I64:I65)</f>
        <v>115.39999999999999</v>
      </c>
      <c r="J66" s="195">
        <f t="shared" ref="J66:K66" si="31">J67-SUM(J64:J65)</f>
        <v>252.29999999999998</v>
      </c>
      <c r="K66" s="195">
        <f t="shared" si="31"/>
        <v>159.5</v>
      </c>
      <c r="L66" s="195" t="e">
        <f>1.26*L64</f>
        <v>#REF!</v>
      </c>
      <c r="P66" s="154"/>
      <c r="Q66" s="154"/>
      <c r="R66" s="154"/>
      <c r="S66" s="154"/>
      <c r="T66" s="154"/>
      <c r="U66" s="154"/>
      <c r="V66" s="154"/>
      <c r="W66" s="154"/>
      <c r="X66" s="154"/>
      <c r="Y66" s="154"/>
      <c r="Z66" s="154"/>
      <c r="AA66" s="154"/>
      <c r="AB66" s="154"/>
      <c r="AC66" s="154"/>
    </row>
    <row r="67" spans="7:29" x14ac:dyDescent="0.3">
      <c r="H67" s="154" t="s">
        <v>360</v>
      </c>
      <c r="I67" s="195">
        <f>M55</f>
        <v>208.7</v>
      </c>
      <c r="J67" s="195">
        <f>N55</f>
        <v>469.7</v>
      </c>
      <c r="K67" s="195">
        <f>O55</f>
        <v>295.5</v>
      </c>
      <c r="L67" s="195" t="e">
        <f>SUM(L64:L66)</f>
        <v>#REF!</v>
      </c>
    </row>
    <row r="68" spans="7:29" x14ac:dyDescent="0.3">
      <c r="G68" s="154" t="s">
        <v>889</v>
      </c>
    </row>
    <row r="69" spans="7:29" x14ac:dyDescent="0.3">
      <c r="H69" s="154" t="s">
        <v>887</v>
      </c>
      <c r="I69" s="178">
        <f>I64/I$67</f>
        <v>0.39099185433636796</v>
      </c>
      <c r="J69" s="178">
        <f t="shared" ref="J69:L69" si="32">J64/J$67</f>
        <v>0.40217159889291038</v>
      </c>
      <c r="K69" s="178">
        <f t="shared" si="32"/>
        <v>0.3966159052453469</v>
      </c>
      <c r="L69" s="178" t="e">
        <f t="shared" si="32"/>
        <v>#REF!</v>
      </c>
    </row>
    <row r="70" spans="7:29" x14ac:dyDescent="0.3">
      <c r="H70" s="154" t="s">
        <v>532</v>
      </c>
      <c r="I70" s="178">
        <f t="shared" ref="I70:L71" si="33">I65/I$67</f>
        <v>5.6061332055582176E-2</v>
      </c>
      <c r="J70" s="178">
        <f t="shared" si="33"/>
        <v>6.0677027890142649E-2</v>
      </c>
      <c r="K70" s="178">
        <f t="shared" si="33"/>
        <v>6.3620981387478848E-2</v>
      </c>
      <c r="L70" s="178" t="e">
        <f t="shared" si="33"/>
        <v>#REF!</v>
      </c>
    </row>
    <row r="71" spans="7:29" x14ac:dyDescent="0.3">
      <c r="H71" s="154" t="s">
        <v>888</v>
      </c>
      <c r="I71" s="178">
        <f t="shared" si="33"/>
        <v>0.55294681360804987</v>
      </c>
      <c r="J71" s="178">
        <f t="shared" si="33"/>
        <v>0.53715137321694695</v>
      </c>
      <c r="K71" s="178">
        <f t="shared" si="33"/>
        <v>0.53976311336717431</v>
      </c>
      <c r="L71" s="178" t="e">
        <f t="shared" si="33"/>
        <v>#REF!</v>
      </c>
    </row>
    <row r="73" spans="7:29" x14ac:dyDescent="0.3">
      <c r="H73" s="154" t="s">
        <v>890</v>
      </c>
      <c r="I73" s="154">
        <f>I66/I64</f>
        <v>1.4142156862745099</v>
      </c>
      <c r="J73" s="154">
        <f t="shared" ref="J73:K73" si="34">J66/J64</f>
        <v>1.3356273160402328</v>
      </c>
      <c r="K73" s="154">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A00-000000000000}"/>
  </hyperlink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45"/>
  <sheetViews>
    <sheetView topLeftCell="H1" zoomScale="110" zoomScaleNormal="110" workbookViewId="0">
      <selection activeCell="U10" sqref="U10"/>
    </sheetView>
  </sheetViews>
  <sheetFormatPr defaultColWidth="11.5546875" defaultRowHeight="14.4" x14ac:dyDescent="0.3"/>
  <cols>
    <col min="2" max="2" width="38.77734375" customWidth="1"/>
    <col min="3" max="9" width="10.44140625" customWidth="1"/>
    <col min="10" max="20" width="7.21875" customWidth="1"/>
    <col min="21" max="21" width="22.21875" customWidth="1"/>
    <col min="22" max="22" width="11.77734375" customWidth="1"/>
  </cols>
  <sheetData>
    <row r="1" spans="1:22" x14ac:dyDescent="0.3">
      <c r="B1" s="1133" t="s">
        <v>152</v>
      </c>
      <c r="C1" s="1133"/>
      <c r="D1" s="1133"/>
      <c r="E1" s="1133"/>
      <c r="F1" s="1133"/>
      <c r="G1" s="1133"/>
      <c r="H1" s="1133"/>
      <c r="I1" s="1133"/>
      <c r="J1" s="1133"/>
      <c r="K1" s="1133"/>
      <c r="L1" s="1133"/>
      <c r="M1" s="1133"/>
      <c r="N1" s="1133"/>
      <c r="O1" s="1133"/>
      <c r="P1" s="1133"/>
      <c r="Q1" s="1133"/>
      <c r="R1" s="1133"/>
      <c r="S1" s="1133"/>
      <c r="T1" s="1133"/>
    </row>
    <row r="2" spans="1:22" x14ac:dyDescent="0.3">
      <c r="B2" s="1160" t="s">
        <v>930</v>
      </c>
      <c r="C2" s="1160"/>
      <c r="D2" s="1160"/>
      <c r="E2" s="1160"/>
      <c r="F2" s="1160"/>
      <c r="G2" s="1160"/>
      <c r="H2" s="1160"/>
      <c r="I2" s="1160"/>
      <c r="J2" s="1160"/>
      <c r="K2" s="1160"/>
      <c r="L2" s="1160"/>
      <c r="M2" s="1160"/>
      <c r="N2" s="1160"/>
      <c r="O2" s="1160"/>
      <c r="P2" s="1160"/>
      <c r="Q2" s="1160"/>
      <c r="R2" s="1160"/>
      <c r="S2" s="1160"/>
      <c r="T2" s="1160"/>
    </row>
    <row r="3" spans="1:22" x14ac:dyDescent="0.3">
      <c r="B3" s="1160"/>
      <c r="C3" s="1160"/>
      <c r="D3" s="1160"/>
      <c r="E3" s="1160"/>
      <c r="F3" s="1160"/>
      <c r="G3" s="1160"/>
      <c r="H3" s="1160"/>
      <c r="I3" s="1160"/>
      <c r="J3" s="1160"/>
      <c r="K3" s="1160"/>
      <c r="L3" s="1160"/>
      <c r="M3" s="1160"/>
      <c r="N3" s="1160"/>
      <c r="O3" s="1160"/>
      <c r="P3" s="1160"/>
      <c r="Q3" s="1160"/>
      <c r="R3" s="1160"/>
      <c r="S3" s="1160"/>
      <c r="T3" s="1160"/>
    </row>
    <row r="4" spans="1:22" x14ac:dyDescent="0.3">
      <c r="B4" s="1160"/>
      <c r="C4" s="1160"/>
      <c r="D4" s="1160"/>
      <c r="E4" s="1160"/>
      <c r="F4" s="1160"/>
      <c r="G4" s="1160"/>
      <c r="H4" s="1160"/>
      <c r="I4" s="1160"/>
      <c r="J4" s="1160"/>
      <c r="K4" s="1160"/>
      <c r="L4" s="1160"/>
      <c r="M4" s="1160"/>
      <c r="N4" s="1160"/>
      <c r="O4" s="1160"/>
      <c r="P4" s="1160"/>
      <c r="Q4" s="1160"/>
      <c r="R4" s="1160"/>
      <c r="S4" s="1160"/>
      <c r="T4" s="1160"/>
    </row>
    <row r="5" spans="1:22" x14ac:dyDescent="0.3">
      <c r="B5" s="1160"/>
      <c r="C5" s="1160"/>
      <c r="D5" s="1160"/>
      <c r="E5" s="1160"/>
      <c r="F5" s="1160"/>
      <c r="G5" s="1160"/>
      <c r="H5" s="1160"/>
      <c r="I5" s="1160"/>
      <c r="J5" s="1160"/>
      <c r="K5" s="1160"/>
      <c r="L5" s="1160"/>
      <c r="M5" s="1160"/>
      <c r="N5" s="1160"/>
      <c r="O5" s="1160"/>
      <c r="P5" s="1160"/>
      <c r="Q5" s="1160"/>
      <c r="R5" s="1160"/>
      <c r="S5" s="1160"/>
      <c r="T5" s="1160"/>
    </row>
    <row r="6" spans="1:22" x14ac:dyDescent="0.3">
      <c r="B6" s="1160"/>
      <c r="C6" s="1160"/>
      <c r="D6" s="1160"/>
      <c r="E6" s="1160"/>
      <c r="F6" s="1160"/>
      <c r="G6" s="1160"/>
      <c r="H6" s="1160"/>
      <c r="I6" s="1160"/>
      <c r="J6" s="1160"/>
      <c r="K6" s="1160"/>
      <c r="L6" s="1160"/>
      <c r="M6" s="1160"/>
      <c r="N6" s="1160"/>
      <c r="O6" s="1160"/>
      <c r="P6" s="1160"/>
      <c r="Q6" s="1160"/>
      <c r="R6" s="1160"/>
      <c r="S6" s="1160"/>
      <c r="T6" s="1160"/>
    </row>
    <row r="7" spans="1:22" x14ac:dyDescent="0.3">
      <c r="J7" s="137"/>
      <c r="K7" s="137"/>
      <c r="M7" s="137"/>
    </row>
    <row r="9" spans="1:22" ht="14.7" customHeight="1" x14ac:dyDescent="0.3">
      <c r="A9" s="108"/>
      <c r="B9" s="1161" t="s">
        <v>352</v>
      </c>
      <c r="C9" s="1162"/>
      <c r="D9" s="213">
        <v>2018</v>
      </c>
      <c r="E9" s="1167">
        <v>2019</v>
      </c>
      <c r="F9" s="1168"/>
      <c r="G9" s="1168"/>
      <c r="H9" s="1169"/>
      <c r="I9" s="1165">
        <v>2020</v>
      </c>
      <c r="J9" s="1166"/>
      <c r="K9" s="1166"/>
      <c r="L9" s="1166"/>
      <c r="M9" s="1170">
        <v>2021</v>
      </c>
      <c r="N9" s="1171"/>
      <c r="O9" s="1171"/>
      <c r="P9" s="1172"/>
      <c r="Q9" s="1165">
        <v>2022</v>
      </c>
      <c r="R9" s="1166"/>
      <c r="S9" s="1166"/>
      <c r="T9" s="199"/>
    </row>
    <row r="10" spans="1:22" x14ac:dyDescent="0.3">
      <c r="B10" s="1163"/>
      <c r="C10" s="1164"/>
      <c r="D10" s="220" t="s">
        <v>327</v>
      </c>
      <c r="E10" s="221" t="s">
        <v>328</v>
      </c>
      <c r="F10" s="204" t="s">
        <v>329</v>
      </c>
      <c r="G10" s="204" t="s">
        <v>238</v>
      </c>
      <c r="H10" s="222" t="s">
        <v>327</v>
      </c>
      <c r="I10" s="221" t="s">
        <v>328</v>
      </c>
      <c r="J10" s="204" t="s">
        <v>329</v>
      </c>
      <c r="K10" s="204" t="s">
        <v>238</v>
      </c>
      <c r="L10" s="204" t="s">
        <v>327</v>
      </c>
      <c r="M10" s="152" t="s">
        <v>328</v>
      </c>
      <c r="N10" s="151" t="s">
        <v>329</v>
      </c>
      <c r="O10" s="151" t="s">
        <v>238</v>
      </c>
      <c r="P10" s="203" t="s">
        <v>327</v>
      </c>
      <c r="Q10" s="204" t="s">
        <v>328</v>
      </c>
      <c r="R10" s="204" t="s">
        <v>329</v>
      </c>
      <c r="S10" s="204" t="s">
        <v>238</v>
      </c>
      <c r="T10" s="210" t="s">
        <v>327</v>
      </c>
    </row>
    <row r="11" spans="1:22" ht="28.95" customHeight="1" x14ac:dyDescent="0.3">
      <c r="A11" s="209"/>
      <c r="B11" s="226" t="s">
        <v>139</v>
      </c>
      <c r="C11" s="218" t="s">
        <v>353</v>
      </c>
      <c r="D11" s="206"/>
      <c r="E11" s="218"/>
      <c r="F11" s="218"/>
      <c r="G11" s="218"/>
      <c r="H11" s="218"/>
      <c r="I11" s="218"/>
      <c r="J11" s="219">
        <f>'Haver Pivoted'!GU48</f>
        <v>160.9</v>
      </c>
      <c r="K11" s="219">
        <f>'Haver Pivoted'!GV48</f>
        <v>58.4</v>
      </c>
      <c r="L11" s="219">
        <f>'Haver Pivoted'!GW48</f>
        <v>34.5</v>
      </c>
      <c r="M11" s="219">
        <f>'Haver Pivoted'!GX48</f>
        <v>21.4</v>
      </c>
      <c r="N11" s="219">
        <f>'Haver Pivoted'!GY48</f>
        <v>13.3</v>
      </c>
      <c r="O11" s="219">
        <f>'Haver Pivoted'!GZ48</f>
        <v>18.7</v>
      </c>
      <c r="P11" s="219">
        <f>'Haver Pivoted'!HA48</f>
        <v>32.200000000000003</v>
      </c>
      <c r="Q11" s="227">
        <f>'Haver Pivoted'!HB48</f>
        <v>26.9</v>
      </c>
      <c r="R11" s="219">
        <f>'Haver Pivoted'!HC48</f>
        <v>20</v>
      </c>
      <c r="S11" s="196">
        <f>'Haver Pivoted'!HD48</f>
        <v>8.1</v>
      </c>
      <c r="T11" s="216">
        <f t="shared" ref="T11" si="0">T$14*T15</f>
        <v>0</v>
      </c>
    </row>
    <row r="12" spans="1:22" ht="28.95" customHeight="1" x14ac:dyDescent="0.3">
      <c r="A12" s="209"/>
      <c r="B12" s="207" t="s">
        <v>354</v>
      </c>
      <c r="C12" s="200" t="s">
        <v>355</v>
      </c>
      <c r="D12" s="207"/>
      <c r="E12" s="200"/>
      <c r="F12" s="200"/>
      <c r="G12" s="200"/>
      <c r="H12" s="200"/>
      <c r="I12" s="200"/>
      <c r="J12" s="201">
        <f>'Haver Pivoted'!GU58</f>
        <v>64.400000000000006</v>
      </c>
      <c r="K12" s="201">
        <f>'Haver Pivoted'!GV58</f>
        <v>23.4</v>
      </c>
      <c r="L12" s="201">
        <f>'Haver Pivoted'!GW58</f>
        <v>13.8</v>
      </c>
      <c r="M12" s="201">
        <f>'Haver Pivoted'!GX58</f>
        <v>12</v>
      </c>
      <c r="N12" s="201">
        <f>'Haver Pivoted'!GY58</f>
        <v>7.5</v>
      </c>
      <c r="O12" s="201">
        <f>'Haver Pivoted'!GZ58</f>
        <v>10.5</v>
      </c>
      <c r="P12" s="201">
        <f>'Haver Pivoted'!HA58</f>
        <v>18</v>
      </c>
      <c r="Q12" s="229">
        <f>'Haver Pivoted'!HB58</f>
        <v>15</v>
      </c>
      <c r="R12" s="201">
        <f>'Haver Pivoted'!HC58</f>
        <v>11.2</v>
      </c>
      <c r="S12" s="197">
        <f>'Haver Pivoted'!HD58</f>
        <v>7.5</v>
      </c>
      <c r="T12" s="210"/>
    </row>
    <row r="13" spans="1:22" ht="46.95" customHeight="1" x14ac:dyDescent="0.3">
      <c r="A13" s="209"/>
      <c r="B13" s="207" t="s">
        <v>356</v>
      </c>
      <c r="C13" s="200" t="s">
        <v>357</v>
      </c>
      <c r="D13" s="207"/>
      <c r="E13" s="200"/>
      <c r="F13" s="200"/>
      <c r="G13" s="200"/>
      <c r="H13" s="200"/>
      <c r="I13" s="200"/>
      <c r="J13" s="201">
        <f>'Haver Pivoted'!GU54</f>
        <v>96.6</v>
      </c>
      <c r="K13" s="201">
        <f>'Haver Pivoted'!GV54</f>
        <v>35.1</v>
      </c>
      <c r="L13" s="201">
        <f>'Haver Pivoted'!GW54</f>
        <v>20.7</v>
      </c>
      <c r="M13" s="201">
        <f>'Haver Pivoted'!GX54</f>
        <v>15.4</v>
      </c>
      <c r="N13" s="201">
        <f>'Haver Pivoted'!GY54</f>
        <v>9.6</v>
      </c>
      <c r="O13" s="201">
        <f>'Haver Pivoted'!GZ54</f>
        <v>13.5</v>
      </c>
      <c r="P13" s="201">
        <f>'Haver Pivoted'!HA54</f>
        <v>23.2</v>
      </c>
      <c r="Q13" s="229">
        <f>'Haver Pivoted'!HB54</f>
        <v>19.3</v>
      </c>
      <c r="R13" s="201">
        <f>'Haver Pivoted'!HC54</f>
        <v>14.4</v>
      </c>
      <c r="S13" s="197">
        <f>'Haver Pivoted'!HD54</f>
        <v>5.9</v>
      </c>
      <c r="T13" s="210"/>
      <c r="U13" s="215" t="s">
        <v>358</v>
      </c>
      <c r="V13" s="214" t="s">
        <v>359</v>
      </c>
    </row>
    <row r="14" spans="1:22" x14ac:dyDescent="0.3">
      <c r="B14" s="55" t="s">
        <v>360</v>
      </c>
      <c r="C14" s="57"/>
      <c r="D14" s="55"/>
      <c r="E14" s="57"/>
      <c r="F14" s="57"/>
      <c r="G14" s="57"/>
      <c r="H14" s="57"/>
      <c r="I14" s="57"/>
      <c r="J14" s="201">
        <f t="shared" ref="J14:S14" si="1">J13+J12+J11</f>
        <v>321.89999999999998</v>
      </c>
      <c r="K14" s="201">
        <f t="shared" si="1"/>
        <v>116.9</v>
      </c>
      <c r="L14" s="201">
        <f t="shared" si="1"/>
        <v>69</v>
      </c>
      <c r="M14" s="201">
        <f t="shared" si="1"/>
        <v>48.8</v>
      </c>
      <c r="N14" s="201">
        <f t="shared" si="1"/>
        <v>30.400000000000002</v>
      </c>
      <c r="O14" s="201">
        <f t="shared" si="1"/>
        <v>42.7</v>
      </c>
      <c r="P14" s="201">
        <f t="shared" si="1"/>
        <v>73.400000000000006</v>
      </c>
      <c r="Q14" s="229">
        <f t="shared" si="1"/>
        <v>61.199999999999996</v>
      </c>
      <c r="R14" s="201">
        <f t="shared" si="1"/>
        <v>45.6</v>
      </c>
      <c r="S14" s="197">
        <f t="shared" si="1"/>
        <v>21.5</v>
      </c>
      <c r="T14" s="210"/>
      <c r="U14" s="223">
        <v>236</v>
      </c>
      <c r="V14" s="224">
        <f>SUM(J14:S14)/4</f>
        <v>207.85</v>
      </c>
    </row>
    <row r="15" spans="1:22" x14ac:dyDescent="0.3">
      <c r="B15" s="208" t="s">
        <v>361</v>
      </c>
      <c r="C15" s="59"/>
      <c r="D15" s="208"/>
      <c r="E15" s="59"/>
      <c r="F15" s="59"/>
      <c r="G15" s="59"/>
      <c r="H15" s="59"/>
      <c r="I15" s="59"/>
      <c r="J15" s="108">
        <f t="shared" ref="J15:N17" si="2">J11/J$14</f>
        <v>0.49984467225846541</v>
      </c>
      <c r="K15" s="108">
        <f t="shared" si="2"/>
        <v>0.49957228400342168</v>
      </c>
      <c r="L15" s="108">
        <f t="shared" si="2"/>
        <v>0.5</v>
      </c>
      <c r="M15" s="108">
        <f t="shared" si="2"/>
        <v>0.43852459016393441</v>
      </c>
      <c r="N15" s="108">
        <f t="shared" si="2"/>
        <v>0.4375</v>
      </c>
      <c r="O15" s="108">
        <f>O11/O$14</f>
        <v>0.43793911007025754</v>
      </c>
      <c r="P15" s="108">
        <f t="shared" ref="P15:S15" si="3">P11/P$14</f>
        <v>0.43869209809264303</v>
      </c>
      <c r="Q15" s="225">
        <f t="shared" si="3"/>
        <v>0.43954248366013071</v>
      </c>
      <c r="R15" s="108">
        <f t="shared" si="3"/>
        <v>0.43859649122807015</v>
      </c>
      <c r="S15" s="222">
        <f t="shared" si="3"/>
        <v>0.37674418604651161</v>
      </c>
      <c r="T15" s="210"/>
    </row>
    <row r="16" spans="1:22" x14ac:dyDescent="0.3">
      <c r="B16" s="208" t="s">
        <v>362</v>
      </c>
      <c r="C16" s="59"/>
      <c r="D16" s="208"/>
      <c r="E16" s="59"/>
      <c r="F16" s="59"/>
      <c r="G16" s="59"/>
      <c r="H16" s="59"/>
      <c r="I16" s="59"/>
      <c r="J16" s="108">
        <f t="shared" si="2"/>
        <v>0.20006213109661389</v>
      </c>
      <c r="K16" s="108">
        <f t="shared" si="2"/>
        <v>0.20017108639863129</v>
      </c>
      <c r="L16" s="108">
        <f t="shared" si="2"/>
        <v>0.2</v>
      </c>
      <c r="M16" s="108">
        <f t="shared" si="2"/>
        <v>0.24590163934426232</v>
      </c>
      <c r="N16" s="108">
        <f t="shared" si="2"/>
        <v>0.24671052631578946</v>
      </c>
      <c r="O16" s="108">
        <f t="shared" ref="O16:S16" si="4">O12/O$14</f>
        <v>0.24590163934426229</v>
      </c>
      <c r="P16" s="108">
        <f t="shared" si="4"/>
        <v>0.24523160762942778</v>
      </c>
      <c r="Q16" s="225">
        <f t="shared" si="4"/>
        <v>0.24509803921568629</v>
      </c>
      <c r="R16" s="108">
        <f t="shared" si="4"/>
        <v>0.24561403508771928</v>
      </c>
      <c r="S16" s="222">
        <f t="shared" si="4"/>
        <v>0.34883720930232559</v>
      </c>
      <c r="T16" s="210"/>
      <c r="U16" s="202"/>
    </row>
    <row r="17" spans="2:21" x14ac:dyDescent="0.3">
      <c r="B17" s="211" t="s">
        <v>363</v>
      </c>
      <c r="C17" s="217"/>
      <c r="D17" s="211"/>
      <c r="E17" s="217"/>
      <c r="F17" s="217"/>
      <c r="G17" s="217"/>
      <c r="H17" s="217"/>
      <c r="I17" s="217"/>
      <c r="J17" s="205">
        <f t="shared" si="2"/>
        <v>0.30009319664492079</v>
      </c>
      <c r="K17" s="205">
        <f t="shared" si="2"/>
        <v>0.30025662959794697</v>
      </c>
      <c r="L17" s="205">
        <f t="shared" si="2"/>
        <v>0.3</v>
      </c>
      <c r="M17" s="205">
        <f t="shared" si="2"/>
        <v>0.3155737704918033</v>
      </c>
      <c r="N17" s="205">
        <f t="shared" si="2"/>
        <v>0.31578947368421051</v>
      </c>
      <c r="O17" s="205">
        <f t="shared" ref="O17:S17" si="5">O13/O$14</f>
        <v>0.31615925058548006</v>
      </c>
      <c r="P17" s="205">
        <f t="shared" si="5"/>
        <v>0.3160762942779291</v>
      </c>
      <c r="Q17" s="228">
        <f t="shared" si="5"/>
        <v>0.31535947712418305</v>
      </c>
      <c r="R17" s="205">
        <f t="shared" si="5"/>
        <v>0.31578947368421051</v>
      </c>
      <c r="S17" s="198">
        <f t="shared" si="5"/>
        <v>0.2744186046511628</v>
      </c>
      <c r="T17" s="212"/>
    </row>
    <row r="18" spans="2:21" x14ac:dyDescent="0.3">
      <c r="B18" s="59"/>
      <c r="C18" s="59"/>
      <c r="D18" s="59"/>
      <c r="E18" s="59"/>
      <c r="F18" s="59"/>
      <c r="G18" s="59"/>
      <c r="H18" s="59"/>
      <c r="I18" s="59"/>
      <c r="J18" s="108"/>
      <c r="K18" s="108"/>
      <c r="L18" s="108"/>
      <c r="M18" s="108"/>
      <c r="N18" s="108"/>
      <c r="O18" s="108"/>
    </row>
    <row r="19" spans="2:21" ht="15.75" customHeight="1" x14ac:dyDescent="0.3"/>
    <row r="21" spans="2:21" ht="30" customHeight="1" x14ac:dyDescent="0.3"/>
    <row r="22" spans="2:21" ht="27" customHeight="1" x14ac:dyDescent="0.3">
      <c r="M22" s="37"/>
      <c r="N22" s="37"/>
      <c r="O22" s="37"/>
      <c r="P22" s="14"/>
      <c r="Q22" s="14"/>
      <c r="R22" s="14"/>
      <c r="S22" s="14"/>
      <c r="T22" s="14"/>
      <c r="U22" s="37"/>
    </row>
    <row r="23" spans="2:21" ht="31.5" customHeight="1" x14ac:dyDescent="0.3">
      <c r="M23" s="37"/>
      <c r="N23" s="37"/>
      <c r="O23" s="37"/>
      <c r="P23" s="14"/>
      <c r="Q23" s="14"/>
      <c r="R23" s="14"/>
      <c r="S23" s="14"/>
      <c r="T23" s="14"/>
      <c r="U23" s="37"/>
    </row>
    <row r="24" spans="2:21" ht="24.45" customHeight="1" x14ac:dyDescent="0.3">
      <c r="M24" s="37"/>
      <c r="N24" s="37"/>
      <c r="O24" s="37"/>
      <c r="P24" s="14"/>
      <c r="Q24" s="14"/>
      <c r="R24" s="14"/>
      <c r="S24" s="14"/>
      <c r="T24" s="14"/>
      <c r="U24" s="37"/>
    </row>
    <row r="25" spans="2:21" x14ac:dyDescent="0.3">
      <c r="M25" s="37"/>
      <c r="N25" s="37"/>
      <c r="O25" s="37"/>
      <c r="P25" s="37"/>
      <c r="Q25" s="37"/>
      <c r="R25" s="37"/>
      <c r="S25" s="37"/>
      <c r="T25" s="37"/>
      <c r="U25" s="37"/>
    </row>
    <row r="26" spans="2:21" x14ac:dyDescent="0.3">
      <c r="M26" s="37"/>
      <c r="N26" s="37"/>
      <c r="O26" s="37"/>
      <c r="P26" s="37"/>
      <c r="Q26" s="37"/>
      <c r="R26" s="37"/>
      <c r="S26" s="37"/>
      <c r="T26" s="37"/>
      <c r="U26" s="37"/>
    </row>
    <row r="27" spans="2:21" x14ac:dyDescent="0.3">
      <c r="M27" s="37"/>
      <c r="N27" s="37"/>
      <c r="O27" s="37"/>
      <c r="P27" s="37"/>
      <c r="Q27" s="37"/>
      <c r="R27" s="37"/>
      <c r="S27" s="37"/>
      <c r="T27" s="37"/>
      <c r="U27" s="37"/>
    </row>
    <row r="28" spans="2:21" x14ac:dyDescent="0.3">
      <c r="M28" s="37"/>
      <c r="N28" s="37"/>
      <c r="O28" s="37"/>
      <c r="P28" s="37"/>
      <c r="Q28" s="37"/>
      <c r="R28" s="37"/>
      <c r="S28" s="37"/>
      <c r="T28" s="37"/>
      <c r="U28" s="37"/>
    </row>
    <row r="29" spans="2:21" x14ac:dyDescent="0.3">
      <c r="M29" s="37"/>
      <c r="N29" s="37"/>
      <c r="O29" s="37"/>
      <c r="P29" s="37"/>
      <c r="Q29" s="37"/>
      <c r="R29" s="37"/>
      <c r="S29" s="37"/>
      <c r="T29" s="37"/>
      <c r="U29" s="37"/>
    </row>
    <row r="30" spans="2:21" x14ac:dyDescent="0.3">
      <c r="M30" s="37"/>
      <c r="N30" s="37"/>
      <c r="O30" s="37"/>
      <c r="P30" s="37"/>
      <c r="Q30" s="37"/>
      <c r="R30" s="37"/>
      <c r="S30" s="37"/>
      <c r="T30" s="37"/>
      <c r="U30" s="37"/>
    </row>
    <row r="31" spans="2:21" x14ac:dyDescent="0.3">
      <c r="M31" s="37"/>
      <c r="N31" s="37"/>
      <c r="O31" s="37"/>
      <c r="P31" s="37"/>
      <c r="Q31" s="37"/>
      <c r="R31" s="37"/>
      <c r="S31" s="37"/>
      <c r="T31" s="37"/>
      <c r="U31" s="37"/>
    </row>
    <row r="32" spans="2:21" x14ac:dyDescent="0.3">
      <c r="M32" s="37"/>
      <c r="N32" s="37"/>
      <c r="O32" s="37"/>
      <c r="P32" s="37"/>
      <c r="Q32" s="37"/>
      <c r="R32" s="37"/>
      <c r="S32" s="37"/>
      <c r="T32" s="37"/>
      <c r="U32" s="37"/>
    </row>
    <row r="33" spans="13:21" x14ac:dyDescent="0.3">
      <c r="M33" s="37"/>
      <c r="N33" s="37"/>
      <c r="O33" s="37"/>
      <c r="P33" s="37"/>
      <c r="Q33" s="37"/>
      <c r="R33" s="37"/>
      <c r="S33" s="37"/>
      <c r="T33" s="37"/>
      <c r="U33" s="37"/>
    </row>
    <row r="34" spans="13:21" x14ac:dyDescent="0.3">
      <c r="M34" s="37"/>
      <c r="N34" s="37"/>
      <c r="O34" s="37"/>
      <c r="P34" s="37"/>
      <c r="Q34" s="37"/>
      <c r="R34" s="37"/>
      <c r="S34" s="37"/>
      <c r="T34" s="37"/>
      <c r="U34" s="37"/>
    </row>
    <row r="35" spans="13:21" x14ac:dyDescent="0.3">
      <c r="M35" s="37"/>
      <c r="N35" s="37"/>
      <c r="O35" s="37"/>
      <c r="P35" s="37"/>
      <c r="Q35" s="37"/>
      <c r="R35" s="37"/>
      <c r="S35" s="37"/>
      <c r="T35" s="37"/>
      <c r="U35" s="37"/>
    </row>
    <row r="36" spans="13:21" x14ac:dyDescent="0.3">
      <c r="M36" s="37"/>
      <c r="N36" s="37"/>
      <c r="O36" s="37"/>
      <c r="P36" s="37"/>
      <c r="Q36" s="37"/>
      <c r="R36" s="37"/>
      <c r="S36" s="37"/>
      <c r="T36" s="37"/>
      <c r="U36" s="37"/>
    </row>
    <row r="37" spans="13:21" x14ac:dyDescent="0.3">
      <c r="M37" s="37"/>
      <c r="N37" s="37"/>
      <c r="O37" s="37"/>
      <c r="P37" s="37"/>
      <c r="Q37" s="37"/>
      <c r="R37" s="37"/>
      <c r="S37" s="37"/>
      <c r="T37" s="37"/>
      <c r="U37" s="37"/>
    </row>
    <row r="38" spans="13:21" x14ac:dyDescent="0.3">
      <c r="M38" s="37"/>
      <c r="N38" s="37"/>
      <c r="O38" s="37"/>
      <c r="P38" s="37"/>
      <c r="Q38" s="37"/>
      <c r="R38" s="37"/>
      <c r="S38" s="37"/>
      <c r="T38" s="37"/>
      <c r="U38" s="37"/>
    </row>
    <row r="39" spans="13:21" x14ac:dyDescent="0.3">
      <c r="M39" s="37"/>
      <c r="N39" s="37"/>
      <c r="O39" s="37"/>
      <c r="P39" s="37"/>
      <c r="Q39" s="37"/>
      <c r="R39" s="37"/>
      <c r="S39" s="37"/>
      <c r="T39" s="37"/>
      <c r="U39" s="37"/>
    </row>
    <row r="40" spans="13:21" x14ac:dyDescent="0.3">
      <c r="M40" s="37"/>
      <c r="N40" s="37"/>
      <c r="O40" s="37"/>
      <c r="P40" s="37"/>
      <c r="Q40" s="37"/>
      <c r="R40" s="37"/>
      <c r="S40" s="37"/>
      <c r="T40" s="37"/>
      <c r="U40" s="37"/>
    </row>
    <row r="41" spans="13:21" x14ac:dyDescent="0.3">
      <c r="M41" s="37"/>
      <c r="N41" s="37"/>
      <c r="O41" s="37"/>
      <c r="P41" s="37"/>
      <c r="Q41" s="37"/>
      <c r="R41" s="37"/>
      <c r="S41" s="37"/>
      <c r="T41" s="37"/>
      <c r="U41" s="37"/>
    </row>
    <row r="42" spans="13:21" x14ac:dyDescent="0.3">
      <c r="M42" s="37"/>
      <c r="N42" s="37"/>
      <c r="O42" s="37"/>
      <c r="P42" s="37"/>
      <c r="Q42" s="37"/>
      <c r="R42" s="37"/>
      <c r="S42" s="37"/>
      <c r="T42" s="37"/>
      <c r="U42" s="37"/>
    </row>
    <row r="43" spans="13:21" x14ac:dyDescent="0.3">
      <c r="M43" s="37"/>
      <c r="N43" s="37"/>
      <c r="O43" s="37"/>
      <c r="P43" s="37"/>
      <c r="Q43" s="37"/>
      <c r="R43" s="37"/>
      <c r="S43" s="37"/>
      <c r="T43" s="37"/>
      <c r="U43" s="37"/>
    </row>
    <row r="44" spans="13:21" x14ac:dyDescent="0.3">
      <c r="M44" s="37"/>
      <c r="N44" s="37"/>
      <c r="O44" s="37"/>
      <c r="P44" s="37"/>
      <c r="Q44" s="37"/>
      <c r="R44" s="37"/>
      <c r="S44" s="37"/>
      <c r="T44" s="37"/>
      <c r="U44" s="37"/>
    </row>
    <row r="45" spans="13:21" x14ac:dyDescent="0.3">
      <c r="M45" s="37"/>
      <c r="N45" s="37"/>
      <c r="O45" s="37"/>
      <c r="P45" s="37"/>
      <c r="Q45" s="37"/>
      <c r="R45" s="37"/>
      <c r="S45" s="37"/>
      <c r="T45" s="37"/>
      <c r="U45" s="37"/>
    </row>
  </sheetData>
  <mergeCells count="7">
    <mergeCell ref="B2:T6"/>
    <mergeCell ref="B1:T1"/>
    <mergeCell ref="B9:C10"/>
    <mergeCell ref="I9:L9"/>
    <mergeCell ref="E9:H9"/>
    <mergeCell ref="M9:P9"/>
    <mergeCell ref="Q9:S9"/>
  </mergeCells>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topLeftCell="E1" zoomScale="110" zoomScaleNormal="110" workbookViewId="0">
      <selection activeCell="J17" sqref="J17"/>
    </sheetView>
  </sheetViews>
  <sheetFormatPr defaultColWidth="11.5546875" defaultRowHeight="14.4" x14ac:dyDescent="0.3"/>
  <cols>
    <col min="1" max="2" width="70.77734375" customWidth="1"/>
  </cols>
  <sheetData>
    <row r="1" spans="1:45" ht="15.6" customHeight="1" x14ac:dyDescent="0.3">
      <c r="A1" s="1173" t="s">
        <v>299</v>
      </c>
      <c r="B1" s="1173"/>
      <c r="C1" s="1173"/>
      <c r="D1" s="1173"/>
      <c r="E1" s="1173"/>
      <c r="F1" s="1173"/>
      <c r="G1" s="1173"/>
      <c r="H1" s="1173"/>
      <c r="I1" s="1173"/>
      <c r="J1" s="1173"/>
      <c r="K1" s="1173"/>
      <c r="L1" s="1173"/>
      <c r="M1" s="1173"/>
      <c r="N1" s="1173"/>
      <c r="O1" s="1173"/>
    </row>
    <row r="2" spans="1:45" ht="31.2" customHeight="1" x14ac:dyDescent="0.3">
      <c r="A2" s="230"/>
      <c r="B2" s="230" t="s">
        <v>179</v>
      </c>
      <c r="C2" s="237">
        <v>1</v>
      </c>
      <c r="D2" s="237">
        <f>C2+1</f>
        <v>2</v>
      </c>
      <c r="E2" s="237">
        <f t="shared" ref="E2:N2" si="0">D2+1</f>
        <v>3</v>
      </c>
      <c r="F2" s="237">
        <f t="shared" si="0"/>
        <v>4</v>
      </c>
      <c r="G2" s="237">
        <f t="shared" si="0"/>
        <v>5</v>
      </c>
      <c r="H2" s="237">
        <f t="shared" si="0"/>
        <v>6</v>
      </c>
      <c r="I2" s="237">
        <f t="shared" si="0"/>
        <v>7</v>
      </c>
      <c r="J2" s="237">
        <f t="shared" si="0"/>
        <v>8</v>
      </c>
      <c r="K2" s="237">
        <f t="shared" si="0"/>
        <v>9</v>
      </c>
      <c r="L2" s="237">
        <f t="shared" si="0"/>
        <v>10</v>
      </c>
      <c r="M2" s="237">
        <f t="shared" si="0"/>
        <v>11</v>
      </c>
      <c r="N2" s="237">
        <f t="shared" si="0"/>
        <v>12</v>
      </c>
      <c r="O2" s="235" t="s">
        <v>300</v>
      </c>
    </row>
    <row r="3" spans="1:45" ht="15.6" customHeight="1" x14ac:dyDescent="0.3">
      <c r="A3" s="232" t="s">
        <v>301</v>
      </c>
      <c r="B3" s="232" t="s">
        <v>302</v>
      </c>
      <c r="C3" s="239">
        <v>0.22500000000000001</v>
      </c>
      <c r="D3" s="239">
        <v>0.22500000000000001</v>
      </c>
      <c r="E3" s="239">
        <v>0.22500000000000001</v>
      </c>
      <c r="F3" s="239">
        <v>0.22500000000000001</v>
      </c>
      <c r="G3" s="238">
        <v>0</v>
      </c>
      <c r="H3" s="238">
        <v>0</v>
      </c>
      <c r="I3" s="238">
        <v>0</v>
      </c>
      <c r="J3" s="238">
        <v>0</v>
      </c>
      <c r="K3" s="238">
        <v>0</v>
      </c>
      <c r="L3" s="238">
        <v>0</v>
      </c>
      <c r="M3" s="238">
        <v>0</v>
      </c>
      <c r="N3" s="238">
        <v>0</v>
      </c>
      <c r="O3" s="231"/>
      <c r="P3" s="239"/>
      <c r="Q3" s="239"/>
      <c r="R3" s="239"/>
      <c r="S3" s="239"/>
      <c r="T3" s="238"/>
      <c r="U3" s="238"/>
      <c r="V3" s="238"/>
      <c r="W3" s="238"/>
      <c r="X3" s="238"/>
      <c r="Y3" s="238"/>
      <c r="Z3" s="238"/>
      <c r="AA3" s="238"/>
      <c r="AC3" s="75"/>
      <c r="AD3" s="75"/>
      <c r="AE3" s="75"/>
      <c r="AF3" s="75"/>
      <c r="AG3" s="75"/>
      <c r="AH3" s="75"/>
      <c r="AI3" s="75"/>
      <c r="AJ3" s="75"/>
      <c r="AK3" s="75"/>
      <c r="AL3" s="75"/>
      <c r="AM3" s="75"/>
      <c r="AN3" s="75"/>
      <c r="AO3" s="75"/>
      <c r="AP3" s="75"/>
      <c r="AQ3" s="75"/>
      <c r="AR3" s="75"/>
      <c r="AS3" s="75"/>
    </row>
    <row r="4" spans="1:45" ht="15.6" customHeight="1" x14ac:dyDescent="0.3">
      <c r="A4" s="234" t="s">
        <v>303</v>
      </c>
      <c r="B4" s="234" t="s">
        <v>304</v>
      </c>
      <c r="C4" s="239">
        <v>-3.3333333333333333E-2</v>
      </c>
      <c r="D4" s="239">
        <v>-3.3333333333333333E-2</v>
      </c>
      <c r="E4" s="239">
        <v>-3.3333333333333333E-2</v>
      </c>
      <c r="F4" s="239">
        <v>-3.3333333333333333E-2</v>
      </c>
      <c r="G4" s="239">
        <v>-3.3333333333333333E-2</v>
      </c>
      <c r="H4" s="239">
        <v>-3.3333333333333333E-2</v>
      </c>
      <c r="I4" s="239">
        <v>-3.3333333333333333E-2</v>
      </c>
      <c r="J4" s="239">
        <v>-3.3333333333333333E-2</v>
      </c>
      <c r="K4" s="239">
        <v>-3.3333333333333333E-2</v>
      </c>
      <c r="L4" s="239">
        <v>-3.3333333333333333E-2</v>
      </c>
      <c r="M4" s="239">
        <v>-3.3333333333333333E-2</v>
      </c>
      <c r="N4" s="239">
        <v>-3.3333333333333333E-2</v>
      </c>
      <c r="O4" s="236">
        <f>SUM(C4:N4)</f>
        <v>-0.39999999999999997</v>
      </c>
      <c r="P4" s="239"/>
      <c r="Q4" s="239"/>
      <c r="R4" s="239"/>
      <c r="S4" s="239"/>
      <c r="T4" s="239"/>
      <c r="U4" s="239"/>
      <c r="V4" s="239"/>
      <c r="W4" s="239"/>
      <c r="X4" s="239"/>
      <c r="Y4" s="239"/>
      <c r="Z4" s="239"/>
      <c r="AA4" s="239"/>
      <c r="AC4" s="75"/>
      <c r="AD4" s="75"/>
      <c r="AE4" s="75"/>
      <c r="AF4" s="75"/>
      <c r="AG4" s="75"/>
      <c r="AH4" s="75"/>
      <c r="AI4" s="75"/>
      <c r="AJ4" s="75"/>
      <c r="AK4" s="75"/>
      <c r="AL4" s="75"/>
      <c r="AM4" s="75"/>
      <c r="AN4" s="75"/>
    </row>
    <row r="5" spans="1:45" ht="15.6" customHeight="1" x14ac:dyDescent="0.3">
      <c r="A5" s="234" t="s">
        <v>305</v>
      </c>
      <c r="B5" s="234" t="s">
        <v>306</v>
      </c>
      <c r="C5" s="239">
        <v>-0.12</v>
      </c>
      <c r="D5" s="239">
        <v>-0.12</v>
      </c>
      <c r="E5" s="239">
        <v>-0.06</v>
      </c>
      <c r="F5" s="239">
        <v>-0.06</v>
      </c>
      <c r="G5" s="239">
        <v>-0.06</v>
      </c>
      <c r="H5" s="239">
        <v>-0.06</v>
      </c>
      <c r="I5" s="239">
        <v>-0.06</v>
      </c>
      <c r="J5" s="239">
        <v>-0.06</v>
      </c>
      <c r="K5" s="239">
        <v>0</v>
      </c>
      <c r="L5" s="239">
        <v>0</v>
      </c>
      <c r="M5" s="239">
        <v>0</v>
      </c>
      <c r="N5" s="239">
        <v>0</v>
      </c>
      <c r="O5" s="236">
        <f t="shared" ref="O5:O13" si="1">SUM(C5:N5)</f>
        <v>-0.60000000000000009</v>
      </c>
      <c r="P5" s="239"/>
      <c r="Q5" s="239"/>
      <c r="R5" s="239"/>
      <c r="S5" s="239"/>
      <c r="T5" s="239"/>
      <c r="U5" s="239"/>
      <c r="V5" s="239"/>
      <c r="W5" s="239"/>
      <c r="X5" s="239"/>
      <c r="Y5" s="239"/>
      <c r="Z5" s="239"/>
      <c r="AA5" s="239"/>
      <c r="AC5" s="75"/>
      <c r="AD5" s="75"/>
      <c r="AE5" s="75"/>
      <c r="AF5" s="75"/>
      <c r="AG5" s="75"/>
      <c r="AH5" s="75"/>
      <c r="AI5" s="75"/>
      <c r="AJ5" s="75"/>
      <c r="AK5" s="75"/>
      <c r="AL5" s="75"/>
      <c r="AM5" s="75"/>
      <c r="AN5" s="75"/>
    </row>
    <row r="6" spans="1:45" ht="15.6" customHeight="1" x14ac:dyDescent="0.3">
      <c r="A6" s="232" t="s">
        <v>307</v>
      </c>
      <c r="B6" s="232" t="s">
        <v>213</v>
      </c>
      <c r="C6" s="239">
        <v>0.24499999999999997</v>
      </c>
      <c r="D6" s="239">
        <v>0.105</v>
      </c>
      <c r="E6" s="239">
        <v>5.5999999999999994E-2</v>
      </c>
      <c r="F6" s="239">
        <v>5.5999999999999994E-2</v>
      </c>
      <c r="G6" s="239">
        <v>5.5999999999999994E-2</v>
      </c>
      <c r="H6" s="239">
        <v>5.5999999999999994E-2</v>
      </c>
      <c r="I6" s="239">
        <v>5.5999999999999994E-2</v>
      </c>
      <c r="J6" s="239">
        <v>5.5999999999999994E-2</v>
      </c>
      <c r="K6" s="239">
        <v>0</v>
      </c>
      <c r="L6" s="239">
        <v>0</v>
      </c>
      <c r="M6" s="239">
        <v>0</v>
      </c>
      <c r="N6" s="239">
        <v>0</v>
      </c>
      <c r="O6" s="236">
        <f t="shared" si="1"/>
        <v>0.68600000000000017</v>
      </c>
      <c r="P6" s="239"/>
      <c r="Q6" s="239"/>
      <c r="R6" s="239"/>
      <c r="S6" s="239"/>
      <c r="T6" s="239"/>
      <c r="U6" s="239"/>
      <c r="V6" s="239"/>
      <c r="W6" s="239"/>
      <c r="X6" s="239"/>
      <c r="Y6" s="239"/>
      <c r="Z6" s="239"/>
      <c r="AA6" s="239"/>
      <c r="AC6" s="75"/>
      <c r="AD6" s="75"/>
      <c r="AE6" s="75"/>
      <c r="AF6" s="75"/>
      <c r="AG6" s="75"/>
      <c r="AH6" s="75"/>
      <c r="AI6" s="75"/>
      <c r="AJ6" s="75"/>
      <c r="AK6" s="75"/>
      <c r="AL6" s="75"/>
      <c r="AM6" s="75"/>
      <c r="AN6" s="75"/>
    </row>
    <row r="7" spans="1:45" ht="15.6" customHeight="1" x14ac:dyDescent="0.3">
      <c r="A7" s="232" t="s">
        <v>308</v>
      </c>
      <c r="B7" s="232" t="s">
        <v>309</v>
      </c>
      <c r="C7" s="239">
        <v>0.315</v>
      </c>
      <c r="D7" s="239">
        <v>0.315</v>
      </c>
      <c r="E7" s="239">
        <v>9.0000000000000011E-2</v>
      </c>
      <c r="F7" s="239">
        <v>9.0000000000000011E-2</v>
      </c>
      <c r="G7" s="239">
        <v>4.5000000000000005E-2</v>
      </c>
      <c r="H7" s="239">
        <v>4.5000000000000005E-2</v>
      </c>
      <c r="I7" s="239">
        <v>0</v>
      </c>
      <c r="J7" s="239">
        <v>0</v>
      </c>
      <c r="K7" s="239">
        <v>0</v>
      </c>
      <c r="L7" s="239">
        <v>0</v>
      </c>
      <c r="M7" s="239">
        <v>0</v>
      </c>
      <c r="N7" s="239">
        <v>0</v>
      </c>
      <c r="O7" s="236">
        <f t="shared" si="1"/>
        <v>0.9</v>
      </c>
      <c r="P7" s="239"/>
      <c r="Q7" s="239"/>
      <c r="R7" s="239"/>
      <c r="S7" s="239"/>
      <c r="T7" s="239"/>
      <c r="U7" s="239"/>
      <c r="V7" s="239"/>
      <c r="W7" s="239"/>
      <c r="X7" s="239"/>
      <c r="Y7" s="239"/>
      <c r="Z7" s="239"/>
      <c r="AA7" s="239"/>
      <c r="AC7" s="75"/>
      <c r="AD7" s="75"/>
      <c r="AE7" s="75"/>
      <c r="AF7" s="75"/>
      <c r="AG7" s="75"/>
      <c r="AH7" s="75"/>
      <c r="AI7" s="75"/>
      <c r="AJ7" s="75"/>
      <c r="AK7" s="75"/>
      <c r="AL7" s="75"/>
      <c r="AM7" s="75"/>
      <c r="AN7" s="75"/>
    </row>
    <row r="8" spans="1:45" ht="15.6" customHeight="1" x14ac:dyDescent="0.3">
      <c r="A8" s="232" t="s">
        <v>310</v>
      </c>
      <c r="B8" s="232" t="s">
        <v>311</v>
      </c>
      <c r="C8" s="239">
        <v>0.22500000000000001</v>
      </c>
      <c r="D8" s="239">
        <v>0.22500000000000001</v>
      </c>
      <c r="E8" s="239">
        <v>0.22500000000000001</v>
      </c>
      <c r="F8" s="239">
        <v>0.22500000000000001</v>
      </c>
      <c r="G8" s="239">
        <v>0</v>
      </c>
      <c r="H8" s="239">
        <v>0</v>
      </c>
      <c r="I8" s="239">
        <v>0</v>
      </c>
      <c r="J8" s="239">
        <v>0</v>
      </c>
      <c r="K8" s="239">
        <v>0</v>
      </c>
      <c r="L8" s="239">
        <v>0</v>
      </c>
      <c r="M8" s="239">
        <v>0</v>
      </c>
      <c r="N8" s="239">
        <v>0</v>
      </c>
      <c r="O8" s="236">
        <f t="shared" si="1"/>
        <v>0.9</v>
      </c>
      <c r="P8" s="239"/>
      <c r="Q8" s="239"/>
      <c r="R8" s="239"/>
      <c r="S8" s="239"/>
      <c r="T8" s="239"/>
      <c r="U8" s="239"/>
      <c r="V8" s="239"/>
      <c r="W8" s="239"/>
      <c r="X8" s="239"/>
      <c r="Y8" s="239"/>
      <c r="Z8" s="239"/>
      <c r="AA8" s="239"/>
      <c r="AC8" s="75"/>
      <c r="AD8" s="75"/>
      <c r="AE8" s="75"/>
      <c r="AF8" s="75"/>
      <c r="AG8" s="75"/>
      <c r="AH8" s="75"/>
      <c r="AI8" s="75"/>
      <c r="AJ8" s="75"/>
      <c r="AK8" s="75"/>
      <c r="AL8" s="75"/>
      <c r="AM8" s="75"/>
      <c r="AN8" s="75"/>
    </row>
    <row r="9" spans="1:45" ht="15.6" customHeight="1" x14ac:dyDescent="0.3">
      <c r="A9" s="232" t="s">
        <v>312</v>
      </c>
      <c r="B9" s="232" t="s">
        <v>313</v>
      </c>
      <c r="C9" s="239">
        <v>4.9500000000000002E-2</v>
      </c>
      <c r="D9" s="239">
        <v>4.2750000000000003E-2</v>
      </c>
      <c r="E9" s="239">
        <v>4.0500000000000001E-2</v>
      </c>
      <c r="F9" s="239">
        <v>3.8250000000000006E-2</v>
      </c>
      <c r="G9" s="239">
        <v>3.6000000000000004E-2</v>
      </c>
      <c r="H9" s="239">
        <v>3.6000000000000004E-2</v>
      </c>
      <c r="I9" s="239">
        <v>3.6000000000000004E-2</v>
      </c>
      <c r="J9" s="239">
        <v>3.6000000000000004E-2</v>
      </c>
      <c r="K9" s="239">
        <v>3.3750000000000002E-2</v>
      </c>
      <c r="L9" s="239">
        <v>3.3750000000000002E-2</v>
      </c>
      <c r="M9" s="239">
        <v>3.3750000000000002E-2</v>
      </c>
      <c r="N9" s="239">
        <v>3.3750000000000002E-2</v>
      </c>
      <c r="O9" s="236">
        <f t="shared" si="1"/>
        <v>0.45000000000000007</v>
      </c>
      <c r="P9" s="239"/>
      <c r="Q9" s="239"/>
      <c r="R9" s="239"/>
      <c r="S9" s="239"/>
      <c r="T9" s="239"/>
      <c r="U9" s="239"/>
      <c r="V9" s="239"/>
      <c r="W9" s="239"/>
      <c r="X9" s="239"/>
      <c r="Y9" s="239"/>
      <c r="Z9" s="239"/>
      <c r="AA9" s="239"/>
      <c r="AC9" s="75"/>
      <c r="AD9" s="75"/>
      <c r="AE9" s="75"/>
      <c r="AF9" s="75"/>
      <c r="AG9" s="75"/>
      <c r="AH9" s="75"/>
      <c r="AI9" s="75"/>
      <c r="AJ9" s="75"/>
      <c r="AK9" s="75"/>
      <c r="AL9" s="75"/>
      <c r="AM9" s="75"/>
      <c r="AN9" s="75"/>
    </row>
    <row r="10" spans="1:45" ht="15.6" customHeight="1" x14ac:dyDescent="0.3">
      <c r="A10" s="232" t="s">
        <v>314</v>
      </c>
      <c r="B10" s="232" t="s">
        <v>215</v>
      </c>
      <c r="C10" s="239">
        <v>0.14000000000000001</v>
      </c>
      <c r="D10" s="239">
        <v>0.1</v>
      </c>
      <c r="E10" s="239">
        <v>0.1</v>
      </c>
      <c r="F10" s="239">
        <v>0.05</v>
      </c>
      <c r="G10" s="239">
        <v>0.05</v>
      </c>
      <c r="H10" s="239">
        <v>0.05</v>
      </c>
      <c r="I10" s="239">
        <v>0.05</v>
      </c>
      <c r="J10" s="239">
        <v>0.05</v>
      </c>
      <c r="K10" s="239">
        <v>0.05</v>
      </c>
      <c r="L10" s="239">
        <v>0</v>
      </c>
      <c r="M10" s="239">
        <v>0</v>
      </c>
      <c r="N10" s="239">
        <v>0</v>
      </c>
      <c r="O10" s="236">
        <f>SUM(C10:N10)</f>
        <v>0.64000000000000012</v>
      </c>
      <c r="P10" s="239"/>
      <c r="Q10" s="239"/>
      <c r="R10" s="239"/>
      <c r="S10" s="239"/>
      <c r="T10" s="239"/>
      <c r="U10" s="239"/>
      <c r="V10" s="239"/>
      <c r="W10" s="239"/>
      <c r="X10" s="239"/>
      <c r="Y10" s="239"/>
      <c r="Z10" s="239"/>
      <c r="AA10" s="239"/>
      <c r="AC10" s="75"/>
      <c r="AD10" s="75"/>
      <c r="AE10" s="75"/>
      <c r="AF10" s="75"/>
      <c r="AG10" s="75"/>
      <c r="AH10" s="75"/>
      <c r="AI10" s="75"/>
      <c r="AJ10" s="75"/>
      <c r="AK10" s="75"/>
      <c r="AL10" s="75"/>
      <c r="AM10" s="75"/>
      <c r="AN10" s="75"/>
    </row>
    <row r="11" spans="1:45" ht="15.6" customHeight="1" x14ac:dyDescent="0.3">
      <c r="A11" s="232" t="s">
        <v>315</v>
      </c>
      <c r="B11" s="232" t="s">
        <v>316</v>
      </c>
      <c r="C11" s="239">
        <v>0.2</v>
      </c>
      <c r="D11" s="239">
        <v>0.17</v>
      </c>
      <c r="E11" s="239">
        <v>0.16</v>
      </c>
      <c r="F11" s="239">
        <v>0.15</v>
      </c>
      <c r="G11" s="239">
        <v>0.09</v>
      </c>
      <c r="H11" s="239">
        <v>0.05</v>
      </c>
      <c r="I11" s="239">
        <v>0.05</v>
      </c>
      <c r="J11" s="239">
        <v>0.04</v>
      </c>
      <c r="K11" s="239">
        <v>0</v>
      </c>
      <c r="L11" s="239">
        <v>0</v>
      </c>
      <c r="M11" s="239">
        <v>0</v>
      </c>
      <c r="N11" s="239">
        <v>0</v>
      </c>
      <c r="O11" s="236">
        <f>SUM(C11:N11)</f>
        <v>0.91000000000000014</v>
      </c>
      <c r="P11" s="239"/>
      <c r="Q11" s="239"/>
      <c r="R11" s="239"/>
      <c r="S11" s="239"/>
      <c r="T11" s="239"/>
      <c r="U11" s="239"/>
      <c r="V11" s="239"/>
      <c r="W11" s="239"/>
      <c r="X11" s="239"/>
      <c r="Y11" s="239"/>
      <c r="Z11" s="239"/>
      <c r="AA11" s="239"/>
      <c r="AC11" s="75"/>
      <c r="AD11" s="75"/>
      <c r="AE11" s="75"/>
      <c r="AF11" s="75"/>
      <c r="AG11" s="75"/>
      <c r="AH11" s="75"/>
      <c r="AI11" s="75"/>
      <c r="AJ11" s="75"/>
      <c r="AK11" s="75"/>
      <c r="AL11" s="75"/>
      <c r="AM11" s="75"/>
      <c r="AN11" s="75"/>
    </row>
    <row r="12" spans="1:45" ht="46.95" customHeight="1" x14ac:dyDescent="0.3">
      <c r="A12" s="233" t="s">
        <v>317</v>
      </c>
      <c r="B12" s="233" t="s">
        <v>318</v>
      </c>
      <c r="C12" s="239">
        <v>0.2</v>
      </c>
      <c r="D12" s="239">
        <v>0.17</v>
      </c>
      <c r="E12" s="239">
        <v>0.16</v>
      </c>
      <c r="F12" s="239">
        <v>0.15</v>
      </c>
      <c r="G12" s="239">
        <v>0.09</v>
      </c>
      <c r="H12" s="239">
        <v>0.05</v>
      </c>
      <c r="I12" s="239">
        <v>0.05</v>
      </c>
      <c r="J12" s="239">
        <v>0.04</v>
      </c>
      <c r="K12" s="239">
        <v>0</v>
      </c>
      <c r="L12" s="239">
        <v>0</v>
      </c>
      <c r="M12" s="239">
        <v>0</v>
      </c>
      <c r="N12" s="239">
        <v>0</v>
      </c>
      <c r="O12" s="236">
        <f t="shared" si="1"/>
        <v>0.91000000000000014</v>
      </c>
      <c r="P12" s="239"/>
      <c r="Q12" s="239"/>
      <c r="R12" s="239"/>
      <c r="S12" s="239"/>
      <c r="T12" s="239"/>
      <c r="U12" s="239"/>
      <c r="V12" s="239"/>
      <c r="W12" s="239"/>
      <c r="X12" s="239"/>
      <c r="Y12" s="239"/>
      <c r="Z12" s="239"/>
      <c r="AA12" s="239"/>
      <c r="AC12" s="75"/>
      <c r="AD12" s="75"/>
      <c r="AE12" s="75"/>
      <c r="AF12" s="75"/>
      <c r="AG12" s="75"/>
      <c r="AH12" s="75"/>
      <c r="AI12" s="75"/>
      <c r="AJ12" s="75"/>
      <c r="AK12" s="75"/>
      <c r="AL12" s="75"/>
      <c r="AM12" s="75"/>
      <c r="AN12" s="75"/>
    </row>
    <row r="13" spans="1:45" ht="31.2" customHeight="1" x14ac:dyDescent="0.3">
      <c r="A13" s="233" t="s">
        <v>319</v>
      </c>
      <c r="B13" s="233" t="s">
        <v>320</v>
      </c>
      <c r="C13" s="239">
        <v>0.14000000000000001</v>
      </c>
      <c r="D13" s="239">
        <v>0.1</v>
      </c>
      <c r="E13" s="239">
        <v>0.1</v>
      </c>
      <c r="F13" s="239">
        <v>0.05</v>
      </c>
      <c r="G13" s="239">
        <v>0.05</v>
      </c>
      <c r="H13" s="239">
        <v>0.05</v>
      </c>
      <c r="I13" s="239">
        <v>0.05</v>
      </c>
      <c r="J13" s="239">
        <v>0.05</v>
      </c>
      <c r="K13" s="239">
        <v>0.05</v>
      </c>
      <c r="L13" s="239">
        <v>0</v>
      </c>
      <c r="M13" s="239">
        <v>0</v>
      </c>
      <c r="N13" s="239">
        <v>0</v>
      </c>
      <c r="O13" s="236">
        <f t="shared" si="1"/>
        <v>0.64000000000000012</v>
      </c>
      <c r="P13" s="239"/>
      <c r="Q13" s="239"/>
      <c r="R13" s="239"/>
      <c r="S13" s="239"/>
      <c r="T13" s="239"/>
      <c r="U13" s="239"/>
      <c r="V13" s="239"/>
      <c r="W13" s="239"/>
      <c r="X13" s="239"/>
      <c r="Y13" s="239"/>
      <c r="Z13" s="239"/>
      <c r="AA13" s="239"/>
      <c r="AC13" s="75"/>
      <c r="AD13" s="75"/>
      <c r="AE13" s="75"/>
      <c r="AF13" s="75"/>
      <c r="AG13" s="75"/>
      <c r="AH13" s="75"/>
      <c r="AI13" s="75"/>
      <c r="AJ13" s="75"/>
      <c r="AK13" s="75"/>
      <c r="AL13" s="75"/>
      <c r="AM13" s="75"/>
      <c r="AN13" s="75"/>
    </row>
    <row r="14" spans="1:45" ht="46.95" customHeight="1" x14ac:dyDescent="0.3">
      <c r="A14" s="233" t="s">
        <v>321</v>
      </c>
      <c r="B14" s="233" t="s">
        <v>322</v>
      </c>
      <c r="C14" s="239">
        <v>0.04</v>
      </c>
      <c r="D14" s="239">
        <v>0.04</v>
      </c>
      <c r="E14" s="239">
        <v>1.7000000000000001E-2</v>
      </c>
      <c r="F14" s="239">
        <v>1.7000000000000001E-2</v>
      </c>
      <c r="G14" s="239">
        <v>1.7000000000000001E-2</v>
      </c>
      <c r="H14" s="239">
        <v>1.7000000000000001E-2</v>
      </c>
      <c r="I14" s="239">
        <v>1.7000000000000001E-2</v>
      </c>
      <c r="J14" s="239">
        <v>1.7000000000000001E-2</v>
      </c>
      <c r="K14" s="239">
        <v>1.7000000000000001E-2</v>
      </c>
      <c r="L14" s="239">
        <v>1.7000000000000001E-2</v>
      </c>
      <c r="M14" s="239">
        <v>1.7000000000000001E-2</v>
      </c>
      <c r="N14" s="239">
        <v>1.7000000000000001E-2</v>
      </c>
      <c r="O14" s="236">
        <f>SUM(C14:N14)</f>
        <v>0.25000000000000011</v>
      </c>
      <c r="P14" s="239"/>
      <c r="Q14" s="239"/>
      <c r="R14" s="239"/>
      <c r="S14" s="239"/>
      <c r="T14" s="239"/>
      <c r="U14" s="239"/>
      <c r="V14" s="239"/>
      <c r="W14" s="239"/>
      <c r="X14" s="239"/>
      <c r="Y14" s="239"/>
      <c r="Z14" s="239"/>
      <c r="AA14" s="239"/>
      <c r="AC14" s="75"/>
      <c r="AD14" s="75"/>
      <c r="AE14" s="75"/>
      <c r="AF14" s="75"/>
      <c r="AG14" s="75"/>
      <c r="AH14" s="75"/>
      <c r="AI14" s="75"/>
      <c r="AJ14" s="75"/>
      <c r="AK14" s="75"/>
      <c r="AL14" s="75"/>
      <c r="AM14" s="75"/>
      <c r="AN14" s="75"/>
    </row>
    <row r="15" spans="1:45" ht="15.75" customHeight="1" x14ac:dyDescent="0.3">
      <c r="B15" s="233"/>
    </row>
  </sheetData>
  <mergeCells count="1">
    <mergeCell ref="A1:O1"/>
  </mergeCell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56"/>
  <sheetViews>
    <sheetView topLeftCell="D2" zoomScale="90" zoomScaleNormal="90" workbookViewId="0">
      <selection activeCell="M24" sqref="M24"/>
    </sheetView>
  </sheetViews>
  <sheetFormatPr defaultColWidth="11.5546875" defaultRowHeight="14.4" x14ac:dyDescent="0.3"/>
  <cols>
    <col min="2" max="2" width="52.44140625" customWidth="1"/>
    <col min="3" max="7" width="11.44140625" customWidth="1"/>
    <col min="8" max="8" width="12.21875" customWidth="1"/>
    <col min="9" max="9" width="8.44140625" customWidth="1"/>
    <col min="10" max="10" width="10.44140625" customWidth="1"/>
    <col min="11" max="11" width="8.44140625" customWidth="1"/>
    <col min="12" max="12" width="11.44140625" customWidth="1"/>
    <col min="13" max="20" width="9.44140625" customWidth="1"/>
    <col min="21" max="25" width="10.77734375" customWidth="1"/>
    <col min="26" max="26" width="11.21875" customWidth="1"/>
    <col min="27" max="32" width="9.44140625" customWidth="1"/>
    <col min="33" max="36" width="8.44140625" customWidth="1"/>
  </cols>
  <sheetData>
    <row r="1" spans="2:30" x14ac:dyDescent="0.3">
      <c r="B1" s="1146" t="s">
        <v>53</v>
      </c>
      <c r="C1" s="1146"/>
      <c r="D1" s="1146"/>
      <c r="E1" s="1146"/>
      <c r="F1" s="1146"/>
      <c r="G1" s="1146"/>
      <c r="H1" s="1146"/>
      <c r="I1" s="1146"/>
      <c r="J1" s="1146"/>
      <c r="K1" s="1146"/>
      <c r="L1" s="1146"/>
      <c r="M1" s="1146"/>
      <c r="N1" s="1146"/>
      <c r="O1" s="1146"/>
      <c r="P1" s="1146"/>
      <c r="Q1" s="1146"/>
      <c r="R1" s="1146"/>
      <c r="S1" s="1146"/>
      <c r="T1" s="1146"/>
      <c r="U1" s="1146"/>
      <c r="V1" s="1146"/>
      <c r="W1" s="1146"/>
      <c r="X1" s="1146"/>
      <c r="Y1" s="1146"/>
      <c r="Z1" s="1146"/>
      <c r="AA1" s="1146"/>
      <c r="AB1" s="1146"/>
      <c r="AC1" s="1146"/>
    </row>
    <row r="2" spans="2:30" ht="14.25" customHeight="1" x14ac:dyDescent="0.3">
      <c r="B2" s="1174" t="s">
        <v>323</v>
      </c>
      <c r="C2" s="1174"/>
      <c r="D2" s="1174"/>
      <c r="E2" s="1174"/>
      <c r="F2" s="1174"/>
      <c r="G2" s="1174"/>
      <c r="H2" s="1174"/>
      <c r="I2" s="1174"/>
      <c r="J2" s="1174"/>
      <c r="K2" s="1174"/>
      <c r="L2" s="1174"/>
      <c r="M2" s="1174"/>
      <c r="N2" s="1174"/>
      <c r="O2" s="1174"/>
      <c r="P2" s="1174"/>
      <c r="Q2" s="1174"/>
      <c r="R2" s="1174"/>
      <c r="S2" s="1174"/>
      <c r="T2" s="1174"/>
      <c r="U2" s="1174"/>
      <c r="V2" s="1174"/>
      <c r="W2" s="1174"/>
      <c r="X2" s="1174"/>
      <c r="Y2" s="1174"/>
      <c r="Z2" s="1174"/>
      <c r="AA2" s="1174"/>
      <c r="AB2" s="1174"/>
      <c r="AC2" s="1174"/>
    </row>
    <row r="3" spans="2:30" x14ac:dyDescent="0.3">
      <c r="B3" s="1174"/>
      <c r="C3" s="1174"/>
      <c r="D3" s="1174"/>
      <c r="E3" s="1174"/>
      <c r="F3" s="1174"/>
      <c r="G3" s="1174"/>
      <c r="H3" s="1174"/>
      <c r="I3" s="1174"/>
      <c r="J3" s="1174"/>
      <c r="K3" s="1174"/>
      <c r="L3" s="1174"/>
      <c r="M3" s="1174"/>
      <c r="N3" s="1174"/>
      <c r="O3" s="1174"/>
      <c r="P3" s="1174"/>
      <c r="Q3" s="1174"/>
      <c r="R3" s="1174"/>
      <c r="S3" s="1174"/>
      <c r="T3" s="1174"/>
      <c r="U3" s="1174"/>
      <c r="V3" s="1174"/>
      <c r="W3" s="1174"/>
      <c r="X3" s="1174"/>
      <c r="Y3" s="1174"/>
      <c r="Z3" s="1174"/>
      <c r="AA3" s="1174"/>
      <c r="AB3" s="1174"/>
      <c r="AC3" s="1174"/>
    </row>
    <row r="4" spans="2:30" x14ac:dyDescent="0.3">
      <c r="B4" s="1174"/>
      <c r="C4" s="1174"/>
      <c r="D4" s="1174"/>
      <c r="E4" s="1174"/>
      <c r="F4" s="1174"/>
      <c r="G4" s="1174"/>
      <c r="H4" s="1174"/>
      <c r="I4" s="1174"/>
      <c r="J4" s="1174"/>
      <c r="K4" s="1174"/>
      <c r="L4" s="1174"/>
      <c r="M4" s="1174"/>
      <c r="N4" s="1174"/>
      <c r="O4" s="1174"/>
      <c r="P4" s="1174"/>
      <c r="Q4" s="1174"/>
      <c r="R4" s="1174"/>
      <c r="S4" s="1174"/>
      <c r="T4" s="1174"/>
      <c r="U4" s="1174"/>
      <c r="V4" s="1174"/>
      <c r="W4" s="1174"/>
      <c r="X4" s="1174"/>
      <c r="Y4" s="1174"/>
      <c r="Z4" s="1174"/>
      <c r="AA4" s="1174"/>
      <c r="AB4" s="1174"/>
      <c r="AC4" s="1174"/>
    </row>
    <row r="5" spans="2:30" x14ac:dyDescent="0.3">
      <c r="B5" s="1174"/>
      <c r="C5" s="1174"/>
      <c r="D5" s="1174"/>
      <c r="E5" s="1174"/>
      <c r="F5" s="1174"/>
      <c r="G5" s="1174"/>
      <c r="H5" s="1174"/>
      <c r="I5" s="1174"/>
      <c r="J5" s="1174"/>
      <c r="K5" s="1174"/>
      <c r="L5" s="1174"/>
      <c r="M5" s="1174"/>
      <c r="N5" s="1174"/>
      <c r="O5" s="1174"/>
      <c r="P5" s="1174"/>
      <c r="Q5" s="1174"/>
      <c r="R5" s="1174"/>
      <c r="S5" s="1174"/>
      <c r="T5" s="1174"/>
      <c r="U5" s="1174"/>
      <c r="V5" s="1174"/>
      <c r="W5" s="1174"/>
      <c r="X5" s="1174"/>
      <c r="Y5" s="1174"/>
      <c r="Z5" s="1174"/>
      <c r="AA5" s="1174"/>
      <c r="AB5" s="1174"/>
      <c r="AC5" s="1174"/>
    </row>
    <row r="6" spans="2:30" ht="38.700000000000003" customHeight="1" x14ac:dyDescent="0.3">
      <c r="B6" s="1174"/>
      <c r="C6" s="1174"/>
      <c r="D6" s="1174"/>
      <c r="E6" s="1174"/>
      <c r="F6" s="1174"/>
      <c r="G6" s="1174"/>
      <c r="H6" s="1174"/>
      <c r="I6" s="1174"/>
      <c r="J6" s="1174"/>
      <c r="K6" s="1174"/>
      <c r="L6" s="1174"/>
      <c r="M6" s="1174"/>
      <c r="N6" s="1174"/>
      <c r="O6" s="1174"/>
      <c r="P6" s="1174"/>
      <c r="Q6" s="1174"/>
      <c r="R6" s="1174"/>
      <c r="S6" s="1174"/>
      <c r="T6" s="1174"/>
      <c r="U6" s="1174"/>
      <c r="V6" s="1174"/>
      <c r="W6" s="1174"/>
      <c r="X6" s="1174"/>
      <c r="Y6" s="1174"/>
      <c r="Z6" s="1174"/>
      <c r="AA6" s="1174"/>
      <c r="AB6" s="1174"/>
      <c r="AC6" s="1174"/>
    </row>
    <row r="7" spans="2:30" x14ac:dyDescent="0.3">
      <c r="B7" s="267"/>
      <c r="C7" s="267"/>
      <c r="D7" s="267"/>
      <c r="E7" s="267"/>
      <c r="F7" s="267"/>
      <c r="G7" s="267"/>
      <c r="H7" s="268"/>
      <c r="I7" s="268"/>
      <c r="J7" s="268"/>
      <c r="K7" s="268"/>
      <c r="L7" s="268"/>
      <c r="M7" s="268"/>
      <c r="N7" s="268"/>
      <c r="O7" s="268"/>
      <c r="P7" s="268"/>
      <c r="Q7" s="268"/>
      <c r="R7" s="268"/>
      <c r="S7" s="268"/>
      <c r="T7" s="268"/>
      <c r="U7" s="268"/>
      <c r="V7" s="268"/>
      <c r="W7" s="268"/>
      <c r="X7" s="268"/>
      <c r="Y7" s="268"/>
    </row>
    <row r="8" spans="2:30" ht="14.7" customHeight="1" x14ac:dyDescent="0.3">
      <c r="B8" s="1175" t="s">
        <v>324</v>
      </c>
      <c r="C8" s="1159"/>
      <c r="D8" s="1156" t="s">
        <v>325</v>
      </c>
      <c r="E8" s="1157"/>
      <c r="F8" s="1157"/>
      <c r="G8" s="1157"/>
      <c r="H8" s="1157"/>
      <c r="I8" s="1157"/>
      <c r="J8" s="1157"/>
      <c r="K8" s="1157"/>
      <c r="L8" s="1157"/>
      <c r="M8" s="1157"/>
      <c r="N8" s="1157"/>
      <c r="O8" s="1157"/>
      <c r="P8" s="1157"/>
      <c r="Q8" s="1158"/>
      <c r="R8" s="1158"/>
      <c r="S8" s="1159"/>
      <c r="T8" s="1183" t="s">
        <v>326</v>
      </c>
      <c r="U8" s="1184"/>
      <c r="V8" s="1184"/>
      <c r="W8" s="1184"/>
      <c r="X8" s="1184"/>
      <c r="Y8" s="1184"/>
      <c r="Z8" s="1184"/>
      <c r="AA8" s="1184"/>
      <c r="AB8" s="1184"/>
      <c r="AC8" s="1185"/>
    </row>
    <row r="9" spans="2:30" ht="12.75" customHeight="1" x14ac:dyDescent="0.3">
      <c r="B9" s="1176"/>
      <c r="C9" s="1177"/>
      <c r="D9" s="141">
        <v>2018</v>
      </c>
      <c r="E9" s="1147">
        <v>2019</v>
      </c>
      <c r="F9" s="1148"/>
      <c r="G9" s="1148"/>
      <c r="H9" s="1155"/>
      <c r="I9" s="1148">
        <v>2020</v>
      </c>
      <c r="J9" s="1148"/>
      <c r="K9" s="1148"/>
      <c r="L9" s="1148"/>
      <c r="M9" s="1147">
        <v>2021</v>
      </c>
      <c r="N9" s="1148"/>
      <c r="O9" s="1148"/>
      <c r="P9" s="1148"/>
      <c r="Q9" s="1181">
        <v>2022</v>
      </c>
      <c r="R9" s="1182"/>
      <c r="S9" s="252"/>
      <c r="T9" s="287"/>
      <c r="U9" s="1178">
        <v>2023</v>
      </c>
      <c r="V9" s="1179"/>
      <c r="W9" s="1179"/>
      <c r="X9" s="1180"/>
      <c r="Y9" s="1178">
        <v>2024</v>
      </c>
      <c r="Z9" s="1179"/>
      <c r="AA9" s="1179"/>
      <c r="AB9" s="1179"/>
      <c r="AC9" s="258">
        <v>2025</v>
      </c>
    </row>
    <row r="10" spans="2:30" ht="14.7" customHeight="1" x14ac:dyDescent="0.3">
      <c r="B10" s="1176"/>
      <c r="C10" s="1177"/>
      <c r="D10" s="152" t="s">
        <v>327</v>
      </c>
      <c r="E10" s="152" t="s">
        <v>328</v>
      </c>
      <c r="F10" s="151" t="s">
        <v>329</v>
      </c>
      <c r="G10" s="151" t="s">
        <v>238</v>
      </c>
      <c r="H10" s="203" t="s">
        <v>327</v>
      </c>
      <c r="I10" s="151" t="s">
        <v>328</v>
      </c>
      <c r="J10" s="151" t="s">
        <v>329</v>
      </c>
      <c r="K10" s="151" t="s">
        <v>238</v>
      </c>
      <c r="L10" s="151" t="s">
        <v>327</v>
      </c>
      <c r="M10" s="152" t="s">
        <v>328</v>
      </c>
      <c r="N10" s="151" t="s">
        <v>329</v>
      </c>
      <c r="O10" s="151" t="s">
        <v>238</v>
      </c>
      <c r="P10" s="151" t="s">
        <v>327</v>
      </c>
      <c r="Q10" s="152" t="s">
        <v>328</v>
      </c>
      <c r="R10" s="151" t="s">
        <v>329</v>
      </c>
      <c r="S10" s="203" t="s">
        <v>238</v>
      </c>
      <c r="T10" s="274" t="s">
        <v>327</v>
      </c>
      <c r="U10" s="273" t="s">
        <v>328</v>
      </c>
      <c r="V10" s="274" t="s">
        <v>329</v>
      </c>
      <c r="W10" s="274" t="s">
        <v>238</v>
      </c>
      <c r="X10" s="275" t="s">
        <v>327</v>
      </c>
      <c r="Y10" s="273" t="s">
        <v>328</v>
      </c>
      <c r="Z10" s="269" t="s">
        <v>329</v>
      </c>
      <c r="AA10" s="274" t="s">
        <v>238</v>
      </c>
      <c r="AB10" s="274" t="s">
        <v>327</v>
      </c>
      <c r="AC10" s="277" t="s">
        <v>328</v>
      </c>
    </row>
    <row r="11" spans="2:30" x14ac:dyDescent="0.3">
      <c r="B11" s="262" t="s">
        <v>102</v>
      </c>
      <c r="C11" s="279" t="s">
        <v>330</v>
      </c>
      <c r="D11" s="286">
        <f>'Haver Pivoted'!GO14</f>
        <v>27.8</v>
      </c>
      <c r="E11" s="282">
        <f>'Haver Pivoted'!GP14</f>
        <v>29.4</v>
      </c>
      <c r="F11" s="282">
        <f>'Haver Pivoted'!GQ14</f>
        <v>26.9</v>
      </c>
      <c r="G11" s="282">
        <f>'Haver Pivoted'!GR14</f>
        <v>26.4</v>
      </c>
      <c r="H11" s="282">
        <f>'Haver Pivoted'!GS14</f>
        <v>27.7</v>
      </c>
      <c r="I11" s="282">
        <f>'Haver Pivoted'!GT14</f>
        <v>40.700000000000003</v>
      </c>
      <c r="J11" s="282">
        <f>'Haver Pivoted'!GU14</f>
        <v>1007.5</v>
      </c>
      <c r="K11" s="282">
        <f>'Haver Pivoted'!GV14</f>
        <v>792.9</v>
      </c>
      <c r="L11" s="282">
        <f>'Haver Pivoted'!GW14</f>
        <v>308.5</v>
      </c>
      <c r="M11" s="282">
        <f>'Haver Pivoted'!GX14</f>
        <v>556.20000000000005</v>
      </c>
      <c r="N11" s="282">
        <f>'Haver Pivoted'!GY14</f>
        <v>448.6</v>
      </c>
      <c r="O11" s="282">
        <f>'Haver Pivoted'!GZ14</f>
        <v>245.1</v>
      </c>
      <c r="P11" s="282">
        <f>'Haver Pivoted'!HA14</f>
        <v>33.799999999999997</v>
      </c>
      <c r="Q11" s="282">
        <f>'Haver Pivoted'!HB14</f>
        <v>23.6</v>
      </c>
      <c r="R11" s="282">
        <f>'Haver Pivoted'!HC14</f>
        <v>18.600000000000001</v>
      </c>
      <c r="S11" s="143">
        <f>'Haver Pivoted'!HD14</f>
        <v>18.5</v>
      </c>
      <c r="T11" s="280">
        <f>SUM(T12+T13+T20)</f>
        <v>18.93224299065421</v>
      </c>
      <c r="U11" s="280">
        <f t="shared" ref="U11:AC11" si="0">U12+U13+U20</f>
        <v>18.56915887850468</v>
      </c>
      <c r="V11" s="280">
        <f t="shared" si="0"/>
        <v>18.257943925233651</v>
      </c>
      <c r="W11" s="280">
        <f t="shared" si="0"/>
        <v>18.315000000000008</v>
      </c>
      <c r="X11" s="280">
        <f t="shared" si="0"/>
        <v>18.418738317757018</v>
      </c>
      <c r="Y11" s="280">
        <f t="shared" si="0"/>
        <v>18.787009345794402</v>
      </c>
      <c r="Z11" s="280">
        <f t="shared" si="0"/>
        <v>20.602429906542067</v>
      </c>
      <c r="AA11" s="280">
        <f t="shared" si="0"/>
        <v>20.856588785046743</v>
      </c>
      <c r="AB11" s="280">
        <f t="shared" si="0"/>
        <v>21.17299065420562</v>
      </c>
      <c r="AC11" s="256">
        <f t="shared" si="0"/>
        <v>21.479018691588795</v>
      </c>
      <c r="AD11" s="154" t="s">
        <v>331</v>
      </c>
    </row>
    <row r="12" spans="2:30" x14ac:dyDescent="0.3">
      <c r="B12" s="259" t="s">
        <v>332</v>
      </c>
      <c r="C12" s="260" t="s">
        <v>333</v>
      </c>
      <c r="D12" s="283">
        <f>'Haver Pivoted'!GO63</f>
        <v>0</v>
      </c>
      <c r="E12" s="138">
        <f>'Haver Pivoted'!GP63</f>
        <v>0</v>
      </c>
      <c r="F12" s="138">
        <f>'Haver Pivoted'!GQ63</f>
        <v>0</v>
      </c>
      <c r="G12" s="138">
        <f>'Haver Pivoted'!GR63</f>
        <v>0</v>
      </c>
      <c r="H12" s="138">
        <f>'Haver Pivoted'!GS63</f>
        <v>0</v>
      </c>
      <c r="I12" s="138">
        <f>'Haver Pivoted'!GT63</f>
        <v>0</v>
      </c>
      <c r="J12" s="138">
        <f>'Haver Pivoted'!GU63</f>
        <v>0.1</v>
      </c>
      <c r="K12" s="138">
        <f>'Haver Pivoted'!GV63</f>
        <v>3.7</v>
      </c>
      <c r="L12" s="138">
        <f>'Haver Pivoted'!GW63</f>
        <v>12.9</v>
      </c>
      <c r="M12" s="138">
        <f>'Haver Pivoted'!GX63</f>
        <v>25.5</v>
      </c>
      <c r="N12" s="138">
        <f>'Haver Pivoted'!GY63</f>
        <v>3.8</v>
      </c>
      <c r="O12" s="138">
        <f>'Haver Pivoted'!GZ63</f>
        <v>1.8</v>
      </c>
      <c r="P12" s="138">
        <f>'Haver Pivoted'!HA63</f>
        <v>0.6</v>
      </c>
      <c r="Q12" s="138">
        <f>'Haver Pivoted'!HB63</f>
        <v>0.2</v>
      </c>
      <c r="R12" s="138">
        <f>'Haver Pivoted'!HC63</f>
        <v>0.1</v>
      </c>
      <c r="S12" s="203">
        <f>'Haver Pivoted'!HD63</f>
        <v>0</v>
      </c>
      <c r="T12" s="249">
        <f>MAX(S12*(T22-5)/(S22-5),0)</f>
        <v>0</v>
      </c>
      <c r="U12" s="249">
        <f t="shared" ref="U12:AB12" si="1">T12*U22/T22</f>
        <v>0</v>
      </c>
      <c r="V12" s="249">
        <f t="shared" si="1"/>
        <v>0</v>
      </c>
      <c r="W12" s="249">
        <f t="shared" si="1"/>
        <v>0</v>
      </c>
      <c r="X12" s="249">
        <f t="shared" si="1"/>
        <v>0</v>
      </c>
      <c r="Y12" s="249">
        <f t="shared" si="1"/>
        <v>0</v>
      </c>
      <c r="Z12" s="249">
        <f t="shared" si="1"/>
        <v>0</v>
      </c>
      <c r="AA12" s="249">
        <f t="shared" si="1"/>
        <v>0</v>
      </c>
      <c r="AB12" s="249">
        <f t="shared" si="1"/>
        <v>0</v>
      </c>
      <c r="AC12" s="253">
        <f>AB12*AC22/AB22</f>
        <v>0</v>
      </c>
    </row>
    <row r="13" spans="2:30" x14ac:dyDescent="0.3">
      <c r="B13" s="259" t="s">
        <v>334</v>
      </c>
      <c r="C13" s="260"/>
      <c r="D13" s="283"/>
      <c r="E13" s="138"/>
      <c r="F13" s="138"/>
      <c r="G13" s="138"/>
      <c r="H13" s="147">
        <f>SUM(H14:H17)</f>
        <v>0</v>
      </c>
      <c r="I13" s="147">
        <f t="shared" ref="I13:M13" si="2">SUM(I14:I17)</f>
        <v>0</v>
      </c>
      <c r="J13" s="147">
        <f t="shared" si="2"/>
        <v>779.7</v>
      </c>
      <c r="K13" s="147">
        <f t="shared" si="2"/>
        <v>582.6</v>
      </c>
      <c r="L13" s="147">
        <f t="shared" si="2"/>
        <v>216.5</v>
      </c>
      <c r="M13" s="147">
        <f t="shared" si="2"/>
        <v>497.6</v>
      </c>
      <c r="N13" s="157">
        <f>SUM(N14:N17)</f>
        <v>401.5</v>
      </c>
      <c r="O13" s="157">
        <f t="shared" ref="O13:AC13" si="3">SUM(O14:O17)</f>
        <v>207.4</v>
      </c>
      <c r="P13" s="157">
        <f t="shared" si="3"/>
        <v>5.5</v>
      </c>
      <c r="Q13" s="157">
        <v>0</v>
      </c>
      <c r="R13" s="157">
        <f t="shared" si="3"/>
        <v>1</v>
      </c>
      <c r="S13" s="245">
        <f t="shared" si="3"/>
        <v>0.5</v>
      </c>
      <c r="T13" s="249">
        <f t="shared" si="3"/>
        <v>0.51168224299065423</v>
      </c>
      <c r="U13" s="249">
        <f t="shared" si="3"/>
        <v>0.5018691588785047</v>
      </c>
      <c r="V13" s="249">
        <f t="shared" si="3"/>
        <v>0.49345794392523368</v>
      </c>
      <c r="W13" s="249">
        <f t="shared" si="3"/>
        <v>0.49500000000000005</v>
      </c>
      <c r="X13" s="249">
        <f t="shared" si="3"/>
        <v>0.49780373831775704</v>
      </c>
      <c r="Y13" s="249">
        <f t="shared" si="3"/>
        <v>0.50775700934579437</v>
      </c>
      <c r="Z13" s="249">
        <f t="shared" si="3"/>
        <v>0.55682242990654207</v>
      </c>
      <c r="AA13" s="249">
        <f t="shared" si="3"/>
        <v>0.56369158878504677</v>
      </c>
      <c r="AB13" s="249">
        <f t="shared" si="3"/>
        <v>0.5722429906542057</v>
      </c>
      <c r="AC13" s="253">
        <f t="shared" si="3"/>
        <v>0.58051401869158892</v>
      </c>
    </row>
    <row r="14" spans="2:30" ht="18" customHeight="1" x14ac:dyDescent="0.3">
      <c r="B14" s="261" t="s">
        <v>335</v>
      </c>
      <c r="C14" s="139" t="s">
        <v>333</v>
      </c>
      <c r="D14" s="281">
        <f>'Haver Pivoted'!GO63</f>
        <v>0</v>
      </c>
      <c r="E14" s="149">
        <f>'Haver Pivoted'!GP63</f>
        <v>0</v>
      </c>
      <c r="F14" s="149">
        <f>'Haver Pivoted'!GQ63</f>
        <v>0</v>
      </c>
      <c r="G14" s="149">
        <f>'Haver Pivoted'!GR63</f>
        <v>0</v>
      </c>
      <c r="H14" s="149">
        <f>'Haver Pivoted'!GS63</f>
        <v>0</v>
      </c>
      <c r="I14" s="149">
        <f>'Haver Pivoted'!GT63</f>
        <v>0</v>
      </c>
      <c r="J14" s="149">
        <f>'Haver Pivoted'!GU63</f>
        <v>0.1</v>
      </c>
      <c r="K14" s="149">
        <f>'Haver Pivoted'!GV63</f>
        <v>3.7</v>
      </c>
      <c r="L14" s="149">
        <f>'Haver Pivoted'!GW63</f>
        <v>12.9</v>
      </c>
      <c r="M14" s="149">
        <f>'Haver Pivoted'!GX63</f>
        <v>25.5</v>
      </c>
      <c r="N14" s="149">
        <f>'Haver Pivoted'!GY63</f>
        <v>3.8</v>
      </c>
      <c r="O14" s="149">
        <f>'Haver Pivoted'!GZ63</f>
        <v>1.8</v>
      </c>
      <c r="P14" s="149">
        <f>'Haver Pivoted'!HA63</f>
        <v>0.6</v>
      </c>
      <c r="Q14" s="149">
        <f>'Haver Pivoted'!HB63</f>
        <v>0.2</v>
      </c>
      <c r="R14" s="149">
        <f>'Haver Pivoted'!HC63</f>
        <v>0.1</v>
      </c>
      <c r="S14" s="246">
        <f>'Haver Pivoted'!HD63</f>
        <v>0</v>
      </c>
      <c r="T14" s="249">
        <f t="shared" ref="T14:X14" si="4">T12</f>
        <v>0</v>
      </c>
      <c r="U14" s="249">
        <f t="shared" si="4"/>
        <v>0</v>
      </c>
      <c r="V14" s="249">
        <f t="shared" si="4"/>
        <v>0</v>
      </c>
      <c r="W14" s="249">
        <f t="shared" si="4"/>
        <v>0</v>
      </c>
      <c r="X14" s="249">
        <f t="shared" si="4"/>
        <v>0</v>
      </c>
      <c r="Y14" s="249">
        <f>Y12</f>
        <v>0</v>
      </c>
      <c r="Z14" s="249">
        <f t="shared" ref="Z14:AC14" si="5">Z12</f>
        <v>0</v>
      </c>
      <c r="AA14" s="249">
        <f t="shared" si="5"/>
        <v>0</v>
      </c>
      <c r="AB14" s="249">
        <f t="shared" si="5"/>
        <v>0</v>
      </c>
      <c r="AC14" s="253">
        <f t="shared" si="5"/>
        <v>0</v>
      </c>
    </row>
    <row r="15" spans="2:30" ht="18" customHeight="1" x14ac:dyDescent="0.3">
      <c r="B15" s="261" t="s">
        <v>336</v>
      </c>
      <c r="C15" s="139" t="s">
        <v>337</v>
      </c>
      <c r="D15" s="281">
        <f>'Haver Pivoted'!GO59</f>
        <v>0</v>
      </c>
      <c r="E15" s="149">
        <f>'Haver Pivoted'!GP59</f>
        <v>0</v>
      </c>
      <c r="F15" s="149">
        <f>'Haver Pivoted'!GQ59</f>
        <v>0</v>
      </c>
      <c r="G15" s="149">
        <f>'Haver Pivoted'!GR59</f>
        <v>0</v>
      </c>
      <c r="H15" s="149">
        <f>'Haver Pivoted'!GS59</f>
        <v>0</v>
      </c>
      <c r="I15" s="149">
        <f>'Haver Pivoted'!GT59</f>
        <v>0</v>
      </c>
      <c r="J15" s="149">
        <f>'Haver Pivoted'!GU59</f>
        <v>6.3</v>
      </c>
      <c r="K15" s="149">
        <f>'Haver Pivoted'!GV59</f>
        <v>26.7</v>
      </c>
      <c r="L15" s="149">
        <f>'Haver Pivoted'!GW59</f>
        <v>82.1</v>
      </c>
      <c r="M15" s="149">
        <f>'Haver Pivoted'!GX59</f>
        <v>94.7</v>
      </c>
      <c r="N15" s="149">
        <f>'Haver Pivoted'!GY59</f>
        <v>92.1</v>
      </c>
      <c r="O15" s="149">
        <f>'Haver Pivoted'!GZ59</f>
        <v>51.6</v>
      </c>
      <c r="P15" s="149">
        <f>'Haver Pivoted'!HA59</f>
        <v>2.8</v>
      </c>
      <c r="Q15" s="149">
        <f>'Haver Pivoted'!HB59</f>
        <v>0.8</v>
      </c>
      <c r="R15" s="149">
        <f>'Haver Pivoted'!HC59</f>
        <v>0.5</v>
      </c>
      <c r="S15" s="246">
        <f>'Haver Pivoted'!HD59</f>
        <v>0.3</v>
      </c>
      <c r="T15" s="249">
        <f t="shared" ref="T15:T17" si="6">S15*T$22/S$22</f>
        <v>0.30700934579439254</v>
      </c>
      <c r="U15" s="249">
        <f t="shared" ref="U15:AB15" si="7">T15*U$22/T$22</f>
        <v>0.30112149532710286</v>
      </c>
      <c r="V15" s="249">
        <f t="shared" si="7"/>
        <v>0.29607476635514024</v>
      </c>
      <c r="W15" s="249">
        <f t="shared" si="7"/>
        <v>0.29700000000000004</v>
      </c>
      <c r="X15" s="249">
        <f t="shared" si="7"/>
        <v>0.29868224299065421</v>
      </c>
      <c r="Y15" s="249">
        <f t="shared" si="7"/>
        <v>0.30465420560747664</v>
      </c>
      <c r="Z15" s="249">
        <f t="shared" si="7"/>
        <v>0.33409345794392525</v>
      </c>
      <c r="AA15" s="249">
        <f t="shared" si="7"/>
        <v>0.33821495327102807</v>
      </c>
      <c r="AB15" s="249">
        <f t="shared" si="7"/>
        <v>0.34334579439252338</v>
      </c>
      <c r="AC15" s="253">
        <f>AB15*AC$22/AB$22</f>
        <v>0.34830841121495332</v>
      </c>
    </row>
    <row r="16" spans="2:30" ht="18" customHeight="1" x14ac:dyDescent="0.3">
      <c r="B16" s="261" t="s">
        <v>338</v>
      </c>
      <c r="C16" s="139" t="s">
        <v>339</v>
      </c>
      <c r="D16" s="281">
        <f>'Haver Pivoted'!GO60</f>
        <v>0</v>
      </c>
      <c r="E16" s="149">
        <f>'Haver Pivoted'!GP60</f>
        <v>0</v>
      </c>
      <c r="F16" s="149">
        <f>'Haver Pivoted'!GQ60</f>
        <v>0</v>
      </c>
      <c r="G16" s="149">
        <f>'Haver Pivoted'!GR60</f>
        <v>0</v>
      </c>
      <c r="H16" s="149">
        <f>'Haver Pivoted'!GS60</f>
        <v>0</v>
      </c>
      <c r="I16" s="149">
        <f>'Haver Pivoted'!GT60</f>
        <v>0</v>
      </c>
      <c r="J16" s="149">
        <f>'Haver Pivoted'!GU60</f>
        <v>74.400000000000006</v>
      </c>
      <c r="K16" s="149">
        <f>'Haver Pivoted'!GV60</f>
        <v>138.30000000000001</v>
      </c>
      <c r="L16" s="149">
        <f>'Haver Pivoted'!GW60</f>
        <v>106.8</v>
      </c>
      <c r="M16" s="149">
        <f>'Haver Pivoted'!GX60</f>
        <v>89.2</v>
      </c>
      <c r="N16" s="149">
        <f>'Haver Pivoted'!GY60</f>
        <v>72.3</v>
      </c>
      <c r="O16" s="149">
        <f>'Haver Pivoted'!GZ60</f>
        <v>43.5</v>
      </c>
      <c r="P16" s="149">
        <f>'Haver Pivoted'!HA60</f>
        <v>2.1</v>
      </c>
      <c r="Q16" s="149">
        <f>'Haver Pivoted'!HB60</f>
        <v>0.8</v>
      </c>
      <c r="R16" s="149">
        <f>'Haver Pivoted'!HC60</f>
        <v>0.4</v>
      </c>
      <c r="S16" s="246">
        <f>'Haver Pivoted'!HD60</f>
        <v>0.2</v>
      </c>
      <c r="T16" s="249">
        <f t="shared" si="6"/>
        <v>0.20467289719626169</v>
      </c>
      <c r="U16" s="249">
        <f t="shared" ref="U16:AB16" si="8">T16*U$22/T$22</f>
        <v>0.20074766355140189</v>
      </c>
      <c r="V16" s="249">
        <f t="shared" si="8"/>
        <v>0.19738317757009347</v>
      </c>
      <c r="W16" s="249">
        <f t="shared" si="8"/>
        <v>0.19800000000000001</v>
      </c>
      <c r="X16" s="249">
        <f t="shared" si="8"/>
        <v>0.19912149532710283</v>
      </c>
      <c r="Y16" s="249">
        <f t="shared" si="8"/>
        <v>0.20310280373831777</v>
      </c>
      <c r="Z16" s="249">
        <f t="shared" si="8"/>
        <v>0.22272897196261685</v>
      </c>
      <c r="AA16" s="249">
        <f t="shared" si="8"/>
        <v>0.22547663551401873</v>
      </c>
      <c r="AB16" s="249">
        <f t="shared" si="8"/>
        <v>0.22889719626168228</v>
      </c>
      <c r="AC16" s="253">
        <f>AB16*AC$22/AB$22</f>
        <v>0.23220560747663554</v>
      </c>
    </row>
    <row r="17" spans="2:30" ht="18" customHeight="1" x14ac:dyDescent="0.3">
      <c r="B17" s="261" t="s">
        <v>340</v>
      </c>
      <c r="C17" s="139" t="s">
        <v>341</v>
      </c>
      <c r="D17" s="281">
        <f>'Haver Pivoted'!GO61</f>
        <v>0</v>
      </c>
      <c r="E17" s="149">
        <f>'Haver Pivoted'!GP61</f>
        <v>0</v>
      </c>
      <c r="F17" s="149">
        <f>'Haver Pivoted'!GQ61</f>
        <v>0</v>
      </c>
      <c r="G17" s="149">
        <f>'Haver Pivoted'!GR61</f>
        <v>0</v>
      </c>
      <c r="H17" s="149">
        <f>'Haver Pivoted'!GS61</f>
        <v>0</v>
      </c>
      <c r="I17" s="149">
        <f>'Haver Pivoted'!GT61</f>
        <v>0</v>
      </c>
      <c r="J17" s="149">
        <f>'Haver Pivoted'!GU61</f>
        <v>698.9</v>
      </c>
      <c r="K17" s="149">
        <f>'Haver Pivoted'!GV61</f>
        <v>413.9</v>
      </c>
      <c r="L17" s="149">
        <f>'Haver Pivoted'!GW61</f>
        <v>14.7</v>
      </c>
      <c r="M17" s="149">
        <f>'Haver Pivoted'!GX61</f>
        <v>288.2</v>
      </c>
      <c r="N17" s="149">
        <f>'Haver Pivoted'!GY61</f>
        <v>233.3</v>
      </c>
      <c r="O17" s="149">
        <f>'Haver Pivoted'!GZ61</f>
        <v>110.5</v>
      </c>
      <c r="P17" s="149">
        <f>'Haver Pivoted'!HA61</f>
        <v>0</v>
      </c>
      <c r="Q17" s="149">
        <f>'Haver Pivoted'!HB61</f>
        <v>0</v>
      </c>
      <c r="R17" s="149">
        <f>'Haver Pivoted'!HC61</f>
        <v>0</v>
      </c>
      <c r="S17" s="246">
        <f>'Haver Pivoted'!HD61</f>
        <v>0</v>
      </c>
      <c r="T17" s="249">
        <f t="shared" si="6"/>
        <v>0</v>
      </c>
      <c r="U17" s="249">
        <f t="shared" ref="U17:AB17" si="9">T17*U$22/T$22</f>
        <v>0</v>
      </c>
      <c r="V17" s="249">
        <f t="shared" si="9"/>
        <v>0</v>
      </c>
      <c r="W17" s="249">
        <f t="shared" si="9"/>
        <v>0</v>
      </c>
      <c r="X17" s="249">
        <f t="shared" si="9"/>
        <v>0</v>
      </c>
      <c r="Y17" s="249">
        <f t="shared" si="9"/>
        <v>0</v>
      </c>
      <c r="Z17" s="249">
        <f t="shared" si="9"/>
        <v>0</v>
      </c>
      <c r="AA17" s="249">
        <f t="shared" si="9"/>
        <v>0</v>
      </c>
      <c r="AB17" s="249">
        <f t="shared" si="9"/>
        <v>0</v>
      </c>
      <c r="AC17" s="253">
        <f>AB17*AC$22/AB$22</f>
        <v>0</v>
      </c>
    </row>
    <row r="18" spans="2:30" x14ac:dyDescent="0.3">
      <c r="B18" s="270" t="s">
        <v>158</v>
      </c>
      <c r="C18" s="154" t="s">
        <v>342</v>
      </c>
      <c r="D18" s="283">
        <f>'Haver Pivoted'!GO64</f>
        <v>0</v>
      </c>
      <c r="E18" s="138">
        <f>'Haver Pivoted'!GP64</f>
        <v>0</v>
      </c>
      <c r="F18" s="138">
        <f>'Haver Pivoted'!GQ64</f>
        <v>0</v>
      </c>
      <c r="G18" s="138">
        <f>'Haver Pivoted'!GR64</f>
        <v>0</v>
      </c>
      <c r="H18" s="138">
        <f>'Haver Pivoted'!GS64</f>
        <v>0</v>
      </c>
      <c r="I18" s="138">
        <f>'Haver Pivoted'!GT64</f>
        <v>0</v>
      </c>
      <c r="J18" s="138">
        <f>'Haver Pivoted'!GU64</f>
        <v>0</v>
      </c>
      <c r="K18" s="138">
        <f>'Haver Pivoted'!GV64</f>
        <v>106.2</v>
      </c>
      <c r="L18" s="138">
        <f>'Haver Pivoted'!GW64</f>
        <v>35.9</v>
      </c>
      <c r="M18" s="138">
        <f>'Haver Pivoted'!GX64</f>
        <v>1.6</v>
      </c>
      <c r="N18" s="138">
        <f>'Haver Pivoted'!GY64</f>
        <v>0.6</v>
      </c>
      <c r="O18" s="138">
        <f>'Haver Pivoted'!GZ64</f>
        <v>0.1</v>
      </c>
      <c r="P18" s="138">
        <f>'Haver Pivoted'!HA64</f>
        <v>0</v>
      </c>
      <c r="Q18" s="149">
        <f>'Haver Pivoted'!HB64</f>
        <v>0</v>
      </c>
      <c r="R18" s="149">
        <f>'Haver Pivoted'!HC64</f>
        <v>0</v>
      </c>
      <c r="S18" s="246">
        <f>'Haver Pivoted'!HD64</f>
        <v>0</v>
      </c>
      <c r="T18" s="249"/>
      <c r="U18" s="249"/>
      <c r="V18" s="249"/>
      <c r="W18" s="249"/>
      <c r="X18" s="249"/>
      <c r="Y18" s="249"/>
      <c r="Z18" s="249"/>
      <c r="AA18" s="249"/>
      <c r="AB18" s="249"/>
      <c r="AC18" s="253"/>
    </row>
    <row r="19" spans="2:30" ht="14.55" customHeight="1" x14ac:dyDescent="0.3">
      <c r="B19" s="271" t="s">
        <v>343</v>
      </c>
      <c r="C19" s="278"/>
      <c r="D19" s="254">
        <f t="shared" ref="D19:N19" si="10">D11-D20</f>
        <v>0</v>
      </c>
      <c r="E19" s="248">
        <f t="shared" si="10"/>
        <v>0</v>
      </c>
      <c r="F19" s="248">
        <f t="shared" si="10"/>
        <v>0</v>
      </c>
      <c r="G19" s="248">
        <f t="shared" si="10"/>
        <v>0</v>
      </c>
      <c r="H19" s="248">
        <f t="shared" si="10"/>
        <v>0</v>
      </c>
      <c r="I19" s="248">
        <f t="shared" si="10"/>
        <v>0</v>
      </c>
      <c r="J19" s="248">
        <f t="shared" si="10"/>
        <v>779.80000000000007</v>
      </c>
      <c r="K19" s="248">
        <f t="shared" si="10"/>
        <v>586.29999999999995</v>
      </c>
      <c r="L19" s="248">
        <f t="shared" si="10"/>
        <v>229.4</v>
      </c>
      <c r="M19" s="248">
        <f t="shared" si="10"/>
        <v>523.1</v>
      </c>
      <c r="N19" s="247">
        <f t="shared" si="10"/>
        <v>405.3</v>
      </c>
      <c r="O19" s="247">
        <f>O11-O20</f>
        <v>209.20000000000002</v>
      </c>
      <c r="P19" s="247">
        <f t="shared" ref="P19" si="11">P11-P20</f>
        <v>6.1000000000000014</v>
      </c>
      <c r="Q19" s="247">
        <f>Q11-Q20</f>
        <v>0.19999999999999929</v>
      </c>
      <c r="R19" s="247">
        <f>R11-R20</f>
        <v>1.1000000000000014</v>
      </c>
      <c r="S19" s="244">
        <f>S11-S20</f>
        <v>0.5</v>
      </c>
      <c r="T19" s="250">
        <v>0</v>
      </c>
      <c r="U19" s="250">
        <v>0</v>
      </c>
      <c r="V19" s="250">
        <v>0</v>
      </c>
      <c r="W19" s="250">
        <v>0</v>
      </c>
      <c r="X19" s="250">
        <v>0</v>
      </c>
      <c r="Y19" s="250">
        <v>0</v>
      </c>
      <c r="Z19" s="250">
        <v>0</v>
      </c>
      <c r="AA19" s="250">
        <v>0</v>
      </c>
      <c r="AB19" s="250">
        <v>0</v>
      </c>
      <c r="AC19" s="255">
        <v>0</v>
      </c>
    </row>
    <row r="20" spans="2:30" ht="14.55" customHeight="1" x14ac:dyDescent="0.3">
      <c r="B20" s="271" t="s">
        <v>344</v>
      </c>
      <c r="C20" s="278"/>
      <c r="D20" s="254">
        <f t="shared" ref="D20:H20" si="12">D11</f>
        <v>27.8</v>
      </c>
      <c r="E20" s="248">
        <f t="shared" si="12"/>
        <v>29.4</v>
      </c>
      <c r="F20" s="248">
        <f t="shared" si="12"/>
        <v>26.9</v>
      </c>
      <c r="G20" s="248">
        <f t="shared" si="12"/>
        <v>26.4</v>
      </c>
      <c r="H20" s="248">
        <f t="shared" si="12"/>
        <v>27.7</v>
      </c>
      <c r="I20" s="248">
        <f>I11</f>
        <v>40.700000000000003</v>
      </c>
      <c r="J20" s="248">
        <f>J11-J13-J12</f>
        <v>227.69999999999996</v>
      </c>
      <c r="K20" s="248">
        <f>K11-K13-K12</f>
        <v>206.59999999999997</v>
      </c>
      <c r="L20" s="248">
        <f>L11-L13-L12</f>
        <v>79.099999999999994</v>
      </c>
      <c r="M20" s="248">
        <f>M11-M13-M12</f>
        <v>33.100000000000023</v>
      </c>
      <c r="N20" s="247">
        <f t="shared" ref="N20:S20" si="13">N11-N12-N13</f>
        <v>43.300000000000011</v>
      </c>
      <c r="O20" s="247">
        <f t="shared" si="13"/>
        <v>35.899999999999977</v>
      </c>
      <c r="P20" s="247">
        <f t="shared" si="13"/>
        <v>27.699999999999996</v>
      </c>
      <c r="Q20" s="149">
        <f t="shared" si="13"/>
        <v>23.400000000000002</v>
      </c>
      <c r="R20" s="149">
        <f t="shared" si="13"/>
        <v>17.5</v>
      </c>
      <c r="S20" s="246">
        <f t="shared" si="13"/>
        <v>18</v>
      </c>
      <c r="T20" s="250">
        <f>S20*T22/S22</f>
        <v>18.420560747663554</v>
      </c>
      <c r="U20" s="250">
        <f t="shared" ref="U20:AB20" si="14">T20*U22/T22</f>
        <v>18.067289719626174</v>
      </c>
      <c r="V20" s="250">
        <f t="shared" si="14"/>
        <v>17.764485981308418</v>
      </c>
      <c r="W20" s="250">
        <f t="shared" si="14"/>
        <v>17.820000000000007</v>
      </c>
      <c r="X20" s="250">
        <f t="shared" si="14"/>
        <v>17.920934579439262</v>
      </c>
      <c r="Y20" s="250">
        <f t="shared" si="14"/>
        <v>18.279252336448607</v>
      </c>
      <c r="Z20" s="250">
        <f t="shared" si="14"/>
        <v>20.045607476635524</v>
      </c>
      <c r="AA20" s="250">
        <f t="shared" si="14"/>
        <v>20.292897196261695</v>
      </c>
      <c r="AB20" s="250">
        <f t="shared" si="14"/>
        <v>20.600747663551413</v>
      </c>
      <c r="AC20" s="255">
        <f>AB20*AC22/AB22</f>
        <v>20.898504672897207</v>
      </c>
      <c r="AD20" s="257" t="s">
        <v>345</v>
      </c>
    </row>
    <row r="21" spans="2:30" x14ac:dyDescent="0.3">
      <c r="B21" s="270"/>
      <c r="C21" s="263"/>
      <c r="D21" s="281"/>
      <c r="E21" s="149"/>
      <c r="F21" s="149"/>
      <c r="G21" s="149"/>
      <c r="H21" s="147"/>
      <c r="I21" s="147"/>
      <c r="J21" s="147"/>
      <c r="K21" s="147"/>
      <c r="L21" s="147"/>
      <c r="M21" s="147"/>
      <c r="N21" s="147"/>
      <c r="O21" s="147"/>
      <c r="P21" s="147"/>
      <c r="Q21" s="147"/>
      <c r="R21" s="147"/>
      <c r="S21" s="296"/>
      <c r="T21" s="251"/>
      <c r="U21" s="251"/>
      <c r="V21" s="251"/>
      <c r="W21" s="251"/>
      <c r="X21" s="251"/>
      <c r="Y21" s="251"/>
      <c r="Z21" s="251"/>
      <c r="AA21" s="251"/>
      <c r="AB21" s="251"/>
      <c r="AC21" s="265"/>
    </row>
    <row r="22" spans="2:30" x14ac:dyDescent="0.3">
      <c r="B22" s="148" t="s">
        <v>346</v>
      </c>
      <c r="C22" s="264"/>
      <c r="D22" s="284"/>
      <c r="E22" s="156"/>
      <c r="F22" s="156"/>
      <c r="G22" s="156"/>
      <c r="H22" s="285"/>
      <c r="I22" s="285"/>
      <c r="J22" s="285"/>
      <c r="K22" s="285"/>
      <c r="L22" s="285"/>
      <c r="M22" s="285">
        <f>D33</f>
        <v>6.166666666666667</v>
      </c>
      <c r="N22" s="285">
        <f>D36</f>
        <v>5.7666666666666657</v>
      </c>
      <c r="O22" s="285">
        <f>D39</f>
        <v>5.1333333333333337</v>
      </c>
      <c r="P22" s="285">
        <f>D42</f>
        <v>4.2333333333333334</v>
      </c>
      <c r="Q22" s="285">
        <f>D45</f>
        <v>3.8000000000000003</v>
      </c>
      <c r="R22" s="297">
        <f>D48</f>
        <v>3.6</v>
      </c>
      <c r="S22" s="298">
        <f>D51</f>
        <v>3.5666666666666664</v>
      </c>
      <c r="T22" s="266">
        <v>3.65</v>
      </c>
      <c r="U22" s="266">
        <v>3.58</v>
      </c>
      <c r="V22" s="266">
        <v>3.52</v>
      </c>
      <c r="W22" s="266">
        <v>3.5310000000000001</v>
      </c>
      <c r="X22" s="266">
        <v>3.5510000000000002</v>
      </c>
      <c r="Y22" s="266">
        <v>3.6219999999999999</v>
      </c>
      <c r="Z22" s="266">
        <v>3.972</v>
      </c>
      <c r="AA22" s="266">
        <v>4.0209999999999999</v>
      </c>
      <c r="AB22" s="266">
        <v>4.0819999999999999</v>
      </c>
      <c r="AC22" s="276">
        <v>4.141</v>
      </c>
      <c r="AD22" s="272" t="s">
        <v>347</v>
      </c>
    </row>
    <row r="23" spans="2:30" x14ac:dyDescent="0.3">
      <c r="C23" s="154"/>
      <c r="D23" s="138"/>
      <c r="E23" s="138"/>
      <c r="F23" s="138"/>
      <c r="G23" s="138"/>
      <c r="H23" s="147"/>
      <c r="I23" s="147"/>
      <c r="J23" s="147"/>
      <c r="K23" s="147"/>
      <c r="L23" s="147"/>
      <c r="M23" s="147"/>
      <c r="N23" s="147"/>
      <c r="O23" s="147"/>
      <c r="P23" s="147"/>
      <c r="AD23" s="272"/>
    </row>
    <row r="24" spans="2:30" ht="15.75" customHeight="1" x14ac:dyDescent="0.3">
      <c r="C24" s="154"/>
      <c r="D24" s="138"/>
      <c r="E24" s="138"/>
      <c r="F24" s="138"/>
      <c r="G24" s="138"/>
      <c r="H24" s="147"/>
      <c r="I24" s="147"/>
      <c r="J24" s="147"/>
      <c r="K24" s="147"/>
      <c r="L24" s="147"/>
      <c r="M24" s="147"/>
      <c r="N24" s="147"/>
      <c r="O24" s="147"/>
      <c r="P24" s="147"/>
      <c r="AD24" s="272"/>
    </row>
    <row r="25" spans="2:30" x14ac:dyDescent="0.3">
      <c r="C25" s="154"/>
      <c r="D25" s="138"/>
      <c r="E25" s="138"/>
      <c r="F25" s="138"/>
      <c r="G25" s="138"/>
      <c r="H25" s="147"/>
      <c r="I25" s="147"/>
      <c r="J25" s="147"/>
      <c r="K25" s="147"/>
      <c r="L25" s="147"/>
      <c r="M25" s="147"/>
      <c r="N25" s="147"/>
      <c r="O25" s="147"/>
      <c r="P25" s="147"/>
      <c r="AD25" s="272"/>
    </row>
    <row r="26" spans="2:30" x14ac:dyDescent="0.3">
      <c r="C26" s="154"/>
      <c r="D26" s="138"/>
      <c r="E26" s="138"/>
      <c r="F26" s="138"/>
      <c r="G26" s="138"/>
      <c r="H26" s="147"/>
      <c r="I26" s="147"/>
      <c r="J26" s="147"/>
      <c r="K26" s="147"/>
      <c r="L26" s="147"/>
      <c r="M26" s="147"/>
      <c r="N26" s="147"/>
      <c r="O26" s="147"/>
      <c r="P26" s="147"/>
      <c r="AD26" s="272"/>
    </row>
    <row r="27" spans="2:30" x14ac:dyDescent="0.3">
      <c r="C27" s="154"/>
      <c r="D27" s="138"/>
      <c r="E27" s="138"/>
      <c r="F27" s="138"/>
      <c r="G27" s="138"/>
      <c r="H27" s="147"/>
      <c r="I27" s="147"/>
      <c r="J27" s="147"/>
      <c r="K27" s="147"/>
      <c r="L27" s="147"/>
      <c r="M27" s="147"/>
      <c r="N27" s="147"/>
      <c r="O27" s="147"/>
      <c r="P27" s="147"/>
      <c r="AD27" s="272"/>
    </row>
    <row r="28" spans="2:30" x14ac:dyDescent="0.3">
      <c r="C28" s="154"/>
      <c r="D28" s="138"/>
      <c r="E28" s="138"/>
      <c r="F28" s="138"/>
      <c r="G28" s="138"/>
      <c r="H28" s="147"/>
      <c r="I28" s="147"/>
      <c r="J28" s="147"/>
      <c r="K28" s="147"/>
      <c r="L28" s="147"/>
      <c r="M28" s="147"/>
      <c r="N28" s="147"/>
      <c r="O28" s="147"/>
      <c r="P28" s="147"/>
      <c r="AD28" s="272"/>
    </row>
    <row r="29" spans="2:30" x14ac:dyDescent="0.3">
      <c r="M29" s="272"/>
      <c r="N29" s="272"/>
      <c r="O29" s="272"/>
    </row>
    <row r="30" spans="2:30" x14ac:dyDescent="0.3">
      <c r="M30" s="154"/>
      <c r="N30" s="154"/>
      <c r="O30" s="154"/>
    </row>
    <row r="31" spans="2:30" x14ac:dyDescent="0.3">
      <c r="M31" s="154"/>
      <c r="N31" s="154"/>
      <c r="O31" s="154"/>
    </row>
    <row r="32" spans="2:30" ht="30.75" customHeight="1" x14ac:dyDescent="0.3">
      <c r="B32" s="288" t="s">
        <v>348</v>
      </c>
      <c r="C32" s="295" t="s">
        <v>349</v>
      </c>
      <c r="D32" s="289" t="s">
        <v>350</v>
      </c>
      <c r="M32" s="154"/>
      <c r="N32" s="154"/>
      <c r="O32" s="154"/>
    </row>
    <row r="33" spans="1:38" x14ac:dyDescent="0.3">
      <c r="A33" s="37"/>
      <c r="B33" s="290">
        <v>44197</v>
      </c>
      <c r="C33" s="292">
        <v>6.3</v>
      </c>
      <c r="D33" s="291">
        <f>AVERAGE(C33:C35)</f>
        <v>6.166666666666667</v>
      </c>
      <c r="E33" s="37"/>
      <c r="M33" s="154"/>
      <c r="N33" s="154"/>
      <c r="O33" s="154"/>
    </row>
    <row r="34" spans="1:38" x14ac:dyDescent="0.3">
      <c r="A34" s="37"/>
      <c r="B34" s="290">
        <v>44228</v>
      </c>
      <c r="C34" s="292">
        <v>6.2</v>
      </c>
      <c r="D34" s="291"/>
      <c r="E34" s="37"/>
      <c r="M34" s="154"/>
      <c r="N34" s="154"/>
      <c r="O34" s="154"/>
    </row>
    <row r="35" spans="1:38" x14ac:dyDescent="0.3">
      <c r="A35" s="37"/>
      <c r="B35" s="290">
        <v>44256</v>
      </c>
      <c r="C35" s="292">
        <v>6</v>
      </c>
      <c r="D35" s="291"/>
      <c r="E35" s="37"/>
      <c r="M35" s="154"/>
      <c r="N35" s="154"/>
      <c r="O35" s="154"/>
    </row>
    <row r="36" spans="1:38" x14ac:dyDescent="0.3">
      <c r="A36" s="37"/>
      <c r="B36" s="290">
        <v>44287</v>
      </c>
      <c r="C36" s="292">
        <v>6.1</v>
      </c>
      <c r="D36" s="291">
        <f>AVERAGE(C36:C38)</f>
        <v>5.7666666666666657</v>
      </c>
      <c r="E36" s="37"/>
      <c r="M36" s="154"/>
      <c r="N36" s="154"/>
      <c r="O36" s="154"/>
    </row>
    <row r="37" spans="1:38" x14ac:dyDescent="0.3">
      <c r="A37" s="37"/>
      <c r="B37" s="290">
        <v>44317</v>
      </c>
      <c r="C37" s="292">
        <v>5.8</v>
      </c>
      <c r="D37" s="291"/>
      <c r="E37" s="37"/>
      <c r="M37" s="154"/>
      <c r="N37" s="154"/>
      <c r="O37" s="154"/>
    </row>
    <row r="38" spans="1:38" x14ac:dyDescent="0.3">
      <c r="A38" s="37"/>
      <c r="B38" s="290">
        <v>44348</v>
      </c>
      <c r="C38" s="292">
        <v>5.4</v>
      </c>
      <c r="D38" s="291"/>
      <c r="E38" s="37"/>
      <c r="M38" s="154"/>
      <c r="N38" s="154"/>
      <c r="O38" s="154"/>
    </row>
    <row r="39" spans="1:38" x14ac:dyDescent="0.3">
      <c r="A39" s="37"/>
      <c r="B39" s="290">
        <v>44378</v>
      </c>
      <c r="C39" s="292">
        <v>5.4</v>
      </c>
      <c r="D39" s="291">
        <f>AVERAGE(C39:C41)</f>
        <v>5.1333333333333337</v>
      </c>
      <c r="E39" s="154" t="s">
        <v>351</v>
      </c>
      <c r="M39" s="154"/>
      <c r="N39" s="154"/>
      <c r="O39" s="154"/>
    </row>
    <row r="40" spans="1:38" x14ac:dyDescent="0.3">
      <c r="A40" s="37"/>
      <c r="B40" s="290">
        <v>44409</v>
      </c>
      <c r="C40" s="292">
        <v>5.2</v>
      </c>
      <c r="D40" s="291"/>
      <c r="E40" s="37"/>
      <c r="M40" s="154"/>
      <c r="N40" s="154"/>
      <c r="O40" s="154"/>
    </row>
    <row r="41" spans="1:38" x14ac:dyDescent="0.3">
      <c r="A41" s="37"/>
      <c r="B41" s="290">
        <v>44440</v>
      </c>
      <c r="C41" s="292">
        <v>4.8</v>
      </c>
      <c r="D41" s="291"/>
      <c r="E41" s="37"/>
      <c r="M41" s="154"/>
      <c r="N41" s="154"/>
      <c r="O41" s="154"/>
    </row>
    <row r="42" spans="1:38" x14ac:dyDescent="0.3">
      <c r="A42" s="37"/>
      <c r="B42" s="290">
        <v>44470</v>
      </c>
      <c r="C42" s="292">
        <v>4.5999999999999996</v>
      </c>
      <c r="D42" s="291">
        <f>AVERAGE(C42:C44)</f>
        <v>4.2333333333333334</v>
      </c>
      <c r="E42" s="37"/>
      <c r="M42" s="154"/>
      <c r="N42" s="154"/>
      <c r="O42" s="154"/>
    </row>
    <row r="43" spans="1:38" x14ac:dyDescent="0.3">
      <c r="A43" s="37"/>
      <c r="B43" s="290">
        <v>44501</v>
      </c>
      <c r="C43" s="292">
        <v>4.2</v>
      </c>
      <c r="D43" s="291"/>
      <c r="E43" s="37"/>
      <c r="M43" s="154"/>
      <c r="N43" s="154"/>
      <c r="O43" s="154"/>
      <c r="AD43" s="154"/>
      <c r="AE43" s="154"/>
      <c r="AF43" s="154"/>
      <c r="AG43" s="154"/>
      <c r="AH43" s="154"/>
      <c r="AI43" s="154"/>
      <c r="AJ43" s="154"/>
      <c r="AK43" s="154"/>
      <c r="AL43" s="154"/>
    </row>
    <row r="44" spans="1:38" x14ac:dyDescent="0.3">
      <c r="A44" s="37"/>
      <c r="B44" s="290">
        <v>44531</v>
      </c>
      <c r="C44" s="292">
        <v>3.9</v>
      </c>
      <c r="D44" s="291"/>
      <c r="E44" s="37"/>
      <c r="M44" s="154"/>
      <c r="N44" s="154"/>
      <c r="O44" s="154"/>
      <c r="AD44" s="154"/>
      <c r="AE44" s="154"/>
      <c r="AF44" s="154"/>
      <c r="AG44" s="154"/>
      <c r="AH44" s="154"/>
      <c r="AI44" s="154"/>
      <c r="AJ44" s="154"/>
      <c r="AK44" s="154"/>
      <c r="AL44" s="154"/>
    </row>
    <row r="45" spans="1:38" x14ac:dyDescent="0.3">
      <c r="A45" s="37"/>
      <c r="B45" s="290">
        <v>44562</v>
      </c>
      <c r="C45" s="292">
        <v>4</v>
      </c>
      <c r="D45" s="292">
        <f>AVERAGE(C45:C47)</f>
        <v>3.8000000000000003</v>
      </c>
      <c r="E45" s="37"/>
      <c r="M45" s="154"/>
      <c r="N45" s="154"/>
      <c r="O45" s="154"/>
    </row>
    <row r="46" spans="1:38" x14ac:dyDescent="0.3">
      <c r="A46" s="37"/>
      <c r="B46" s="290">
        <v>44593</v>
      </c>
      <c r="C46" s="292">
        <v>3.8</v>
      </c>
      <c r="D46" s="292"/>
      <c r="E46" s="37"/>
    </row>
    <row r="47" spans="1:38" x14ac:dyDescent="0.3">
      <c r="A47" s="37"/>
      <c r="B47" s="290">
        <v>44621</v>
      </c>
      <c r="C47" s="292">
        <v>3.6</v>
      </c>
      <c r="D47" s="292"/>
      <c r="E47" s="37"/>
    </row>
    <row r="48" spans="1:38" x14ac:dyDescent="0.3">
      <c r="A48" s="37"/>
      <c r="B48" s="290">
        <v>44652</v>
      </c>
      <c r="C48" s="292">
        <v>3.6</v>
      </c>
      <c r="D48" s="292">
        <f>AVERAGE(C48:C50)</f>
        <v>3.6</v>
      </c>
      <c r="E48" s="37"/>
    </row>
    <row r="49" spans="1:5" x14ac:dyDescent="0.3">
      <c r="A49" s="37"/>
      <c r="B49" s="290">
        <v>44682</v>
      </c>
      <c r="C49" s="292">
        <v>3.6</v>
      </c>
      <c r="D49" s="292"/>
      <c r="E49" s="37"/>
    </row>
    <row r="50" spans="1:5" x14ac:dyDescent="0.3">
      <c r="A50" s="37"/>
      <c r="B50" s="290">
        <v>44713</v>
      </c>
      <c r="C50" s="292">
        <v>3.6</v>
      </c>
      <c r="D50" s="292"/>
      <c r="E50" s="37"/>
    </row>
    <row r="51" spans="1:5" x14ac:dyDescent="0.3">
      <c r="A51" s="37"/>
      <c r="B51" s="290">
        <v>44743</v>
      </c>
      <c r="C51" s="292">
        <v>3.5</v>
      </c>
      <c r="D51" s="292">
        <f>AVERAGE(C51:C53)</f>
        <v>3.5666666666666664</v>
      </c>
      <c r="E51" s="37"/>
    </row>
    <row r="52" spans="1:5" x14ac:dyDescent="0.3">
      <c r="A52" s="37"/>
      <c r="B52" s="290">
        <v>44774</v>
      </c>
      <c r="C52" s="292">
        <v>3.7</v>
      </c>
      <c r="D52" s="292"/>
      <c r="E52" s="37"/>
    </row>
    <row r="53" spans="1:5" x14ac:dyDescent="0.3">
      <c r="B53" s="290">
        <v>44805</v>
      </c>
      <c r="C53" s="292">
        <v>3.5</v>
      </c>
      <c r="D53" s="292"/>
    </row>
    <row r="54" spans="1:5" x14ac:dyDescent="0.3">
      <c r="B54" s="290">
        <v>44835</v>
      </c>
      <c r="C54" s="292"/>
      <c r="D54" s="292" t="e">
        <f>AVERAGE(C54:C56)</f>
        <v>#DIV/0!</v>
      </c>
    </row>
    <row r="55" spans="1:5" x14ac:dyDescent="0.3">
      <c r="B55" s="290">
        <v>44866</v>
      </c>
      <c r="C55" s="292"/>
      <c r="D55" s="292"/>
    </row>
    <row r="56" spans="1:5" x14ac:dyDescent="0.3">
      <c r="B56" s="293">
        <v>44896</v>
      </c>
      <c r="C56" s="294"/>
      <c r="D56" s="294"/>
    </row>
  </sheetData>
  <mergeCells count="11">
    <mergeCell ref="B1:AC1"/>
    <mergeCell ref="B2:AC6"/>
    <mergeCell ref="E9:H9"/>
    <mergeCell ref="B8:C10"/>
    <mergeCell ref="I9:L9"/>
    <mergeCell ref="U9:X9"/>
    <mergeCell ref="Y9:AB9"/>
    <mergeCell ref="M9:P9"/>
    <mergeCell ref="Q9:R9"/>
    <mergeCell ref="T8:AC8"/>
    <mergeCell ref="D8:S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119"/>
  <sheetViews>
    <sheetView topLeftCell="C1" zoomScale="89" zoomScaleNormal="89" workbookViewId="0">
      <selection activeCell="Q75" sqref="Q75"/>
    </sheetView>
  </sheetViews>
  <sheetFormatPr defaultColWidth="11.5546875" defaultRowHeight="14.4" x14ac:dyDescent="0.3"/>
  <cols>
    <col min="1" max="1" width="8.44140625" customWidth="1"/>
    <col min="2" max="2" width="40.44140625" customWidth="1"/>
    <col min="3" max="3" width="7.21875" customWidth="1"/>
    <col min="4" max="4" width="11.21875" customWidth="1"/>
    <col min="5" max="5" width="12.44140625" customWidth="1"/>
    <col min="6" max="7" width="7.21875" customWidth="1"/>
    <col min="8" max="8" width="10.44140625" customWidth="1"/>
    <col min="9" max="9" width="11.44140625" customWidth="1"/>
    <col min="10" max="13" width="7.44140625" customWidth="1"/>
    <col min="14" max="18" width="8.21875" customWidth="1"/>
    <col min="19" max="19" width="8.77734375" customWidth="1"/>
    <col min="20" max="29" width="8.21875" customWidth="1"/>
    <col min="30" max="30" width="29.44140625" customWidth="1"/>
    <col min="31" max="31" width="31.21875" customWidth="1"/>
    <col min="32" max="32" width="114.77734375" customWidth="1"/>
  </cols>
  <sheetData>
    <row r="1" spans="2:34" x14ac:dyDescent="0.3">
      <c r="B1" s="1146" t="s">
        <v>192</v>
      </c>
      <c r="C1" s="1146"/>
      <c r="D1" s="1146"/>
      <c r="E1" s="1146"/>
      <c r="F1" s="1146"/>
      <c r="G1" s="1146"/>
      <c r="H1" s="1146"/>
      <c r="I1" s="1146"/>
      <c r="J1" s="1146"/>
      <c r="K1" s="1146"/>
      <c r="L1" s="1146"/>
      <c r="M1" s="1146"/>
      <c r="N1" s="1146"/>
      <c r="O1" s="1146"/>
      <c r="P1" s="1146"/>
      <c r="Q1" s="1146"/>
      <c r="R1" s="1146"/>
      <c r="S1" s="1146"/>
      <c r="T1" s="1146"/>
      <c r="U1" s="1146"/>
      <c r="V1" s="1146"/>
      <c r="W1" s="1146"/>
      <c r="X1" s="1146"/>
      <c r="Y1" s="1146"/>
      <c r="Z1" s="140"/>
      <c r="AA1" s="140"/>
      <c r="AB1" s="140"/>
      <c r="AC1" s="140"/>
      <c r="AD1" s="136"/>
      <c r="AE1" s="136"/>
    </row>
    <row r="2" spans="2:34" ht="14.25" customHeight="1" x14ac:dyDescent="0.3">
      <c r="B2" s="1174" t="s">
        <v>380</v>
      </c>
      <c r="C2" s="1174"/>
      <c r="D2" s="1174"/>
      <c r="E2" s="1174"/>
      <c r="F2" s="1174"/>
      <c r="G2" s="1174"/>
      <c r="H2" s="1174"/>
      <c r="I2" s="1174"/>
      <c r="J2" s="1174"/>
      <c r="K2" s="1174"/>
      <c r="L2" s="1174"/>
      <c r="M2" s="1174"/>
      <c r="N2" s="1174"/>
      <c r="O2" s="1174"/>
      <c r="P2" s="1174"/>
      <c r="Q2" s="1174"/>
      <c r="R2" s="1174"/>
      <c r="S2" s="1174"/>
      <c r="T2" s="1174"/>
      <c r="U2" s="1174"/>
      <c r="V2" s="1174"/>
      <c r="W2" s="1174"/>
      <c r="X2" s="1174"/>
      <c r="Y2" s="1174"/>
      <c r="Z2" s="1174"/>
      <c r="AA2" s="1174"/>
      <c r="AB2" s="1174"/>
      <c r="AC2" s="1174"/>
      <c r="AD2" s="240"/>
      <c r="AE2" s="240"/>
    </row>
    <row r="3" spans="2:34" ht="50.7" customHeight="1" x14ac:dyDescent="0.3">
      <c r="B3" s="1174"/>
      <c r="C3" s="1174"/>
      <c r="D3" s="1174"/>
      <c r="E3" s="1174"/>
      <c r="F3" s="1174"/>
      <c r="G3" s="1174"/>
      <c r="H3" s="1174"/>
      <c r="I3" s="1174"/>
      <c r="J3" s="1174"/>
      <c r="K3" s="1174"/>
      <c r="L3" s="1174"/>
      <c r="M3" s="1174"/>
      <c r="N3" s="1174"/>
      <c r="O3" s="1174"/>
      <c r="P3" s="1174"/>
      <c r="Q3" s="1174"/>
      <c r="R3" s="1174"/>
      <c r="S3" s="1174"/>
      <c r="T3" s="1174"/>
      <c r="U3" s="1174"/>
      <c r="V3" s="1174"/>
      <c r="W3" s="1174"/>
      <c r="X3" s="1174"/>
      <c r="Y3" s="1174"/>
      <c r="Z3" s="1174"/>
      <c r="AA3" s="1174"/>
      <c r="AB3" s="1174"/>
      <c r="AC3" s="1174"/>
      <c r="AD3" s="240"/>
      <c r="AE3" s="240"/>
    </row>
    <row r="4" spans="2:34" ht="5.25" customHeight="1" x14ac:dyDescent="0.3">
      <c r="B4" s="1174"/>
      <c r="C4" s="1174"/>
      <c r="D4" s="1174"/>
      <c r="E4" s="1174"/>
      <c r="F4" s="1174"/>
      <c r="G4" s="1174"/>
      <c r="H4" s="1174"/>
      <c r="I4" s="1174"/>
      <c r="J4" s="1174"/>
      <c r="K4" s="1174"/>
      <c r="L4" s="1174"/>
      <c r="M4" s="1174"/>
      <c r="N4" s="1174"/>
      <c r="O4" s="1174"/>
      <c r="P4" s="1174"/>
      <c r="Q4" s="1174"/>
      <c r="R4" s="1174"/>
      <c r="S4" s="1174"/>
      <c r="T4" s="1174"/>
      <c r="U4" s="1174"/>
      <c r="V4" s="1174"/>
      <c r="W4" s="1174"/>
      <c r="X4" s="1174"/>
      <c r="Y4" s="1174"/>
      <c r="Z4" s="1174"/>
      <c r="AA4" s="1174"/>
      <c r="AB4" s="1174"/>
      <c r="AC4" s="1174"/>
      <c r="AD4" s="240"/>
      <c r="AE4" s="240"/>
    </row>
    <row r="5" spans="2:34" x14ac:dyDescent="0.3">
      <c r="B5" s="353" t="s">
        <v>381</v>
      </c>
    </row>
    <row r="6" spans="2:34" ht="14.7" customHeight="1" x14ac:dyDescent="0.3">
      <c r="B6" s="1175" t="s">
        <v>382</v>
      </c>
      <c r="C6" s="1159"/>
      <c r="D6" s="1156" t="s">
        <v>325</v>
      </c>
      <c r="E6" s="1157"/>
      <c r="F6" s="1157"/>
      <c r="G6" s="1157"/>
      <c r="H6" s="1157"/>
      <c r="I6" s="1157"/>
      <c r="J6" s="1157"/>
      <c r="K6" s="1157"/>
      <c r="L6" s="1157"/>
      <c r="M6" s="1157"/>
      <c r="N6" s="1157"/>
      <c r="O6" s="1157"/>
      <c r="P6" s="1157"/>
      <c r="Q6" s="1158"/>
      <c r="R6" s="1158"/>
      <c r="S6" s="1158"/>
      <c r="T6" s="1184" t="s">
        <v>326</v>
      </c>
      <c r="U6" s="1184"/>
      <c r="V6" s="1184"/>
      <c r="W6" s="1184"/>
      <c r="X6" s="1184"/>
      <c r="Y6" s="1184"/>
      <c r="Z6" s="1184"/>
      <c r="AA6" s="1184"/>
      <c r="AB6" s="1184"/>
      <c r="AC6" s="1185"/>
      <c r="AD6" s="1197" t="s">
        <v>383</v>
      </c>
      <c r="AE6" s="1200" t="s">
        <v>384</v>
      </c>
    </row>
    <row r="7" spans="2:34" ht="24" customHeight="1" x14ac:dyDescent="0.3">
      <c r="B7" s="1176"/>
      <c r="C7" s="1177"/>
      <c r="D7" s="152">
        <v>2018</v>
      </c>
      <c r="E7" s="1195">
        <v>2019</v>
      </c>
      <c r="F7" s="1196"/>
      <c r="G7" s="1196"/>
      <c r="H7" s="1203"/>
      <c r="I7" s="1195">
        <v>2020</v>
      </c>
      <c r="J7" s="1196"/>
      <c r="K7" s="1196"/>
      <c r="L7" s="1196"/>
      <c r="M7" s="1195">
        <v>2021</v>
      </c>
      <c r="N7" s="1196"/>
      <c r="O7" s="1196"/>
      <c r="P7" s="1196"/>
      <c r="Q7" s="1181">
        <v>2022</v>
      </c>
      <c r="R7" s="1182"/>
      <c r="S7" s="252"/>
      <c r="T7" s="287"/>
      <c r="U7" s="1178">
        <v>2023</v>
      </c>
      <c r="V7" s="1179"/>
      <c r="W7" s="1179"/>
      <c r="X7" s="1179"/>
      <c r="Y7" s="1178">
        <v>2024</v>
      </c>
      <c r="Z7" s="1179"/>
      <c r="AA7" s="1179"/>
      <c r="AB7" s="1180"/>
      <c r="AC7" s="258">
        <v>2025</v>
      </c>
      <c r="AD7" s="1198"/>
      <c r="AE7" s="1201"/>
    </row>
    <row r="8" spans="2:34" ht="14.25" customHeight="1" x14ac:dyDescent="0.3">
      <c r="B8" s="1187"/>
      <c r="C8" s="1188"/>
      <c r="D8" s="152" t="s">
        <v>327</v>
      </c>
      <c r="E8" s="152" t="s">
        <v>328</v>
      </c>
      <c r="F8" s="151" t="s">
        <v>329</v>
      </c>
      <c r="G8" s="151" t="s">
        <v>238</v>
      </c>
      <c r="H8" s="203" t="s">
        <v>327</v>
      </c>
      <c r="I8" s="151" t="s">
        <v>328</v>
      </c>
      <c r="J8" s="151" t="s">
        <v>329</v>
      </c>
      <c r="K8" s="151" t="s">
        <v>238</v>
      </c>
      <c r="L8" s="151" t="s">
        <v>327</v>
      </c>
      <c r="M8" s="152" t="s">
        <v>328</v>
      </c>
      <c r="N8" s="151" t="s">
        <v>329</v>
      </c>
      <c r="O8" s="151" t="s">
        <v>238</v>
      </c>
      <c r="P8" s="151" t="s">
        <v>327</v>
      </c>
      <c r="Q8" s="152" t="s">
        <v>328</v>
      </c>
      <c r="R8" s="151" t="s">
        <v>329</v>
      </c>
      <c r="S8" s="203" t="s">
        <v>238</v>
      </c>
      <c r="T8" s="274" t="s">
        <v>327</v>
      </c>
      <c r="U8" s="355" t="s">
        <v>328</v>
      </c>
      <c r="V8" s="356" t="s">
        <v>329</v>
      </c>
      <c r="W8" s="356" t="s">
        <v>238</v>
      </c>
      <c r="X8" s="356" t="s">
        <v>327</v>
      </c>
      <c r="Y8" s="355" t="s">
        <v>328</v>
      </c>
      <c r="Z8" s="249" t="s">
        <v>329</v>
      </c>
      <c r="AA8" s="356" t="s">
        <v>238</v>
      </c>
      <c r="AB8" s="368" t="s">
        <v>327</v>
      </c>
      <c r="AC8" s="383" t="s">
        <v>328</v>
      </c>
      <c r="AD8" s="1199"/>
      <c r="AE8" s="1202"/>
    </row>
    <row r="9" spans="2:34" ht="23.7" customHeight="1" x14ac:dyDescent="0.3">
      <c r="B9" s="362" t="s">
        <v>385</v>
      </c>
      <c r="C9" s="388" t="s">
        <v>386</v>
      </c>
      <c r="D9" s="304">
        <f>'Haver Pivoted'!GO32</f>
        <v>587.79999999999995</v>
      </c>
      <c r="E9" s="305">
        <f>'Haver Pivoted'!GP32</f>
        <v>592.4</v>
      </c>
      <c r="F9" s="305">
        <f>'Haver Pivoted'!GQ32</f>
        <v>615.5</v>
      </c>
      <c r="G9" s="305">
        <f>'Haver Pivoted'!GR32</f>
        <v>610.4</v>
      </c>
      <c r="H9" s="305">
        <f>'Haver Pivoted'!GS32</f>
        <v>617.5</v>
      </c>
      <c r="I9" s="305">
        <f>'Haver Pivoted'!GT32</f>
        <v>638.6</v>
      </c>
      <c r="J9" s="305">
        <f>'Haver Pivoted'!GU32</f>
        <v>1395</v>
      </c>
      <c r="K9" s="305">
        <f>'Haver Pivoted'!GV32</f>
        <v>737.1</v>
      </c>
      <c r="L9" s="305">
        <f>'Haver Pivoted'!GW32</f>
        <v>744.8</v>
      </c>
      <c r="M9" s="305">
        <f>'Haver Pivoted'!GX32</f>
        <v>785.1</v>
      </c>
      <c r="N9" s="305">
        <f>'Haver Pivoted'!GY32</f>
        <v>1653.7</v>
      </c>
      <c r="O9" s="305">
        <f>'Haver Pivoted'!GZ32</f>
        <v>1085</v>
      </c>
      <c r="P9" s="305">
        <f>'Haver Pivoted'!HA32</f>
        <v>924.7</v>
      </c>
      <c r="Q9" s="305">
        <f>'Haver Pivoted'!HB32</f>
        <v>940</v>
      </c>
      <c r="R9" s="305">
        <f>'Haver Pivoted'!HC32</f>
        <v>960.5</v>
      </c>
      <c r="S9" s="303">
        <f>'Haver Pivoted'!HD32</f>
        <v>953.4</v>
      </c>
      <c r="T9" s="280">
        <f t="shared" ref="T9:AC9" si="0">T10+T11</f>
        <v>988.16654040687945</v>
      </c>
      <c r="U9" s="280">
        <f t="shared" si="0"/>
        <v>980.99082360895511</v>
      </c>
      <c r="V9" s="280">
        <f t="shared" si="0"/>
        <v>983.84120481556693</v>
      </c>
      <c r="W9" s="280">
        <f t="shared" si="0"/>
        <v>947.17045488261999</v>
      </c>
      <c r="X9" s="280">
        <f t="shared" si="0"/>
        <v>917.97788441607736</v>
      </c>
      <c r="Y9" s="280">
        <f t="shared" si="0"/>
        <v>889.5689738093987</v>
      </c>
      <c r="Z9" s="280">
        <f t="shared" si="0"/>
        <v>867.2551683286481</v>
      </c>
      <c r="AA9" s="280">
        <f t="shared" si="0"/>
        <v>864.035983493976</v>
      </c>
      <c r="AB9" s="280">
        <f t="shared" si="0"/>
        <v>843.39369750490687</v>
      </c>
      <c r="AC9" s="256">
        <f t="shared" si="0"/>
        <v>840.4025662456695</v>
      </c>
      <c r="AD9" s="339"/>
      <c r="AE9" s="392"/>
    </row>
    <row r="10" spans="2:34" ht="27.6" customHeight="1" x14ac:dyDescent="0.3">
      <c r="B10" s="399" t="s">
        <v>133</v>
      </c>
      <c r="C10" s="149" t="s">
        <v>387</v>
      </c>
      <c r="D10" s="306">
        <f>'Haver Pivoted'!GO40</f>
        <v>390.53500000000003</v>
      </c>
      <c r="E10" s="70">
        <f>'Haver Pivoted'!GP40</f>
        <v>407.62099999999998</v>
      </c>
      <c r="F10" s="70">
        <f>'Haver Pivoted'!GQ40</f>
        <v>416.459</v>
      </c>
      <c r="G10" s="70">
        <f>'Haver Pivoted'!GR40</f>
        <v>418.661</v>
      </c>
      <c r="H10" s="70">
        <f>'Haver Pivoted'!GS40</f>
        <v>411.69499999999999</v>
      </c>
      <c r="I10" s="70">
        <f>'Haver Pivoted'!GT40</f>
        <v>428.30799999999999</v>
      </c>
      <c r="J10" s="70">
        <f>'Haver Pivoted'!GU40</f>
        <v>506.81599999999997</v>
      </c>
      <c r="K10" s="70">
        <f>'Haver Pivoted'!GV40</f>
        <v>484.78</v>
      </c>
      <c r="L10" s="70">
        <f>'Haver Pivoted'!GW40</f>
        <v>500.25799999999998</v>
      </c>
      <c r="M10" s="70">
        <f>'Haver Pivoted'!GX40</f>
        <v>509.42099999999999</v>
      </c>
      <c r="N10" s="70">
        <f>'Haver Pivoted'!GY40</f>
        <v>527.01700000000005</v>
      </c>
      <c r="O10" s="70">
        <f>'Haver Pivoted'!GZ40</f>
        <v>542.85299999999995</v>
      </c>
      <c r="P10" s="70">
        <f>'Haver Pivoted'!HA40</f>
        <v>553.86500000000001</v>
      </c>
      <c r="Q10" s="70">
        <f>'Haver Pivoted'!HB40</f>
        <v>592.26700000000005</v>
      </c>
      <c r="R10" s="70">
        <f>'Haver Pivoted'!HC40</f>
        <v>590.13</v>
      </c>
      <c r="S10" s="301">
        <f>'Haver Pivoted'!HD40</f>
        <v>605.63699999999994</v>
      </c>
      <c r="T10" s="311">
        <f>Medicaid!T33</f>
        <v>603.11189267450743</v>
      </c>
      <c r="U10" s="311">
        <f>Medicaid!U33</f>
        <v>603.29307201470419</v>
      </c>
      <c r="V10" s="311">
        <f>Medicaid!V33</f>
        <v>603.47430578253488</v>
      </c>
      <c r="W10" s="311">
        <f>Medicaid!W33</f>
        <v>564.10810821595339</v>
      </c>
      <c r="X10" s="311">
        <f>Medicaid!X33</f>
        <v>557.45153077441046</v>
      </c>
      <c r="Y10" s="311">
        <f>Medicaid!Y33</f>
        <v>551.29379215137783</v>
      </c>
      <c r="Z10" s="311">
        <f>Medicaid!Z33</f>
        <v>545.20407333429478</v>
      </c>
      <c r="AA10" s="311">
        <f>Medicaid!AA33</f>
        <v>539.1816229606427</v>
      </c>
      <c r="AB10" s="311">
        <f>Medicaid!AB33</f>
        <v>529.58444971757342</v>
      </c>
      <c r="AC10" s="386">
        <f>Medicaid!AC33</f>
        <v>523.73453732132771</v>
      </c>
      <c r="AD10" s="329"/>
      <c r="AE10" s="371"/>
    </row>
    <row r="11" spans="2:34" ht="17.25" customHeight="1" x14ac:dyDescent="0.3">
      <c r="B11" s="270" t="s">
        <v>388</v>
      </c>
      <c r="C11" s="149"/>
      <c r="D11" s="306">
        <f t="shared" ref="D11:G11" si="1">D9-D10</f>
        <v>197.26499999999993</v>
      </c>
      <c r="E11" s="70">
        <f t="shared" si="1"/>
        <v>184.779</v>
      </c>
      <c r="F11" s="70">
        <f t="shared" si="1"/>
        <v>199.041</v>
      </c>
      <c r="G11" s="70">
        <f t="shared" si="1"/>
        <v>191.73899999999998</v>
      </c>
      <c r="H11" s="70">
        <f>H9-H10</f>
        <v>205.80500000000001</v>
      </c>
      <c r="I11" s="70">
        <f t="shared" ref="I11:N11" si="2">I9-I10</f>
        <v>210.29200000000003</v>
      </c>
      <c r="J11" s="70">
        <f t="shared" si="2"/>
        <v>888.18399999999997</v>
      </c>
      <c r="K11" s="70">
        <f t="shared" si="2"/>
        <v>252.32000000000005</v>
      </c>
      <c r="L11" s="70">
        <f t="shared" si="2"/>
        <v>244.54199999999997</v>
      </c>
      <c r="M11" s="70">
        <f t="shared" si="2"/>
        <v>275.67900000000003</v>
      </c>
      <c r="N11" s="70">
        <f t="shared" si="2"/>
        <v>1126.683</v>
      </c>
      <c r="O11" s="70">
        <f>O9-O10</f>
        <v>542.14700000000005</v>
      </c>
      <c r="P11" s="70">
        <f>P9-P10</f>
        <v>370.83500000000004</v>
      </c>
      <c r="Q11" s="70">
        <f>Q9-Q10</f>
        <v>347.73299999999995</v>
      </c>
      <c r="R11" s="70">
        <f>R9-R10</f>
        <v>370.37</v>
      </c>
      <c r="S11" s="301">
        <f>S9-S10</f>
        <v>347.76300000000003</v>
      </c>
      <c r="T11" s="311">
        <f t="shared" ref="T11:AC11" si="3">SUM(T12:T20)</f>
        <v>385.05464773237202</v>
      </c>
      <c r="U11" s="311">
        <f t="shared" si="3"/>
        <v>377.69775159425092</v>
      </c>
      <c r="V11" s="311">
        <f t="shared" si="3"/>
        <v>380.36689903303204</v>
      </c>
      <c r="W11" s="311">
        <f t="shared" si="3"/>
        <v>383.0623466666666</v>
      </c>
      <c r="X11" s="311">
        <f t="shared" si="3"/>
        <v>360.52635364166684</v>
      </c>
      <c r="Y11" s="311">
        <f t="shared" si="3"/>
        <v>338.27518165802087</v>
      </c>
      <c r="Z11" s="311">
        <f t="shared" si="3"/>
        <v>322.05109499435332</v>
      </c>
      <c r="AA11" s="311">
        <f t="shared" si="3"/>
        <v>324.85436053333331</v>
      </c>
      <c r="AB11" s="311">
        <f t="shared" si="3"/>
        <v>313.8092477873335</v>
      </c>
      <c r="AC11" s="386">
        <f t="shared" si="3"/>
        <v>316.66802892434174</v>
      </c>
      <c r="AD11" s="329"/>
      <c r="AE11" s="371"/>
    </row>
    <row r="12" spans="2:34" ht="16.2" customHeight="1" x14ac:dyDescent="0.3">
      <c r="B12" s="396" t="s">
        <v>149</v>
      </c>
      <c r="C12" s="53" t="s">
        <v>389</v>
      </c>
      <c r="D12" s="415"/>
      <c r="E12" s="53"/>
      <c r="F12" s="53"/>
      <c r="G12" s="53"/>
      <c r="H12" s="70"/>
      <c r="I12" s="70"/>
      <c r="J12" s="70">
        <f>'Haver Pivoted'!GU56</f>
        <v>597.9</v>
      </c>
      <c r="K12" s="70"/>
      <c r="L12" s="70"/>
      <c r="M12" s="70"/>
      <c r="N12" s="70"/>
      <c r="O12" s="73">
        <v>0</v>
      </c>
      <c r="P12" s="73">
        <v>0</v>
      </c>
      <c r="Q12" s="73">
        <v>0</v>
      </c>
      <c r="R12" s="73">
        <v>0</v>
      </c>
      <c r="S12" s="329">
        <v>0</v>
      </c>
      <c r="T12" s="311">
        <v>0</v>
      </c>
      <c r="U12" s="311">
        <v>0</v>
      </c>
      <c r="V12" s="311">
        <v>0</v>
      </c>
      <c r="W12" s="311">
        <v>0</v>
      </c>
      <c r="X12" s="311">
        <v>0</v>
      </c>
      <c r="Y12" s="311">
        <v>0</v>
      </c>
      <c r="Z12" s="311">
        <v>0</v>
      </c>
      <c r="AA12" s="311">
        <v>0</v>
      </c>
      <c r="AB12" s="311">
        <v>0</v>
      </c>
      <c r="AC12" s="386">
        <v>0</v>
      </c>
      <c r="AD12" s="329">
        <f>SUM(I12:Y12)/4</f>
        <v>149.47499999999999</v>
      </c>
      <c r="AE12" s="371">
        <f>AD36</f>
        <v>150</v>
      </c>
    </row>
    <row r="13" spans="2:34" x14ac:dyDescent="0.3">
      <c r="B13" s="396" t="s">
        <v>150</v>
      </c>
      <c r="C13" s="53" t="s">
        <v>390</v>
      </c>
      <c r="D13" s="415"/>
      <c r="E13" s="53"/>
      <c r="F13" s="53"/>
      <c r="G13" s="53"/>
      <c r="H13" s="70"/>
      <c r="I13" s="70"/>
      <c r="J13" s="70">
        <f>'Haver Pivoted'!GU57</f>
        <v>28.4</v>
      </c>
      <c r="K13" s="70">
        <f>'Haver Pivoted'!GV57</f>
        <v>15.8</v>
      </c>
      <c r="L13" s="70">
        <f>'Haver Pivoted'!GW57</f>
        <v>15.2</v>
      </c>
      <c r="M13" s="70">
        <f>'Haver Pivoted'!GX57</f>
        <v>28.9</v>
      </c>
      <c r="N13" s="70">
        <f>'Haver Pivoted'!GY57</f>
        <v>67.599999999999994</v>
      </c>
      <c r="O13" s="70">
        <f>'Haver Pivoted'!GZ57</f>
        <v>80.7</v>
      </c>
      <c r="P13" s="70">
        <f>'Haver Pivoted'!HA57</f>
        <v>87.2</v>
      </c>
      <c r="Q13" s="70">
        <f>'Haver Pivoted'!HB57</f>
        <v>72.400000000000006</v>
      </c>
      <c r="R13" s="70">
        <f>'Haver Pivoted'!HC57</f>
        <v>85.9</v>
      </c>
      <c r="S13" s="301">
        <f>'Haver Pivoted'!HD57</f>
        <v>68.3</v>
      </c>
      <c r="T13" s="311">
        <f t="shared" ref="T13:AC13" si="4">T37+T41+T47</f>
        <v>70.92933333333329</v>
      </c>
      <c r="U13" s="311">
        <f t="shared" si="4"/>
        <v>60.929333333333297</v>
      </c>
      <c r="V13" s="311">
        <f t="shared" si="4"/>
        <v>60.929333333333297</v>
      </c>
      <c r="W13" s="311">
        <f t="shared" si="4"/>
        <v>60.929333333333297</v>
      </c>
      <c r="X13" s="311">
        <f t="shared" si="4"/>
        <v>54.244333333333302</v>
      </c>
      <c r="Y13" s="311">
        <f t="shared" si="4"/>
        <v>50.911000000000001</v>
      </c>
      <c r="Z13" s="311">
        <f t="shared" si="4"/>
        <v>31.911000000000001</v>
      </c>
      <c r="AA13" s="311">
        <f t="shared" si="4"/>
        <v>31.911000000000001</v>
      </c>
      <c r="AB13" s="311">
        <f t="shared" si="4"/>
        <v>23.099</v>
      </c>
      <c r="AC13" s="386">
        <f t="shared" si="4"/>
        <v>23.099</v>
      </c>
      <c r="AD13" s="329">
        <f t="shared" ref="AD13:AD19" si="5">SUM(I13:Y13)/4</f>
        <v>227.31816666666657</v>
      </c>
      <c r="AE13" s="371">
        <f>AD37+AD41+AD47</f>
        <v>225.76349999999994</v>
      </c>
      <c r="AF13" s="57">
        <f>SUM(J13:R13)/4</f>
        <v>120.52500000000001</v>
      </c>
    </row>
    <row r="14" spans="2:34" x14ac:dyDescent="0.3">
      <c r="B14" s="396" t="s">
        <v>152</v>
      </c>
      <c r="C14" s="72" t="s">
        <v>355</v>
      </c>
      <c r="D14" s="338"/>
      <c r="E14" s="72"/>
      <c r="F14" s="72"/>
      <c r="G14" s="72"/>
      <c r="H14" s="70"/>
      <c r="I14" s="70"/>
      <c r="J14" s="70">
        <f>'Haver Pivoted'!GU58</f>
        <v>64.400000000000006</v>
      </c>
      <c r="K14" s="70">
        <f>'Haver Pivoted'!GV58</f>
        <v>23.4</v>
      </c>
      <c r="L14" s="70">
        <f>'Haver Pivoted'!GW58</f>
        <v>13.8</v>
      </c>
      <c r="M14" s="70">
        <f>'Haver Pivoted'!GX58</f>
        <v>12</v>
      </c>
      <c r="N14" s="70">
        <f>'Haver Pivoted'!GY58</f>
        <v>7.5</v>
      </c>
      <c r="O14" s="70">
        <f>'Haver Pivoted'!GZ58</f>
        <v>10.5</v>
      </c>
      <c r="P14" s="70">
        <f>'Haver Pivoted'!HA58</f>
        <v>18</v>
      </c>
      <c r="Q14" s="70">
        <f>'Haver Pivoted'!HB58</f>
        <v>15</v>
      </c>
      <c r="R14" s="70">
        <f>'Haver Pivoted'!HC58</f>
        <v>11.2</v>
      </c>
      <c r="S14" s="301">
        <f>'Haver Pivoted'!HD58</f>
        <v>7.5</v>
      </c>
      <c r="T14" s="311">
        <f>'Provider Relief'!T12</f>
        <v>0</v>
      </c>
      <c r="U14" s="311">
        <f>'Provider Relief'!U12</f>
        <v>0</v>
      </c>
      <c r="V14" s="311">
        <f>'Provider Relief'!V12</f>
        <v>0</v>
      </c>
      <c r="W14" s="311">
        <f>'Provider Relief'!W12</f>
        <v>0</v>
      </c>
      <c r="X14" s="311">
        <f>'Provider Relief'!X12</f>
        <v>0</v>
      </c>
      <c r="Y14" s="311">
        <f>'Provider Relief'!Y12</f>
        <v>0</v>
      </c>
      <c r="Z14" s="311">
        <f>'Provider Relief'!Z12</f>
        <v>0</v>
      </c>
      <c r="AA14" s="311">
        <f>'Provider Relief'!AA12</f>
        <v>0</v>
      </c>
      <c r="AB14" s="311">
        <f>'Provider Relief'!AB12</f>
        <v>0</v>
      </c>
      <c r="AC14" s="386">
        <f>'Provider Relief'!AC12</f>
        <v>0</v>
      </c>
      <c r="AD14" s="329">
        <f>SUM(I14:Y14)/4</f>
        <v>45.825000000000003</v>
      </c>
      <c r="AE14" s="371">
        <f>AD38+AD42+AD48</f>
        <v>34.125000000000007</v>
      </c>
    </row>
    <row r="15" spans="2:34" ht="15.75" customHeight="1" x14ac:dyDescent="0.3">
      <c r="B15" s="396" t="s">
        <v>391</v>
      </c>
      <c r="C15" s="72"/>
      <c r="D15" s="338"/>
      <c r="E15" s="72"/>
      <c r="F15" s="72"/>
      <c r="G15" s="72"/>
      <c r="H15" s="70"/>
      <c r="I15" s="70"/>
      <c r="J15" s="70"/>
      <c r="K15" s="70"/>
      <c r="L15" s="70"/>
      <c r="M15" s="70">
        <f>M40</f>
        <v>9.6666666666666661</v>
      </c>
      <c r="N15" s="73">
        <f t="shared" ref="N15:AC15" si="6">N40</f>
        <v>9.6666666666666661</v>
      </c>
      <c r="O15" s="73">
        <f t="shared" si="6"/>
        <v>9.6666666666666661</v>
      </c>
      <c r="P15" s="73">
        <f>P40</f>
        <v>9.6666666666666661</v>
      </c>
      <c r="Q15" s="73">
        <f>Q40</f>
        <v>9.6666666666666661</v>
      </c>
      <c r="R15" s="73">
        <f t="shared" si="6"/>
        <v>9.6666666666666661</v>
      </c>
      <c r="S15" s="329">
        <f t="shared" si="6"/>
        <v>9.6666666666666661</v>
      </c>
      <c r="T15" s="311">
        <f t="shared" si="6"/>
        <v>9.6666666666666661</v>
      </c>
      <c r="U15" s="311">
        <f t="shared" si="6"/>
        <v>9.6666666666666661</v>
      </c>
      <c r="V15" s="311">
        <f t="shared" si="6"/>
        <v>9.6666666666666661</v>
      </c>
      <c r="W15" s="311">
        <f t="shared" si="6"/>
        <v>9.6666666666666661</v>
      </c>
      <c r="X15" s="311">
        <f t="shared" si="6"/>
        <v>9.6666666666666661</v>
      </c>
      <c r="Y15" s="311">
        <f t="shared" si="6"/>
        <v>0</v>
      </c>
      <c r="Z15" s="311">
        <f t="shared" si="6"/>
        <v>0</v>
      </c>
      <c r="AA15" s="311">
        <f t="shared" si="6"/>
        <v>0</v>
      </c>
      <c r="AB15" s="311">
        <f t="shared" si="6"/>
        <v>0</v>
      </c>
      <c r="AC15" s="386">
        <f t="shared" si="6"/>
        <v>0</v>
      </c>
      <c r="AD15" s="329">
        <f>SUM(I15:Y15)/4</f>
        <v>29.000000000000004</v>
      </c>
      <c r="AE15" s="372">
        <f>AD40</f>
        <v>29.000000000000004</v>
      </c>
      <c r="AF15" s="321" t="s">
        <v>392</v>
      </c>
      <c r="AG15" s="321"/>
      <c r="AH15" s="321"/>
    </row>
    <row r="16" spans="2:34" ht="31.2" customHeight="1" x14ac:dyDescent="0.3">
      <c r="B16" s="396" t="s">
        <v>393</v>
      </c>
      <c r="C16" s="72"/>
      <c r="D16" s="338"/>
      <c r="E16" s="72"/>
      <c r="F16" s="72"/>
      <c r="G16" s="72"/>
      <c r="H16" s="70"/>
      <c r="I16" s="70"/>
      <c r="J16" s="70"/>
      <c r="K16" s="70"/>
      <c r="L16" s="70"/>
      <c r="M16" s="70">
        <f>M44+M43</f>
        <v>12</v>
      </c>
      <c r="N16" s="73">
        <f>N44+N43</f>
        <v>12</v>
      </c>
      <c r="O16" s="73">
        <f>O44+O43</f>
        <v>12</v>
      </c>
      <c r="P16" s="73">
        <f t="shared" ref="P16:AC16" si="7">P44+P43</f>
        <v>12</v>
      </c>
      <c r="Q16" s="73">
        <f t="shared" si="7"/>
        <v>12</v>
      </c>
      <c r="R16" s="73">
        <f t="shared" si="7"/>
        <v>12</v>
      </c>
      <c r="S16" s="329">
        <f t="shared" si="7"/>
        <v>12</v>
      </c>
      <c r="T16" s="311">
        <f t="shared" si="7"/>
        <v>12</v>
      </c>
      <c r="U16" s="311">
        <f t="shared" si="7"/>
        <v>12</v>
      </c>
      <c r="V16" s="311">
        <f t="shared" si="7"/>
        <v>12</v>
      </c>
      <c r="W16" s="311">
        <f t="shared" si="7"/>
        <v>12</v>
      </c>
      <c r="X16" s="311">
        <f t="shared" si="7"/>
        <v>12</v>
      </c>
      <c r="Y16" s="311">
        <f t="shared" si="7"/>
        <v>0</v>
      </c>
      <c r="Z16" s="311">
        <f t="shared" si="7"/>
        <v>0</v>
      </c>
      <c r="AA16" s="311">
        <f t="shared" si="7"/>
        <v>0</v>
      </c>
      <c r="AB16" s="311">
        <f t="shared" si="7"/>
        <v>0</v>
      </c>
      <c r="AC16" s="386">
        <f t="shared" si="7"/>
        <v>0</v>
      </c>
      <c r="AD16" s="329">
        <f>SUM(I16:Y16)/4</f>
        <v>36</v>
      </c>
      <c r="AE16" s="371">
        <f>SUM(AD43:AD44)+AD49</f>
        <v>130.3365</v>
      </c>
      <c r="AF16" s="321" t="s">
        <v>394</v>
      </c>
      <c r="AG16" s="321"/>
      <c r="AH16" s="321"/>
    </row>
    <row r="17" spans="1:34" x14ac:dyDescent="0.3">
      <c r="B17" s="396" t="s">
        <v>395</v>
      </c>
      <c r="C17" s="72"/>
      <c r="D17" s="338"/>
      <c r="E17" s="72"/>
      <c r="F17" s="72"/>
      <c r="G17" s="72"/>
      <c r="H17" s="70"/>
      <c r="I17" s="70"/>
      <c r="J17" s="70"/>
      <c r="K17" s="70"/>
      <c r="L17" s="70"/>
      <c r="M17" s="70"/>
      <c r="N17" s="73">
        <f>N49</f>
        <v>59.256</v>
      </c>
      <c r="O17" s="73">
        <f>O49</f>
        <v>59.256</v>
      </c>
      <c r="P17" s="73">
        <f>P49</f>
        <v>35.671000000000006</v>
      </c>
      <c r="Q17" s="73">
        <f>Q49</f>
        <v>35.671000000000006</v>
      </c>
      <c r="R17" s="73">
        <f t="shared" ref="R17:AC17" si="8">R49</f>
        <v>35.671000000000006</v>
      </c>
      <c r="S17" s="329">
        <f t="shared" si="8"/>
        <v>35.671000000000006</v>
      </c>
      <c r="T17" s="311">
        <f t="shared" si="8"/>
        <v>24.216000000000001</v>
      </c>
      <c r="U17" s="311">
        <f t="shared" si="8"/>
        <v>24.216000000000001</v>
      </c>
      <c r="V17" s="311">
        <f t="shared" si="8"/>
        <v>24.216000000000001</v>
      </c>
      <c r="W17" s="311">
        <f t="shared" si="8"/>
        <v>24.216000000000001</v>
      </c>
      <c r="X17" s="311">
        <f t="shared" si="8"/>
        <v>9.6430000000000007</v>
      </c>
      <c r="Y17" s="311">
        <f t="shared" si="8"/>
        <v>9.6430000000000007</v>
      </c>
      <c r="Z17" s="311">
        <f t="shared" si="8"/>
        <v>9.6430000000000007</v>
      </c>
      <c r="AA17" s="311">
        <f t="shared" si="8"/>
        <v>9.6430000000000007</v>
      </c>
      <c r="AB17" s="311">
        <f t="shared" si="8"/>
        <v>4.5789999999999997</v>
      </c>
      <c r="AC17" s="386">
        <f t="shared" si="8"/>
        <v>4.5789999999999997</v>
      </c>
      <c r="AD17" s="329">
        <f>SUM(I17:Y17)/4</f>
        <v>94.336500000000001</v>
      </c>
      <c r="AE17" s="371"/>
      <c r="AF17" s="321"/>
      <c r="AG17" s="321"/>
      <c r="AH17" s="321"/>
    </row>
    <row r="18" spans="1:34" ht="41.55" customHeight="1" x14ac:dyDescent="0.3">
      <c r="B18" s="379" t="s">
        <v>847</v>
      </c>
      <c r="C18" s="72"/>
      <c r="D18" s="338"/>
      <c r="E18" s="72"/>
      <c r="F18" s="72"/>
      <c r="G18" s="72"/>
      <c r="H18" s="70"/>
      <c r="I18" s="70"/>
      <c r="J18" s="70"/>
      <c r="K18" s="70"/>
      <c r="L18" s="70"/>
      <c r="M18" s="70"/>
      <c r="N18" s="73">
        <v>-40</v>
      </c>
      <c r="O18" s="73">
        <v>-40</v>
      </c>
      <c r="P18" s="73">
        <f>-51</f>
        <v>-51</v>
      </c>
      <c r="Q18" s="73">
        <f>-51</f>
        <v>-51</v>
      </c>
      <c r="R18" s="73">
        <v>-51</v>
      </c>
      <c r="S18" s="329">
        <f>-51</f>
        <v>-51</v>
      </c>
      <c r="T18" s="311">
        <v>0</v>
      </c>
      <c r="U18" s="311">
        <v>0</v>
      </c>
      <c r="V18" s="311">
        <v>0</v>
      </c>
      <c r="W18" s="311">
        <v>0</v>
      </c>
      <c r="X18" s="311">
        <v>-4</v>
      </c>
      <c r="Y18" s="311">
        <v>-4</v>
      </c>
      <c r="Z18" s="311">
        <v>-4</v>
      </c>
      <c r="AA18" s="311">
        <v>-4</v>
      </c>
      <c r="AB18" s="311">
        <v>-4</v>
      </c>
      <c r="AC18" s="386">
        <v>-4</v>
      </c>
      <c r="AD18" s="329"/>
      <c r="AE18" s="371"/>
      <c r="AF18" s="321"/>
      <c r="AG18" s="321"/>
      <c r="AH18" s="321"/>
    </row>
    <row r="19" spans="1:34" ht="15.75" customHeight="1" x14ac:dyDescent="0.3">
      <c r="B19" s="396" t="s">
        <v>396</v>
      </c>
      <c r="C19" s="53" t="s">
        <v>397</v>
      </c>
      <c r="D19" s="338"/>
      <c r="E19" s="72"/>
      <c r="F19" s="72"/>
      <c r="G19" s="72"/>
      <c r="H19" s="70"/>
      <c r="I19" s="70"/>
      <c r="J19" s="70"/>
      <c r="K19" s="70">
        <f>'Haver Pivoted'!GV56</f>
        <v>0</v>
      </c>
      <c r="L19" s="70">
        <f>'Haver Pivoted'!GW56</f>
        <v>0</v>
      </c>
      <c r="M19" s="70">
        <f>'Haver Pivoted'!GX56</f>
        <v>0</v>
      </c>
      <c r="N19" s="70">
        <f>'Haver Pivoted'!GY56</f>
        <v>785.9</v>
      </c>
      <c r="O19" s="70">
        <f>'Haver Pivoted'!GZ56</f>
        <v>187.9</v>
      </c>
      <c r="P19" s="70">
        <f>'Haver Pivoted'!HA56</f>
        <v>9.1999999999999993</v>
      </c>
      <c r="Q19" s="70">
        <f>'Haver Pivoted'!HB56</f>
        <v>0.6</v>
      </c>
      <c r="R19" s="70">
        <f>'Haver Pivoted'!HC56</f>
        <v>0</v>
      </c>
      <c r="S19" s="301">
        <f>'Haver Pivoted'!HD56</f>
        <v>0</v>
      </c>
      <c r="T19" s="312">
        <f t="shared" ref="T19:AC19" si="9">T46</f>
        <v>0</v>
      </c>
      <c r="U19" s="312">
        <f t="shared" si="9"/>
        <v>0</v>
      </c>
      <c r="V19" s="312">
        <f t="shared" si="9"/>
        <v>0</v>
      </c>
      <c r="W19" s="312">
        <f t="shared" si="9"/>
        <v>0</v>
      </c>
      <c r="X19" s="312">
        <f t="shared" si="9"/>
        <v>0</v>
      </c>
      <c r="Y19" s="312">
        <f t="shared" si="9"/>
        <v>0</v>
      </c>
      <c r="Z19" s="312">
        <f t="shared" si="9"/>
        <v>0</v>
      </c>
      <c r="AA19" s="312">
        <f t="shared" si="9"/>
        <v>0</v>
      </c>
      <c r="AB19" s="312">
        <f t="shared" si="9"/>
        <v>0</v>
      </c>
      <c r="AC19" s="385">
        <f t="shared" si="9"/>
        <v>0</v>
      </c>
      <c r="AD19" s="329">
        <f t="shared" si="5"/>
        <v>245.9</v>
      </c>
      <c r="AE19" s="371">
        <f>AD46</f>
        <v>362.04999999999995</v>
      </c>
      <c r="AF19" s="350"/>
      <c r="AH19" s="321"/>
    </row>
    <row r="20" spans="1:34" ht="15.75" customHeight="1" x14ac:dyDescent="0.3">
      <c r="A20" s="324"/>
      <c r="B20" s="322" t="s">
        <v>398</v>
      </c>
      <c r="C20" s="342"/>
      <c r="D20" s="340">
        <f t="shared" ref="D20:S20" si="10">D11-SUM(D12:D19)</f>
        <v>197.26499999999993</v>
      </c>
      <c r="E20" s="342">
        <f t="shared" si="10"/>
        <v>184.779</v>
      </c>
      <c r="F20" s="342">
        <f t="shared" si="10"/>
        <v>199.041</v>
      </c>
      <c r="G20" s="342">
        <f t="shared" si="10"/>
        <v>191.73899999999998</v>
      </c>
      <c r="H20" s="342">
        <f t="shared" si="10"/>
        <v>205.80500000000001</v>
      </c>
      <c r="I20" s="342">
        <f t="shared" si="10"/>
        <v>210.29200000000003</v>
      </c>
      <c r="J20" s="342">
        <f t="shared" si="10"/>
        <v>197.48400000000004</v>
      </c>
      <c r="K20" s="342">
        <f t="shared" si="10"/>
        <v>213.12000000000006</v>
      </c>
      <c r="L20" s="342">
        <f t="shared" si="10"/>
        <v>215.54199999999997</v>
      </c>
      <c r="M20" s="342">
        <f t="shared" si="10"/>
        <v>213.11233333333337</v>
      </c>
      <c r="N20" s="342">
        <f t="shared" si="10"/>
        <v>224.76033333333339</v>
      </c>
      <c r="O20" s="342">
        <f t="shared" si="10"/>
        <v>222.12433333333337</v>
      </c>
      <c r="P20" s="342">
        <f t="shared" si="10"/>
        <v>250.09733333333338</v>
      </c>
      <c r="Q20" s="342">
        <f t="shared" si="10"/>
        <v>253.39533333333327</v>
      </c>
      <c r="R20" s="342">
        <f t="shared" si="10"/>
        <v>266.9323333333333</v>
      </c>
      <c r="S20" s="302">
        <f t="shared" si="10"/>
        <v>265.62533333333334</v>
      </c>
      <c r="T20" s="269">
        <f t="shared" ref="T20:AC20" si="11">S20*(1.04)^0.25</f>
        <v>268.24264773237206</v>
      </c>
      <c r="U20" s="269">
        <f t="shared" si="11"/>
        <v>270.88575159425096</v>
      </c>
      <c r="V20" s="269">
        <f t="shared" si="11"/>
        <v>273.55489903303209</v>
      </c>
      <c r="W20" s="269">
        <f t="shared" si="11"/>
        <v>276.25034666666664</v>
      </c>
      <c r="X20" s="269">
        <f t="shared" si="11"/>
        <v>278.97235364166687</v>
      </c>
      <c r="Y20" s="269">
        <f t="shared" si="11"/>
        <v>281.7211816580209</v>
      </c>
      <c r="Z20" s="269">
        <f t="shared" si="11"/>
        <v>284.49709499435329</v>
      </c>
      <c r="AA20" s="269">
        <f t="shared" si="11"/>
        <v>287.30036053333328</v>
      </c>
      <c r="AB20" s="269">
        <f t="shared" si="11"/>
        <v>290.13124778733351</v>
      </c>
      <c r="AC20" s="405">
        <f t="shared" si="11"/>
        <v>292.99002892434174</v>
      </c>
      <c r="AD20" s="377"/>
      <c r="AE20" s="373"/>
      <c r="AF20" s="321" t="s">
        <v>399</v>
      </c>
      <c r="AG20" s="321"/>
      <c r="AH20" s="321"/>
    </row>
    <row r="21" spans="1:34" ht="15.75" customHeight="1" x14ac:dyDescent="0.3">
      <c r="A21" s="4"/>
      <c r="B21" s="323"/>
      <c r="C21" s="72"/>
      <c r="D21" s="72"/>
      <c r="E21" s="72"/>
      <c r="F21" s="72"/>
      <c r="G21" s="72"/>
      <c r="H21" s="72"/>
      <c r="I21" s="72"/>
      <c r="J21" s="72"/>
      <c r="K21" s="72"/>
      <c r="L21" s="72"/>
      <c r="M21" s="72"/>
      <c r="N21" s="72"/>
      <c r="O21" s="336"/>
      <c r="P21" s="72"/>
      <c r="Q21" s="157"/>
      <c r="R21" s="157"/>
      <c r="S21" s="157"/>
      <c r="T21" s="157"/>
      <c r="U21" s="157"/>
      <c r="V21" s="157"/>
      <c r="W21" s="157"/>
      <c r="X21" s="157"/>
      <c r="Y21" s="157"/>
      <c r="Z21" s="157"/>
      <c r="AA21" s="157"/>
      <c r="AB21" s="157"/>
      <c r="AC21" s="157"/>
      <c r="AD21" s="157"/>
      <c r="AE21" s="327"/>
      <c r="AF21" s="321"/>
      <c r="AG21" s="321"/>
      <c r="AH21" s="321"/>
    </row>
    <row r="22" spans="1:34" ht="15.75" customHeight="1" x14ac:dyDescent="0.3">
      <c r="A22" s="4"/>
      <c r="B22" s="323"/>
      <c r="C22" s="72"/>
      <c r="D22" s="72"/>
      <c r="E22" s="72"/>
      <c r="F22" s="72"/>
      <c r="G22" s="72"/>
      <c r="H22" s="72"/>
      <c r="I22" s="72"/>
      <c r="J22" s="72"/>
      <c r="K22" s="72"/>
      <c r="L22" s="72"/>
      <c r="M22" s="72"/>
      <c r="N22" s="72"/>
      <c r="O22" s="336"/>
      <c r="P22" s="72"/>
      <c r="Q22" s="157"/>
      <c r="R22" s="157"/>
      <c r="S22" s="157"/>
      <c r="T22" s="157"/>
      <c r="U22" s="157"/>
      <c r="V22" s="157"/>
      <c r="W22" s="157"/>
      <c r="X22" s="157"/>
      <c r="Y22" s="157"/>
      <c r="Z22" s="157"/>
      <c r="AA22" s="157"/>
      <c r="AB22" s="157"/>
      <c r="AC22" s="157"/>
      <c r="AD22" s="157"/>
      <c r="AE22" s="327"/>
      <c r="AF22" s="321"/>
      <c r="AG22" s="321"/>
      <c r="AH22" s="321"/>
    </row>
    <row r="23" spans="1:34" ht="15.75" customHeight="1" x14ac:dyDescent="0.3">
      <c r="A23" s="4"/>
      <c r="B23" s="323"/>
      <c r="C23" s="72"/>
      <c r="D23" s="72"/>
      <c r="E23" s="72"/>
      <c r="F23" s="72"/>
      <c r="G23" s="72"/>
      <c r="H23" s="72"/>
      <c r="I23" s="72"/>
      <c r="J23" s="72"/>
      <c r="K23" s="72"/>
      <c r="L23" s="72"/>
      <c r="M23" s="72"/>
      <c r="N23" s="72"/>
      <c r="O23" s="336"/>
      <c r="P23" s="72"/>
      <c r="Q23" s="157"/>
      <c r="R23" s="157"/>
      <c r="S23" s="157"/>
      <c r="T23" s="157"/>
      <c r="U23" s="157"/>
      <c r="V23" s="157"/>
      <c r="W23" s="157"/>
      <c r="X23" s="157"/>
      <c r="Y23" s="157"/>
      <c r="Z23" s="157"/>
      <c r="AA23" s="157"/>
      <c r="AB23" s="157"/>
      <c r="AC23" s="157"/>
      <c r="AD23" s="157"/>
      <c r="AE23" s="327"/>
      <c r="AF23" s="321"/>
      <c r="AG23" s="321"/>
      <c r="AH23" s="321"/>
    </row>
    <row r="24" spans="1:34" ht="15.75" customHeight="1" x14ac:dyDescent="0.3">
      <c r="A24" s="4"/>
      <c r="B24" s="323"/>
      <c r="C24" s="72"/>
      <c r="D24" s="72"/>
      <c r="E24" s="72"/>
      <c r="F24" s="72"/>
      <c r="G24" s="72"/>
      <c r="H24" s="72"/>
      <c r="I24" s="72"/>
      <c r="J24" s="72"/>
      <c r="K24" s="72"/>
      <c r="L24" s="72"/>
      <c r="M24" s="72"/>
      <c r="N24" s="72"/>
      <c r="O24" s="336"/>
      <c r="P24" s="72"/>
      <c r="Q24" s="157"/>
      <c r="R24" s="157"/>
      <c r="S24" s="157"/>
      <c r="T24" s="157"/>
      <c r="U24" s="157"/>
      <c r="V24" s="157"/>
      <c r="W24" s="157"/>
      <c r="X24" s="157"/>
      <c r="Y24" s="157"/>
      <c r="Z24" s="157"/>
      <c r="AA24" s="157"/>
      <c r="AB24" s="157"/>
      <c r="AC24" s="157"/>
      <c r="AD24" s="157"/>
      <c r="AE24" s="327"/>
      <c r="AF24" s="321"/>
      <c r="AG24" s="321"/>
      <c r="AH24" s="321"/>
    </row>
    <row r="25" spans="1:34" ht="15.75" customHeight="1" x14ac:dyDescent="0.3">
      <c r="A25" s="4"/>
      <c r="B25" s="323"/>
      <c r="C25" s="72"/>
      <c r="D25" s="72"/>
      <c r="E25" s="72"/>
      <c r="F25" s="72"/>
      <c r="G25" s="72"/>
      <c r="H25" s="72"/>
      <c r="I25" s="72"/>
      <c r="J25" s="72"/>
      <c r="K25" s="72"/>
      <c r="L25" s="72"/>
      <c r="M25" s="72"/>
      <c r="N25" s="72"/>
      <c r="O25" s="336"/>
      <c r="P25" s="72"/>
      <c r="Q25" s="157"/>
      <c r="R25" s="157"/>
      <c r="S25" s="157"/>
      <c r="T25" s="157"/>
      <c r="U25" s="157"/>
      <c r="V25" s="157"/>
      <c r="W25" s="157"/>
      <c r="X25" s="157"/>
      <c r="Y25" s="157"/>
      <c r="Z25" s="157"/>
      <c r="AA25" s="157"/>
      <c r="AB25" s="157"/>
      <c r="AC25" s="157"/>
      <c r="AD25" s="157"/>
      <c r="AE25" s="327"/>
      <c r="AF25" s="321"/>
      <c r="AG25" s="321"/>
      <c r="AH25" s="321"/>
    </row>
    <row r="26" spans="1:34" ht="15.75" customHeight="1" x14ac:dyDescent="0.3">
      <c r="A26" s="4"/>
      <c r="B26" s="323"/>
      <c r="C26" s="72"/>
      <c r="D26" s="72"/>
      <c r="E26" s="72"/>
      <c r="F26" s="72"/>
      <c r="G26" s="72"/>
      <c r="H26" s="72"/>
      <c r="I26" s="72"/>
      <c r="J26" s="72"/>
      <c r="K26" s="72"/>
      <c r="L26" s="72"/>
      <c r="M26" s="72"/>
      <c r="N26" s="72"/>
      <c r="O26" s="336"/>
      <c r="P26" s="72"/>
      <c r="Q26" s="157"/>
      <c r="R26" s="157"/>
      <c r="S26" s="157"/>
      <c r="T26" s="157"/>
      <c r="U26" s="157"/>
      <c r="V26" s="157"/>
      <c r="W26" s="157"/>
      <c r="X26" s="157"/>
      <c r="Y26" s="157"/>
      <c r="Z26" s="157"/>
      <c r="AA26" s="157"/>
      <c r="AB26" s="157"/>
      <c r="AC26" s="157"/>
      <c r="AD26" s="157"/>
      <c r="AE26" s="327"/>
      <c r="AF26" s="321"/>
      <c r="AG26" s="321"/>
      <c r="AH26" s="321"/>
    </row>
    <row r="27" spans="1:34" ht="15.75" customHeight="1" x14ac:dyDescent="0.3">
      <c r="A27" s="4"/>
      <c r="B27" s="323"/>
      <c r="C27" s="72"/>
      <c r="D27" s="72"/>
      <c r="E27" s="72"/>
      <c r="F27" s="72"/>
      <c r="G27" s="72"/>
      <c r="H27" s="72"/>
      <c r="I27" s="72"/>
      <c r="J27" s="72"/>
      <c r="K27" s="72"/>
      <c r="L27" s="72"/>
      <c r="M27" s="72"/>
      <c r="N27" s="72"/>
      <c r="O27" s="336"/>
      <c r="P27" s="72"/>
      <c r="Q27" s="157"/>
      <c r="R27" s="157"/>
      <c r="S27" s="157"/>
      <c r="T27" s="157"/>
      <c r="U27" s="157"/>
      <c r="V27" s="157"/>
      <c r="W27" s="157"/>
      <c r="X27" s="157"/>
      <c r="Y27" s="157"/>
      <c r="Z27" s="157"/>
      <c r="AA27" s="157"/>
      <c r="AB27" s="157"/>
      <c r="AC27" s="157"/>
      <c r="AD27" s="157"/>
      <c r="AE27" s="327"/>
      <c r="AF27" s="321"/>
      <c r="AG27" s="321"/>
      <c r="AH27" s="321"/>
    </row>
    <row r="28" spans="1:34" ht="15.75" customHeight="1" x14ac:dyDescent="0.3">
      <c r="A28" s="4"/>
      <c r="B28" s="323"/>
      <c r="C28" s="72"/>
      <c r="D28" s="72"/>
      <c r="E28" s="72"/>
      <c r="F28" s="72"/>
      <c r="G28" s="72"/>
      <c r="H28" s="72"/>
      <c r="I28" s="72"/>
      <c r="J28" s="72"/>
      <c r="K28" s="72"/>
      <c r="L28" s="72"/>
      <c r="M28" s="72"/>
      <c r="N28" s="72"/>
      <c r="O28" s="336"/>
      <c r="P28" s="72"/>
      <c r="Q28" s="157"/>
      <c r="R28" s="157"/>
      <c r="S28" s="157"/>
      <c r="T28" s="157"/>
      <c r="U28" s="157"/>
      <c r="V28" s="157"/>
      <c r="W28" s="157"/>
      <c r="X28" s="157"/>
      <c r="Y28" s="157"/>
      <c r="Z28" s="157"/>
      <c r="AA28" s="157"/>
      <c r="AB28" s="157"/>
      <c r="AC28" s="157"/>
      <c r="AD28" s="157"/>
      <c r="AE28" s="327"/>
      <c r="AF28" s="321"/>
      <c r="AG28" s="321"/>
      <c r="AH28" s="321"/>
    </row>
    <row r="29" spans="1:34" ht="15.75" customHeight="1" x14ac:dyDescent="0.3">
      <c r="A29" s="4"/>
      <c r="B29" s="323"/>
      <c r="C29" s="72"/>
      <c r="D29" s="72"/>
      <c r="E29" s="72"/>
      <c r="F29" s="72"/>
      <c r="G29" s="72"/>
      <c r="H29" s="72"/>
      <c r="I29" s="72"/>
      <c r="J29" s="72"/>
      <c r="K29" s="72"/>
      <c r="L29" s="72"/>
      <c r="M29" s="72"/>
      <c r="N29" s="72"/>
      <c r="O29" s="336"/>
      <c r="P29" s="72"/>
      <c r="Q29" s="157"/>
      <c r="R29" s="157"/>
      <c r="S29" s="157"/>
      <c r="T29" s="157"/>
      <c r="U29" s="157"/>
      <c r="V29" s="157"/>
      <c r="W29" s="157"/>
      <c r="X29" s="157"/>
      <c r="Y29" s="157"/>
      <c r="Z29" s="157"/>
      <c r="AA29" s="157"/>
      <c r="AB29" s="157"/>
      <c r="AC29" s="157"/>
      <c r="AD29" s="157"/>
      <c r="AE29" s="327"/>
      <c r="AF29" s="321"/>
      <c r="AG29" s="321"/>
      <c r="AH29" s="321"/>
    </row>
    <row r="30" spans="1:34" ht="15.75" customHeight="1" x14ac:dyDescent="0.3">
      <c r="A30" s="4"/>
      <c r="B30" s="323"/>
      <c r="C30" s="72"/>
      <c r="D30" s="72"/>
      <c r="E30" s="72"/>
      <c r="F30" s="72"/>
      <c r="G30" s="72"/>
      <c r="H30" s="72"/>
      <c r="I30" s="72"/>
      <c r="J30" s="72"/>
      <c r="K30" s="72"/>
      <c r="L30" s="72"/>
      <c r="M30" s="72"/>
      <c r="N30" s="72"/>
      <c r="O30" s="336"/>
      <c r="P30" s="72"/>
      <c r="Q30" s="157"/>
      <c r="R30" s="157"/>
      <c r="S30" s="157"/>
      <c r="T30" s="157"/>
      <c r="U30" s="157"/>
      <c r="V30" s="157"/>
      <c r="W30" s="157"/>
      <c r="X30" s="157"/>
      <c r="Y30" s="157"/>
      <c r="Z30" s="157"/>
      <c r="AA30" s="157"/>
      <c r="AB30" s="157"/>
      <c r="AC30" s="157"/>
      <c r="AD30" s="157"/>
      <c r="AE30" s="327"/>
      <c r="AF30" s="321"/>
      <c r="AG30" s="321"/>
      <c r="AH30" s="321"/>
    </row>
    <row r="31" spans="1:34" ht="15.75" customHeight="1" x14ac:dyDescent="0.3">
      <c r="A31" s="4"/>
      <c r="B31" s="323"/>
      <c r="C31" s="72"/>
      <c r="D31" s="72"/>
      <c r="E31" s="72"/>
      <c r="F31" s="72"/>
      <c r="G31" s="72"/>
      <c r="H31" s="72"/>
      <c r="I31" s="72"/>
      <c r="J31" s="72"/>
      <c r="K31" s="72"/>
      <c r="L31" s="72"/>
      <c r="M31" s="72"/>
      <c r="N31" s="72"/>
      <c r="O31" s="336"/>
      <c r="P31" s="72"/>
      <c r="Q31" s="157"/>
      <c r="R31" s="157"/>
      <c r="S31" s="157"/>
      <c r="T31" s="157"/>
      <c r="U31" s="157"/>
      <c r="V31" s="157"/>
      <c r="W31" s="157"/>
      <c r="X31" s="157"/>
      <c r="Y31" s="157"/>
      <c r="Z31" s="157"/>
      <c r="AA31" s="157"/>
      <c r="AB31" s="157"/>
      <c r="AC31" s="157"/>
      <c r="AD31" s="157"/>
      <c r="AE31" s="327"/>
      <c r="AF31" s="321"/>
      <c r="AG31" s="321"/>
      <c r="AH31" s="321"/>
    </row>
    <row r="32" spans="1:34" x14ac:dyDescent="0.3">
      <c r="C32" s="72"/>
      <c r="D32" s="72"/>
      <c r="E32" s="328"/>
      <c r="F32" s="72"/>
      <c r="G32" s="72"/>
      <c r="H32" s="72"/>
      <c r="I32" s="72"/>
      <c r="J32" s="72"/>
      <c r="K32" s="72"/>
      <c r="L32" s="72"/>
      <c r="M32" s="72"/>
      <c r="N32" s="72"/>
      <c r="P32" s="72"/>
      <c r="Q32" s="72"/>
      <c r="R32" s="72"/>
      <c r="S32" s="72"/>
      <c r="T32" s="72"/>
      <c r="U32" s="72"/>
      <c r="V32" s="72"/>
      <c r="W32" s="72"/>
      <c r="X32" s="72"/>
      <c r="Y32" s="72"/>
      <c r="Z32" s="72"/>
      <c r="AA32" s="72"/>
      <c r="AB32" s="72"/>
      <c r="AC32" s="72"/>
      <c r="AD32" s="72"/>
      <c r="AE32" s="72"/>
    </row>
    <row r="33" spans="2:32" x14ac:dyDescent="0.3">
      <c r="B33" s="363" t="s">
        <v>400</v>
      </c>
      <c r="C33" s="72"/>
      <c r="D33" s="72"/>
      <c r="E33" s="72"/>
      <c r="F33" s="72"/>
      <c r="G33" s="72"/>
      <c r="H33" s="72"/>
      <c r="I33" s="72"/>
      <c r="J33" s="72"/>
      <c r="K33" s="72"/>
      <c r="L33" s="72"/>
      <c r="M33" s="72"/>
      <c r="N33" s="72"/>
      <c r="O33" s="72"/>
      <c r="P33" s="72"/>
      <c r="Q33" s="72"/>
      <c r="R33" s="72"/>
      <c r="S33" s="72"/>
      <c r="T33" s="72"/>
      <c r="U33" s="72"/>
      <c r="V33" s="72"/>
      <c r="W33" s="72"/>
      <c r="X33" s="72"/>
      <c r="Y33" s="72"/>
      <c r="Z33" s="72"/>
      <c r="AA33" s="72"/>
      <c r="AB33" s="72"/>
      <c r="AC33" s="72"/>
      <c r="AD33" s="72"/>
      <c r="AE33" s="72"/>
    </row>
    <row r="34" spans="2:32" ht="27" customHeight="1" x14ac:dyDescent="0.3">
      <c r="B34" s="1190" t="s">
        <v>401</v>
      </c>
      <c r="C34" s="1191"/>
      <c r="D34" s="1192"/>
      <c r="E34" s="1192"/>
      <c r="F34" s="1192"/>
      <c r="G34" s="1192"/>
      <c r="H34" s="1192"/>
      <c r="I34" s="1192"/>
      <c r="J34" s="1192"/>
      <c r="K34" s="1192"/>
      <c r="L34" s="1192"/>
      <c r="M34" s="1192"/>
      <c r="N34" s="1192"/>
      <c r="O34" s="1192"/>
      <c r="P34" s="1192"/>
      <c r="Q34" s="1192"/>
      <c r="R34" s="1192"/>
      <c r="S34" s="1192"/>
      <c r="T34" s="1192"/>
      <c r="U34" s="1192"/>
      <c r="V34" s="1192"/>
      <c r="W34" s="1192"/>
      <c r="X34" s="1192"/>
      <c r="Y34" s="1192"/>
      <c r="Z34" s="1192"/>
      <c r="AA34" s="1192"/>
      <c r="AB34" s="1192"/>
      <c r="AC34" s="1193"/>
      <c r="AD34" s="375" t="s">
        <v>383</v>
      </c>
      <c r="AE34" s="374"/>
    </row>
    <row r="35" spans="2:32" ht="17.7" customHeight="1" x14ac:dyDescent="0.3">
      <c r="B35" s="384" t="s">
        <v>402</v>
      </c>
      <c r="C35" s="72"/>
      <c r="D35" s="401"/>
      <c r="E35" s="387"/>
      <c r="F35" s="387"/>
      <c r="G35" s="387"/>
      <c r="H35" s="380"/>
      <c r="I35" s="380"/>
      <c r="J35" s="307">
        <f>SUM(J36:J38)</f>
        <v>692.8</v>
      </c>
      <c r="K35" s="307">
        <f t="shared" ref="K35:P35" si="12">SUM(K36:K38)</f>
        <v>39.200000000000003</v>
      </c>
      <c r="L35" s="307">
        <f t="shared" si="12"/>
        <v>29</v>
      </c>
      <c r="M35" s="307">
        <f t="shared" si="12"/>
        <v>27</v>
      </c>
      <c r="N35" s="307">
        <f t="shared" si="12"/>
        <v>18</v>
      </c>
      <c r="O35" s="307">
        <f t="shared" si="12"/>
        <v>0</v>
      </c>
      <c r="P35" s="402">
        <f t="shared" si="12"/>
        <v>0</v>
      </c>
      <c r="Q35" s="307"/>
      <c r="R35" s="307"/>
      <c r="S35" s="307"/>
      <c r="T35" s="378"/>
      <c r="U35" s="378"/>
      <c r="V35" s="378"/>
      <c r="W35" s="378"/>
      <c r="X35" s="378"/>
      <c r="Y35" s="378"/>
      <c r="Z35" s="378"/>
      <c r="AA35" s="378"/>
      <c r="AB35" s="378"/>
      <c r="AC35" s="357"/>
      <c r="AD35" s="329">
        <f t="shared" ref="AD35:AD49" si="13">SUM(I35:Y35)/4</f>
        <v>201.5</v>
      </c>
      <c r="AE35" s="1189" t="s">
        <v>403</v>
      </c>
      <c r="AF35" s="1145"/>
    </row>
    <row r="36" spans="2:32" x14ac:dyDescent="0.3">
      <c r="B36" s="325" t="s">
        <v>149</v>
      </c>
      <c r="C36" s="72"/>
      <c r="D36" s="338"/>
      <c r="E36" s="72"/>
      <c r="F36" s="72"/>
      <c r="G36" s="72"/>
      <c r="H36" s="73"/>
      <c r="I36" s="73"/>
      <c r="J36" s="316">
        <f>C56*4</f>
        <v>600</v>
      </c>
      <c r="K36" s="316"/>
      <c r="L36" s="316"/>
      <c r="M36" s="316"/>
      <c r="N36" s="316"/>
      <c r="O36" s="316"/>
      <c r="P36" s="360"/>
      <c r="Q36" s="316"/>
      <c r="R36" s="316"/>
      <c r="S36" s="316"/>
      <c r="T36" s="312"/>
      <c r="U36" s="312"/>
      <c r="V36" s="312"/>
      <c r="W36" s="312"/>
      <c r="X36" s="312"/>
      <c r="Y36" s="312"/>
      <c r="Z36" s="312"/>
      <c r="AA36" s="312"/>
      <c r="AB36" s="312"/>
      <c r="AC36" s="385"/>
      <c r="AD36" s="329">
        <f t="shared" si="13"/>
        <v>150</v>
      </c>
      <c r="AE36" s="316"/>
    </row>
    <row r="37" spans="2:32" ht="15" customHeight="1" x14ac:dyDescent="0.3">
      <c r="B37" s="325" t="s">
        <v>150</v>
      </c>
      <c r="C37" s="72"/>
      <c r="D37" s="338"/>
      <c r="E37" s="72"/>
      <c r="F37" s="72"/>
      <c r="G37" s="72"/>
      <c r="H37" s="73"/>
      <c r="I37" s="73"/>
      <c r="J37" s="316">
        <v>28.4</v>
      </c>
      <c r="K37" s="316">
        <v>15.8</v>
      </c>
      <c r="L37" s="316">
        <v>15.2</v>
      </c>
      <c r="M37" s="316">
        <v>10.9</v>
      </c>
      <c r="N37" s="316">
        <v>18</v>
      </c>
      <c r="O37" s="316"/>
      <c r="P37" s="360"/>
      <c r="Q37" s="316"/>
      <c r="R37" s="316"/>
      <c r="S37" s="316">
        <v>20</v>
      </c>
      <c r="T37" s="310">
        <v>10</v>
      </c>
      <c r="U37" s="312"/>
      <c r="V37" s="312"/>
      <c r="W37" s="312"/>
      <c r="X37" s="312"/>
      <c r="Y37" s="312"/>
      <c r="Z37" s="312"/>
      <c r="AA37" s="312"/>
      <c r="AB37" s="312"/>
      <c r="AC37" s="385"/>
      <c r="AD37" s="329">
        <f t="shared" si="13"/>
        <v>29.575000000000003</v>
      </c>
      <c r="AE37" s="316"/>
    </row>
    <row r="38" spans="2:32" x14ac:dyDescent="0.3">
      <c r="B38" s="325" t="s">
        <v>152</v>
      </c>
      <c r="C38" s="72"/>
      <c r="D38" s="338"/>
      <c r="E38" s="72"/>
      <c r="F38" s="72"/>
      <c r="G38" s="72"/>
      <c r="H38" s="73"/>
      <c r="I38" s="73"/>
      <c r="J38" s="149">
        <v>64.400000000000006</v>
      </c>
      <c r="K38" s="149">
        <v>23.4</v>
      </c>
      <c r="L38" s="149">
        <v>13.8</v>
      </c>
      <c r="M38" s="149">
        <v>16.100000000000001</v>
      </c>
      <c r="N38" s="316"/>
      <c r="O38" s="316"/>
      <c r="P38" s="360"/>
      <c r="Q38" s="316"/>
      <c r="R38" s="316"/>
      <c r="S38" s="316"/>
      <c r="T38" s="312"/>
      <c r="U38" s="312"/>
      <c r="V38" s="312"/>
      <c r="W38" s="312"/>
      <c r="X38" s="312"/>
      <c r="Y38" s="312"/>
      <c r="Z38" s="312"/>
      <c r="AA38" s="312"/>
      <c r="AB38" s="312"/>
      <c r="AC38" s="385"/>
      <c r="AD38" s="329">
        <f t="shared" si="13"/>
        <v>29.425000000000004</v>
      </c>
      <c r="AE38" s="316"/>
    </row>
    <row r="39" spans="2:32" ht="16.5" customHeight="1" x14ac:dyDescent="0.3">
      <c r="B39" s="384" t="s">
        <v>404</v>
      </c>
      <c r="C39" s="72"/>
      <c r="D39" s="338"/>
      <c r="E39" s="72"/>
      <c r="F39" s="72"/>
      <c r="G39" s="72"/>
      <c r="H39" s="73"/>
      <c r="I39" s="73"/>
      <c r="J39" s="73"/>
      <c r="K39" s="73"/>
      <c r="L39" s="73"/>
      <c r="M39" s="316">
        <f>SUM(M40:M44)</f>
        <v>43</v>
      </c>
      <c r="N39" s="316">
        <f t="shared" ref="N39:AC39" si="14">SUM(N40:N44)</f>
        <v>70</v>
      </c>
      <c r="O39" s="316">
        <f t="shared" si="14"/>
        <v>59.999999999999964</v>
      </c>
      <c r="P39" s="360">
        <f t="shared" si="14"/>
        <v>50</v>
      </c>
      <c r="Q39" s="316">
        <f t="shared" si="14"/>
        <v>44.999999999999964</v>
      </c>
      <c r="R39" s="316">
        <f t="shared" si="14"/>
        <v>44.999999999999964</v>
      </c>
      <c r="S39" s="316">
        <f t="shared" si="14"/>
        <v>44.999999999999964</v>
      </c>
      <c r="T39" s="312">
        <f t="shared" si="14"/>
        <v>44.999999999999964</v>
      </c>
      <c r="U39" s="312">
        <f t="shared" si="14"/>
        <v>44.999999999999964</v>
      </c>
      <c r="V39" s="312">
        <f t="shared" si="14"/>
        <v>44.999999999999964</v>
      </c>
      <c r="W39" s="312">
        <f t="shared" si="14"/>
        <v>44.999999999999964</v>
      </c>
      <c r="X39" s="312">
        <f t="shared" si="14"/>
        <v>44.999999999999964</v>
      </c>
      <c r="Y39" s="312">
        <f t="shared" si="14"/>
        <v>19</v>
      </c>
      <c r="Z39" s="312">
        <f t="shared" si="14"/>
        <v>0</v>
      </c>
      <c r="AA39" s="312">
        <f t="shared" si="14"/>
        <v>0</v>
      </c>
      <c r="AB39" s="312">
        <f t="shared" si="14"/>
        <v>0</v>
      </c>
      <c r="AC39" s="385">
        <f t="shared" si="14"/>
        <v>0</v>
      </c>
      <c r="AD39" s="329">
        <f t="shared" si="13"/>
        <v>150.49999999999991</v>
      </c>
      <c r="AE39" s="1189" t="s">
        <v>405</v>
      </c>
      <c r="AF39" s="1145"/>
    </row>
    <row r="40" spans="2:32" x14ac:dyDescent="0.3">
      <c r="B40" s="325" t="s">
        <v>391</v>
      </c>
      <c r="C40" s="72"/>
      <c r="D40" s="338"/>
      <c r="E40" s="72"/>
      <c r="F40" s="72"/>
      <c r="G40" s="72"/>
      <c r="H40" s="73"/>
      <c r="I40" s="73"/>
      <c r="J40" s="73"/>
      <c r="K40" s="73"/>
      <c r="L40" s="73"/>
      <c r="M40" s="316">
        <f>C59/12*4</f>
        <v>9.6666666666666661</v>
      </c>
      <c r="N40" s="316">
        <f>M40</f>
        <v>9.6666666666666661</v>
      </c>
      <c r="O40" s="316">
        <f t="shared" ref="O40:X40" si="15">N40</f>
        <v>9.6666666666666661</v>
      </c>
      <c r="P40" s="360">
        <f t="shared" si="15"/>
        <v>9.6666666666666661</v>
      </c>
      <c r="Q40" s="316">
        <f t="shared" si="15"/>
        <v>9.6666666666666661</v>
      </c>
      <c r="R40" s="316">
        <f t="shared" si="15"/>
        <v>9.6666666666666661</v>
      </c>
      <c r="S40" s="316">
        <f t="shared" si="15"/>
        <v>9.6666666666666661</v>
      </c>
      <c r="T40" s="312">
        <f t="shared" si="15"/>
        <v>9.6666666666666661</v>
      </c>
      <c r="U40" s="312">
        <f t="shared" si="15"/>
        <v>9.6666666666666661</v>
      </c>
      <c r="V40" s="312">
        <f t="shared" si="15"/>
        <v>9.6666666666666661</v>
      </c>
      <c r="W40" s="312">
        <f t="shared" si="15"/>
        <v>9.6666666666666661</v>
      </c>
      <c r="X40" s="312">
        <f t="shared" si="15"/>
        <v>9.6666666666666661</v>
      </c>
      <c r="Y40" s="311"/>
      <c r="Z40" s="311"/>
      <c r="AA40" s="311"/>
      <c r="AB40" s="311"/>
      <c r="AC40" s="386"/>
      <c r="AD40" s="329">
        <f t="shared" si="13"/>
        <v>29.000000000000004</v>
      </c>
      <c r="AE40" s="1189"/>
      <c r="AF40" s="1145"/>
    </row>
    <row r="41" spans="2:32" ht="41.55" customHeight="1" x14ac:dyDescent="0.3">
      <c r="B41" s="325" t="s">
        <v>150</v>
      </c>
      <c r="C41" s="72"/>
      <c r="D41" s="338"/>
      <c r="E41" s="72"/>
      <c r="F41" s="72"/>
      <c r="G41" s="72"/>
      <c r="H41" s="73"/>
      <c r="I41" s="73"/>
      <c r="J41" s="73"/>
      <c r="K41" s="73"/>
      <c r="L41" s="73"/>
      <c r="M41" s="358">
        <f>C70/12*4 - 7</f>
        <v>20.333333333333332</v>
      </c>
      <c r="N41" s="358">
        <f>C70/12*4 + 20</f>
        <v>47.333333333333329</v>
      </c>
      <c r="O41" s="358">
        <v>37.3333333333333</v>
      </c>
      <c r="P41" s="403">
        <v>27.333333333333332</v>
      </c>
      <c r="Q41" s="358">
        <v>22.3333333333333</v>
      </c>
      <c r="R41" s="358">
        <v>22.3333333333333</v>
      </c>
      <c r="S41" s="358">
        <v>22.3333333333333</v>
      </c>
      <c r="T41" s="390">
        <v>22.3333333333333</v>
      </c>
      <c r="U41" s="390">
        <v>22.3333333333333</v>
      </c>
      <c r="V41" s="390">
        <v>22.3333333333333</v>
      </c>
      <c r="W41" s="390">
        <v>22.3333333333333</v>
      </c>
      <c r="X41" s="390">
        <v>22.3333333333333</v>
      </c>
      <c r="Y41" s="390">
        <v>19</v>
      </c>
      <c r="Z41" s="390"/>
      <c r="AA41" s="390"/>
      <c r="AB41" s="390"/>
      <c r="AC41" s="391"/>
      <c r="AD41" s="329">
        <f>SUM(I41:Y41)/4</f>
        <v>82.499999999999943</v>
      </c>
      <c r="AE41" s="397" t="s">
        <v>406</v>
      </c>
    </row>
    <row r="42" spans="2:32" x14ac:dyDescent="0.3">
      <c r="B42" s="325" t="s">
        <v>152</v>
      </c>
      <c r="C42" s="72"/>
      <c r="D42" s="338"/>
      <c r="E42" s="72"/>
      <c r="F42" s="72"/>
      <c r="G42" s="72"/>
      <c r="H42" s="73"/>
      <c r="I42" s="73"/>
      <c r="J42" s="73"/>
      <c r="K42" s="73"/>
      <c r="L42" s="73"/>
      <c r="M42" s="316">
        <f>C71/12*4</f>
        <v>1</v>
      </c>
      <c r="N42" s="316">
        <f>C71/12*4</f>
        <v>1</v>
      </c>
      <c r="O42" s="316">
        <f t="shared" ref="O42:X42" si="16">$C$71/12*4</f>
        <v>1</v>
      </c>
      <c r="P42" s="360">
        <f t="shared" si="16"/>
        <v>1</v>
      </c>
      <c r="Q42" s="316">
        <f t="shared" si="16"/>
        <v>1</v>
      </c>
      <c r="R42" s="316">
        <f t="shared" si="16"/>
        <v>1</v>
      </c>
      <c r="S42" s="316">
        <f t="shared" si="16"/>
        <v>1</v>
      </c>
      <c r="T42" s="312">
        <f t="shared" si="16"/>
        <v>1</v>
      </c>
      <c r="U42" s="312">
        <f t="shared" si="16"/>
        <v>1</v>
      </c>
      <c r="V42" s="312">
        <f t="shared" si="16"/>
        <v>1</v>
      </c>
      <c r="W42" s="312">
        <f t="shared" si="16"/>
        <v>1</v>
      </c>
      <c r="X42" s="312">
        <f t="shared" si="16"/>
        <v>1</v>
      </c>
      <c r="Y42" s="311"/>
      <c r="Z42" s="311"/>
      <c r="AA42" s="311"/>
      <c r="AB42" s="311"/>
      <c r="AC42" s="386"/>
      <c r="AD42" s="329">
        <f t="shared" si="13"/>
        <v>3</v>
      </c>
      <c r="AE42" s="73"/>
    </row>
    <row r="43" spans="2:32" ht="13.2" customHeight="1" x14ac:dyDescent="0.3">
      <c r="B43" s="325" t="s">
        <v>407</v>
      </c>
      <c r="C43" s="72"/>
      <c r="D43" s="338"/>
      <c r="E43" s="72"/>
      <c r="F43" s="72"/>
      <c r="G43" s="72"/>
      <c r="H43" s="73"/>
      <c r="I43" s="73"/>
      <c r="J43" s="73"/>
      <c r="K43" s="73"/>
      <c r="L43" s="73"/>
      <c r="M43" s="316">
        <f t="shared" ref="M43:X43" si="17">$C$72/12*4</f>
        <v>11.333333333333334</v>
      </c>
      <c r="N43" s="316">
        <f t="shared" si="17"/>
        <v>11.333333333333334</v>
      </c>
      <c r="O43" s="316">
        <f t="shared" si="17"/>
        <v>11.333333333333334</v>
      </c>
      <c r="P43" s="360">
        <f t="shared" si="17"/>
        <v>11.333333333333334</v>
      </c>
      <c r="Q43" s="316">
        <f t="shared" si="17"/>
        <v>11.333333333333334</v>
      </c>
      <c r="R43" s="316">
        <f t="shared" si="17"/>
        <v>11.333333333333334</v>
      </c>
      <c r="S43" s="316">
        <f t="shared" si="17"/>
        <v>11.333333333333334</v>
      </c>
      <c r="T43" s="312">
        <f t="shared" si="17"/>
        <v>11.333333333333334</v>
      </c>
      <c r="U43" s="312">
        <f t="shared" si="17"/>
        <v>11.333333333333334</v>
      </c>
      <c r="V43" s="312">
        <f t="shared" si="17"/>
        <v>11.333333333333334</v>
      </c>
      <c r="W43" s="312">
        <f t="shared" si="17"/>
        <v>11.333333333333334</v>
      </c>
      <c r="X43" s="312">
        <f t="shared" si="17"/>
        <v>11.333333333333334</v>
      </c>
      <c r="Y43" s="311"/>
      <c r="Z43" s="311"/>
      <c r="AA43" s="311"/>
      <c r="AB43" s="311"/>
      <c r="AC43" s="386"/>
      <c r="AD43" s="329">
        <f t="shared" si="13"/>
        <v>33.999999999999993</v>
      </c>
      <c r="AE43" s="73"/>
    </row>
    <row r="44" spans="2:32" ht="29.25" customHeight="1" x14ac:dyDescent="0.3">
      <c r="B44" s="325" t="s">
        <v>408</v>
      </c>
      <c r="C44" s="72"/>
      <c r="D44" s="338"/>
      <c r="E44" s="72"/>
      <c r="F44" s="72"/>
      <c r="G44" s="72"/>
      <c r="H44" s="73"/>
      <c r="I44" s="73"/>
      <c r="J44" s="73"/>
      <c r="K44" s="73"/>
      <c r="L44" s="73"/>
      <c r="M44" s="316">
        <f t="shared" ref="M44:X44" si="18">$C$73/12*4</f>
        <v>0.66666666666666663</v>
      </c>
      <c r="N44" s="316">
        <f t="shared" si="18"/>
        <v>0.66666666666666663</v>
      </c>
      <c r="O44" s="316">
        <f t="shared" si="18"/>
        <v>0.66666666666666663</v>
      </c>
      <c r="P44" s="360">
        <f t="shared" si="18"/>
        <v>0.66666666666666663</v>
      </c>
      <c r="Q44" s="316">
        <f t="shared" si="18"/>
        <v>0.66666666666666663</v>
      </c>
      <c r="R44" s="316">
        <f t="shared" si="18"/>
        <v>0.66666666666666663</v>
      </c>
      <c r="S44" s="316">
        <f t="shared" si="18"/>
        <v>0.66666666666666663</v>
      </c>
      <c r="T44" s="312">
        <f t="shared" si="18"/>
        <v>0.66666666666666663</v>
      </c>
      <c r="U44" s="312">
        <f t="shared" si="18"/>
        <v>0.66666666666666663</v>
      </c>
      <c r="V44" s="312">
        <f t="shared" si="18"/>
        <v>0.66666666666666663</v>
      </c>
      <c r="W44" s="312">
        <f t="shared" si="18"/>
        <v>0.66666666666666663</v>
      </c>
      <c r="X44" s="312">
        <f t="shared" si="18"/>
        <v>0.66666666666666663</v>
      </c>
      <c r="Y44" s="311"/>
      <c r="Z44" s="311"/>
      <c r="AA44" s="311"/>
      <c r="AB44" s="311"/>
      <c r="AC44" s="386"/>
      <c r="AD44" s="329">
        <f t="shared" si="13"/>
        <v>2</v>
      </c>
      <c r="AE44" s="73"/>
    </row>
    <row r="45" spans="2:32" ht="44.25" customHeight="1" x14ac:dyDescent="0.3">
      <c r="B45" s="384" t="s">
        <v>409</v>
      </c>
      <c r="C45" s="72"/>
      <c r="D45" s="338"/>
      <c r="E45" s="72"/>
      <c r="F45" s="72"/>
      <c r="G45" s="72"/>
      <c r="H45" s="73"/>
      <c r="I45" s="73"/>
      <c r="J45" s="73"/>
      <c r="K45" s="73"/>
      <c r="L45" s="73"/>
      <c r="M45" s="316"/>
      <c r="N45" s="316">
        <f t="shared" ref="N45:AC45" si="19">SUM(N46:N50)</f>
        <v>954.03959999999972</v>
      </c>
      <c r="O45" s="316">
        <f t="shared" si="19"/>
        <v>85.500399999999999</v>
      </c>
      <c r="P45" s="360">
        <f t="shared" si="19"/>
        <v>83.481000000000009</v>
      </c>
      <c r="Q45" s="316">
        <f t="shared" si="19"/>
        <v>662.76099999999997</v>
      </c>
      <c r="R45" s="316">
        <f t="shared" si="19"/>
        <v>83.481000000000009</v>
      </c>
      <c r="S45" s="316">
        <f t="shared" si="19"/>
        <v>83.481000000000009</v>
      </c>
      <c r="T45" s="312">
        <f t="shared" si="19"/>
        <v>62.811999999999998</v>
      </c>
      <c r="U45" s="312">
        <f t="shared" si="19"/>
        <v>62.811999999999998</v>
      </c>
      <c r="V45" s="312">
        <f t="shared" si="19"/>
        <v>62.811999999999998</v>
      </c>
      <c r="W45" s="312">
        <f t="shared" si="19"/>
        <v>62.811999999999998</v>
      </c>
      <c r="X45" s="312">
        <f t="shared" si="19"/>
        <v>41.554000000000002</v>
      </c>
      <c r="Y45" s="312">
        <f t="shared" si="19"/>
        <v>41.554000000000002</v>
      </c>
      <c r="Z45" s="312">
        <f t="shared" si="19"/>
        <v>41.554000000000002</v>
      </c>
      <c r="AA45" s="312">
        <f t="shared" si="19"/>
        <v>41.554000000000002</v>
      </c>
      <c r="AB45" s="312">
        <f t="shared" si="19"/>
        <v>27.678000000000001</v>
      </c>
      <c r="AC45" s="385">
        <f t="shared" si="19"/>
        <v>27.678000000000001</v>
      </c>
      <c r="AD45" s="329">
        <f t="shared" si="13"/>
        <v>571.77499999999986</v>
      </c>
      <c r="AE45" s="1189" t="s">
        <v>410</v>
      </c>
      <c r="AF45" s="1145"/>
    </row>
    <row r="46" spans="2:32" ht="17.7" customHeight="1" x14ac:dyDescent="0.3">
      <c r="B46" s="325" t="s">
        <v>396</v>
      </c>
      <c r="C46" s="72"/>
      <c r="D46" s="338"/>
      <c r="E46" s="72"/>
      <c r="F46" s="72"/>
      <c r="G46" s="72"/>
      <c r="H46" s="73"/>
      <c r="I46" s="73"/>
      <c r="J46" s="73"/>
      <c r="K46" s="73"/>
      <c r="L46" s="73"/>
      <c r="M46" s="316"/>
      <c r="N46" s="316">
        <f>0.6*C75*4</f>
        <v>868.91999999999985</v>
      </c>
      <c r="O46" s="316"/>
      <c r="P46" s="360"/>
      <c r="Q46" s="316">
        <f>0.4*C75*4</f>
        <v>579.28</v>
      </c>
      <c r="R46" s="316"/>
      <c r="S46" s="316"/>
      <c r="T46" s="312"/>
      <c r="U46" s="312"/>
      <c r="V46" s="312"/>
      <c r="W46" s="312"/>
      <c r="X46" s="312"/>
      <c r="Y46" s="312"/>
      <c r="Z46" s="312"/>
      <c r="AA46" s="312"/>
      <c r="AB46" s="312"/>
      <c r="AC46" s="385"/>
      <c r="AD46" s="329">
        <f t="shared" si="13"/>
        <v>362.04999999999995</v>
      </c>
      <c r="AE46" s="350" t="s">
        <v>411</v>
      </c>
      <c r="AF46" s="350"/>
    </row>
    <row r="47" spans="2:32" x14ac:dyDescent="0.3">
      <c r="B47" s="325" t="s">
        <v>150</v>
      </c>
      <c r="C47" s="72"/>
      <c r="D47" s="338"/>
      <c r="E47" s="72"/>
      <c r="F47" s="72"/>
      <c r="G47" s="72"/>
      <c r="H47" s="73"/>
      <c r="I47" s="73"/>
      <c r="J47" s="73"/>
      <c r="K47" s="73"/>
      <c r="L47" s="73"/>
      <c r="M47" s="316"/>
      <c r="N47" s="316">
        <f>'ARP Quarterly'!D9</f>
        <v>24.693999999999999</v>
      </c>
      <c r="O47" s="316">
        <f>'ARP Quarterly'!E9</f>
        <v>24.693999999999999</v>
      </c>
      <c r="P47" s="360">
        <f>'ARP Quarterly'!F9</f>
        <v>46.79</v>
      </c>
      <c r="Q47" s="316">
        <f>'ARP Quarterly'!G9</f>
        <v>46.79</v>
      </c>
      <c r="R47" s="316">
        <f>'ARP Quarterly'!H9</f>
        <v>46.79</v>
      </c>
      <c r="S47" s="316">
        <f>'ARP Quarterly'!I9</f>
        <v>46.79</v>
      </c>
      <c r="T47" s="312">
        <f>'ARP Quarterly'!J9</f>
        <v>38.595999999999997</v>
      </c>
      <c r="U47" s="312">
        <f>'ARP Quarterly'!K9</f>
        <v>38.595999999999997</v>
      </c>
      <c r="V47" s="312">
        <f>'ARP Quarterly'!L9</f>
        <v>38.595999999999997</v>
      </c>
      <c r="W47" s="312">
        <f>'ARP Quarterly'!M9</f>
        <v>38.595999999999997</v>
      </c>
      <c r="X47" s="312">
        <f>'ARP Quarterly'!N9</f>
        <v>31.911000000000001</v>
      </c>
      <c r="Y47" s="312">
        <f>'ARP Quarterly'!O9</f>
        <v>31.911000000000001</v>
      </c>
      <c r="Z47" s="312">
        <f>'ARP Quarterly'!P9</f>
        <v>31.911000000000001</v>
      </c>
      <c r="AA47" s="312">
        <f>'ARP Quarterly'!Q9</f>
        <v>31.911000000000001</v>
      </c>
      <c r="AB47" s="312">
        <f>'ARP Quarterly'!R9</f>
        <v>23.099</v>
      </c>
      <c r="AC47" s="385">
        <f>'ARP Quarterly'!S9</f>
        <v>23.099</v>
      </c>
      <c r="AD47" s="329">
        <f t="shared" si="13"/>
        <v>113.68849999999999</v>
      </c>
      <c r="AE47" s="316"/>
    </row>
    <row r="48" spans="2:32" x14ac:dyDescent="0.3">
      <c r="B48" s="325" t="s">
        <v>152</v>
      </c>
      <c r="C48" s="72"/>
      <c r="D48" s="338"/>
      <c r="E48" s="72"/>
      <c r="F48" s="72"/>
      <c r="G48" s="72"/>
      <c r="H48" s="73"/>
      <c r="I48" s="73"/>
      <c r="J48" s="73"/>
      <c r="K48" s="73"/>
      <c r="L48" s="73"/>
      <c r="M48" s="316"/>
      <c r="N48" s="316">
        <f>'ARP Quarterly'!D14</f>
        <v>1.1696</v>
      </c>
      <c r="O48" s="316">
        <f>'ARP Quarterly'!E14</f>
        <v>1.5503999999999998</v>
      </c>
      <c r="P48" s="360">
        <f>'ARP Quarterly'!F14</f>
        <v>1.02</v>
      </c>
      <c r="Q48" s="316">
        <f>'ARP Quarterly'!G14</f>
        <v>1.02</v>
      </c>
      <c r="R48" s="316">
        <f>'ARP Quarterly'!H14</f>
        <v>1.02</v>
      </c>
      <c r="S48" s="316">
        <f>'ARP Quarterly'!I14</f>
        <v>1.02</v>
      </c>
      <c r="T48" s="312">
        <f>'ARP Quarterly'!J14</f>
        <v>0</v>
      </c>
      <c r="U48" s="312">
        <f>'ARP Quarterly'!K14</f>
        <v>0</v>
      </c>
      <c r="V48" s="312">
        <f>'ARP Quarterly'!L14</f>
        <v>0</v>
      </c>
      <c r="W48" s="312">
        <f>'ARP Quarterly'!M14</f>
        <v>0</v>
      </c>
      <c r="X48" s="312">
        <f>'ARP Quarterly'!N14</f>
        <v>0</v>
      </c>
      <c r="Y48" s="312">
        <f>'ARP Quarterly'!O14</f>
        <v>0</v>
      </c>
      <c r="Z48" s="312">
        <f>'ARP Quarterly'!P14</f>
        <v>0</v>
      </c>
      <c r="AA48" s="312">
        <f>'ARP Quarterly'!Q14</f>
        <v>0</v>
      </c>
      <c r="AB48" s="312">
        <f>'ARP Quarterly'!R14</f>
        <v>0</v>
      </c>
      <c r="AC48" s="385">
        <f>'ARP Quarterly'!S14</f>
        <v>0</v>
      </c>
      <c r="AD48" s="329">
        <f t="shared" si="13"/>
        <v>1.6999999999999997</v>
      </c>
      <c r="AE48" s="316"/>
    </row>
    <row r="49" spans="1:88" x14ac:dyDescent="0.3">
      <c r="B49" s="325" t="s">
        <v>412</v>
      </c>
      <c r="C49" s="72"/>
      <c r="D49" s="338"/>
      <c r="E49" s="72"/>
      <c r="F49" s="72"/>
      <c r="G49" s="72"/>
      <c r="H49" s="73"/>
      <c r="I49" s="73"/>
      <c r="J49" s="73"/>
      <c r="K49" s="73"/>
      <c r="L49" s="73"/>
      <c r="M49" s="316"/>
      <c r="N49" s="316">
        <f>'ARP Quarterly'!D10</f>
        <v>59.256</v>
      </c>
      <c r="O49" s="316">
        <f>'ARP Quarterly'!E10</f>
        <v>59.256</v>
      </c>
      <c r="P49" s="360">
        <f>'ARP Quarterly'!F10</f>
        <v>35.671000000000006</v>
      </c>
      <c r="Q49" s="316">
        <f>'ARP Quarterly'!G10</f>
        <v>35.671000000000006</v>
      </c>
      <c r="R49" s="316">
        <f>'ARP Quarterly'!H10</f>
        <v>35.671000000000006</v>
      </c>
      <c r="S49" s="316">
        <f>'ARP Quarterly'!I10</f>
        <v>35.671000000000006</v>
      </c>
      <c r="T49" s="312">
        <f>'ARP Quarterly'!J10</f>
        <v>24.216000000000001</v>
      </c>
      <c r="U49" s="312">
        <f>'ARP Quarterly'!K10</f>
        <v>24.216000000000001</v>
      </c>
      <c r="V49" s="312">
        <f>'ARP Quarterly'!L10</f>
        <v>24.216000000000001</v>
      </c>
      <c r="W49" s="312">
        <f>'ARP Quarterly'!M10</f>
        <v>24.216000000000001</v>
      </c>
      <c r="X49" s="312">
        <f>'ARP Quarterly'!N10</f>
        <v>9.6430000000000007</v>
      </c>
      <c r="Y49" s="312">
        <f>'ARP Quarterly'!O10</f>
        <v>9.6430000000000007</v>
      </c>
      <c r="Z49" s="312">
        <f>'ARP Quarterly'!P10</f>
        <v>9.6430000000000007</v>
      </c>
      <c r="AA49" s="312">
        <f>'ARP Quarterly'!Q10</f>
        <v>9.6430000000000007</v>
      </c>
      <c r="AB49" s="312">
        <f>'ARP Quarterly'!R10</f>
        <v>4.5789999999999997</v>
      </c>
      <c r="AC49" s="385">
        <f>'ARP Quarterly'!S10</f>
        <v>4.5789999999999997</v>
      </c>
      <c r="AD49" s="329">
        <f t="shared" si="13"/>
        <v>94.336500000000001</v>
      </c>
      <c r="AE49" s="316"/>
    </row>
    <row r="50" spans="1:88" x14ac:dyDescent="0.3">
      <c r="A50" s="4"/>
      <c r="B50" s="345"/>
      <c r="C50" s="342"/>
      <c r="D50" s="340"/>
      <c r="E50" s="342"/>
      <c r="F50" s="342"/>
      <c r="G50" s="342"/>
      <c r="H50" s="347"/>
      <c r="I50" s="347"/>
      <c r="J50" s="347"/>
      <c r="K50" s="347"/>
      <c r="L50" s="347"/>
      <c r="M50" s="359"/>
      <c r="N50" s="359"/>
      <c r="O50" s="359"/>
      <c r="P50" s="376"/>
      <c r="Q50" s="359"/>
      <c r="R50" s="359"/>
      <c r="S50" s="359"/>
      <c r="T50" s="351"/>
      <c r="U50" s="351"/>
      <c r="V50" s="351"/>
      <c r="W50" s="351"/>
      <c r="X50" s="351"/>
      <c r="Y50" s="351"/>
      <c r="Z50" s="351"/>
      <c r="AA50" s="351"/>
      <c r="AB50" s="351"/>
      <c r="AC50" s="352"/>
      <c r="AD50" s="376"/>
      <c r="AE50" s="316"/>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row>
    <row r="51" spans="1:88" x14ac:dyDescent="0.3">
      <c r="B51" s="323"/>
      <c r="C51" s="72"/>
      <c r="D51" s="72"/>
      <c r="E51" s="72"/>
      <c r="F51" s="72"/>
      <c r="G51" s="72"/>
      <c r="H51" s="72"/>
      <c r="I51" s="72"/>
      <c r="J51" s="72"/>
      <c r="K51" s="72"/>
      <c r="L51" s="72"/>
      <c r="M51" s="72"/>
      <c r="N51" s="72"/>
      <c r="O51" s="72"/>
      <c r="P51" s="72"/>
      <c r="Q51" s="72"/>
      <c r="R51" s="72"/>
      <c r="S51" s="72"/>
      <c r="T51" s="72"/>
      <c r="U51" s="72"/>
      <c r="V51" s="72"/>
      <c r="W51" s="72"/>
      <c r="X51" s="72"/>
      <c r="Y51" s="72"/>
      <c r="Z51" s="72"/>
      <c r="AA51" s="72"/>
      <c r="AB51" s="72"/>
      <c r="AC51" s="72"/>
      <c r="AD51" s="72"/>
      <c r="AE51" s="72"/>
    </row>
    <row r="52" spans="1:88" x14ac:dyDescent="0.3">
      <c r="B52" s="323"/>
      <c r="C52" s="72"/>
      <c r="D52" s="72"/>
      <c r="E52" s="72"/>
      <c r="F52" s="72"/>
      <c r="G52" s="72"/>
      <c r="H52" s="72"/>
      <c r="I52" s="72"/>
      <c r="J52" s="72"/>
      <c r="K52" s="72"/>
      <c r="L52" s="72"/>
      <c r="M52" s="72"/>
      <c r="N52" s="72"/>
      <c r="O52" s="72"/>
      <c r="P52" s="72"/>
      <c r="Q52" s="72"/>
      <c r="R52" s="72"/>
      <c r="S52" s="72"/>
      <c r="T52" s="72"/>
      <c r="U52" s="72"/>
      <c r="V52" s="72"/>
      <c r="W52" s="72"/>
      <c r="X52" s="72"/>
      <c r="Y52" s="72"/>
      <c r="Z52" s="72"/>
      <c r="AA52" s="72"/>
      <c r="AB52" s="72"/>
      <c r="AC52" s="72"/>
      <c r="AD52" s="72"/>
      <c r="AE52" s="72"/>
    </row>
    <row r="53" spans="1:88" ht="17.7" customHeight="1" x14ac:dyDescent="0.3">
      <c r="B53" s="353" t="s">
        <v>413</v>
      </c>
      <c r="H53" s="73"/>
      <c r="I53" s="73"/>
      <c r="J53" s="73"/>
      <c r="K53" s="73"/>
      <c r="L53" s="73"/>
      <c r="M53" s="73"/>
      <c r="N53" s="73"/>
      <c r="O53" s="73"/>
      <c r="P53" s="73"/>
      <c r="Q53" s="73"/>
      <c r="R53" s="73"/>
      <c r="S53" s="73"/>
      <c r="T53" s="73"/>
      <c r="U53" s="73"/>
      <c r="V53" s="73"/>
      <c r="W53" s="73"/>
      <c r="X53" s="73"/>
      <c r="Y53" s="73"/>
      <c r="Z53" s="73"/>
      <c r="AA53" s="73"/>
      <c r="AB53" s="73"/>
      <c r="AC53" s="73"/>
      <c r="AD53" s="73"/>
      <c r="AE53" s="73"/>
    </row>
    <row r="54" spans="1:88" ht="29.7" customHeight="1" x14ac:dyDescent="0.3">
      <c r="B54" s="393" t="s">
        <v>414</v>
      </c>
      <c r="C54" s="394" t="s">
        <v>415</v>
      </c>
      <c r="D54" s="395" t="s">
        <v>416</v>
      </c>
      <c r="E54" s="369" t="s">
        <v>417</v>
      </c>
      <c r="F54" s="73"/>
      <c r="G54" s="73"/>
      <c r="H54" s="73"/>
      <c r="I54" s="73"/>
      <c r="J54" s="73"/>
      <c r="K54" s="73"/>
      <c r="L54" s="73"/>
      <c r="M54" s="73"/>
      <c r="N54" s="73"/>
      <c r="O54" s="73"/>
      <c r="P54" s="73"/>
      <c r="Q54" s="73"/>
      <c r="R54" s="73"/>
      <c r="S54" s="73"/>
      <c r="T54" s="73"/>
      <c r="U54" s="73"/>
      <c r="V54" s="73"/>
      <c r="W54" s="73"/>
    </row>
    <row r="55" spans="1:88" ht="18.75" customHeight="1" x14ac:dyDescent="0.3">
      <c r="B55" s="400" t="s">
        <v>418</v>
      </c>
      <c r="C55" s="348">
        <f>SUM(C56:C61)</f>
        <v>898.11599999999999</v>
      </c>
      <c r="D55" s="73">
        <f>SUM(D56:D60)</f>
        <v>202.36666666666667</v>
      </c>
      <c r="E55" s="150">
        <f>SUM(E56:E60)</f>
        <v>650.35233333333326</v>
      </c>
      <c r="F55" s="73"/>
      <c r="G55" s="73"/>
      <c r="H55" s="73"/>
      <c r="I55" s="73"/>
      <c r="J55" s="73"/>
      <c r="K55" s="73"/>
      <c r="L55" s="73"/>
      <c r="M55" s="73"/>
      <c r="N55" s="73"/>
      <c r="O55" s="73"/>
      <c r="P55" s="73"/>
      <c r="Q55" s="73"/>
      <c r="R55" s="73"/>
      <c r="S55" s="73"/>
      <c r="T55" s="73"/>
      <c r="U55" s="73"/>
      <c r="V55" s="73"/>
      <c r="W55" s="73"/>
    </row>
    <row r="56" spans="1:88" x14ac:dyDescent="0.3">
      <c r="B56" s="399" t="s">
        <v>149</v>
      </c>
      <c r="C56" s="348">
        <f>C65</f>
        <v>150</v>
      </c>
      <c r="D56" s="73">
        <f>SUM(H12:M12)/4</f>
        <v>149.47499999999999</v>
      </c>
      <c r="E56" s="329">
        <f>C56-D56</f>
        <v>0.52500000000000568</v>
      </c>
      <c r="F56" s="73"/>
      <c r="G56" s="73"/>
      <c r="H56" s="73"/>
      <c r="I56" s="337"/>
      <c r="J56" s="337"/>
      <c r="K56" s="337"/>
      <c r="L56" s="337"/>
      <c r="M56" s="337"/>
      <c r="N56" s="337"/>
      <c r="O56" s="337"/>
      <c r="P56" s="337"/>
      <c r="Q56" s="73"/>
      <c r="R56" s="73"/>
      <c r="S56" s="73"/>
      <c r="T56" s="73"/>
      <c r="U56" s="73"/>
      <c r="V56" s="73"/>
      <c r="W56" s="73"/>
    </row>
    <row r="57" spans="1:88" x14ac:dyDescent="0.3">
      <c r="B57" s="399" t="s">
        <v>150</v>
      </c>
      <c r="C57" s="404">
        <f>C66+C70+C76</f>
        <v>273.16899999999998</v>
      </c>
      <c r="D57" s="73">
        <f>SUM(H13:M13)/4</f>
        <v>22.075000000000003</v>
      </c>
      <c r="E57" s="329">
        <f>C57-D57</f>
        <v>251.09399999999999</v>
      </c>
      <c r="F57" s="73"/>
      <c r="G57" s="73"/>
      <c r="H57" s="73"/>
      <c r="I57" s="337"/>
      <c r="J57" s="337"/>
      <c r="K57" s="337"/>
      <c r="L57" s="337"/>
      <c r="M57" s="337"/>
      <c r="N57" s="337"/>
      <c r="O57" s="337"/>
      <c r="P57" s="337"/>
      <c r="Q57" s="73"/>
      <c r="R57" s="73"/>
      <c r="S57" s="73"/>
      <c r="T57" s="73"/>
      <c r="U57" s="73"/>
      <c r="V57" s="73"/>
      <c r="W57" s="73"/>
    </row>
    <row r="58" spans="1:88" x14ac:dyDescent="0.3">
      <c r="B58" s="399" t="s">
        <v>152</v>
      </c>
      <c r="C58" s="281">
        <f>C67+C77+C71</f>
        <v>38.5</v>
      </c>
      <c r="D58" s="73">
        <f>SUM(H14:M14)/4</f>
        <v>28.400000000000002</v>
      </c>
      <c r="E58" s="329">
        <f>C58-D58</f>
        <v>10.099999999999998</v>
      </c>
      <c r="F58" s="73"/>
      <c r="G58" s="73"/>
      <c r="H58" s="73"/>
      <c r="I58" s="337"/>
      <c r="J58" s="337"/>
      <c r="K58" s="337"/>
      <c r="L58" s="337"/>
      <c r="M58" s="337"/>
      <c r="N58" s="337"/>
      <c r="O58" s="337"/>
      <c r="P58" s="337"/>
      <c r="Q58" s="1194"/>
      <c r="R58" s="1194"/>
      <c r="S58" s="1194"/>
      <c r="T58" s="1194"/>
      <c r="U58" s="1194"/>
      <c r="V58" s="1194"/>
      <c r="W58" s="1194"/>
      <c r="X58" s="1194"/>
      <c r="Y58" s="1194"/>
      <c r="Z58" s="1194"/>
      <c r="AA58" s="1194"/>
      <c r="AB58" s="1194"/>
      <c r="AC58" s="1194"/>
      <c r="AD58" s="1194"/>
      <c r="AE58" s="1194"/>
      <c r="AF58" s="1194"/>
      <c r="AG58" s="1194"/>
      <c r="AH58" s="1194"/>
    </row>
    <row r="59" spans="1:88" ht="17.25" customHeight="1" x14ac:dyDescent="0.3">
      <c r="B59" s="399" t="s">
        <v>419</v>
      </c>
      <c r="C59" s="281">
        <f>C69</f>
        <v>29</v>
      </c>
      <c r="D59" s="73">
        <f>SUM(H15:M15)/4</f>
        <v>2.4166666666666665</v>
      </c>
      <c r="E59" s="329">
        <f>C59-D59</f>
        <v>26.583333333333332</v>
      </c>
      <c r="F59" s="73"/>
      <c r="G59" s="73"/>
      <c r="H59" s="73"/>
      <c r="I59" s="337"/>
      <c r="J59" s="337"/>
      <c r="K59" s="337"/>
      <c r="L59" s="337"/>
      <c r="M59" s="337"/>
      <c r="N59" s="337"/>
      <c r="O59" s="337"/>
      <c r="P59" s="337"/>
      <c r="Q59" s="1144"/>
      <c r="R59" s="1144"/>
      <c r="S59" s="1144"/>
      <c r="T59" s="1144"/>
      <c r="U59" s="1144"/>
      <c r="V59" s="1144"/>
      <c r="W59" s="1144"/>
      <c r="X59" s="1144"/>
      <c r="Y59" s="1144"/>
      <c r="Z59" s="138"/>
      <c r="AA59" s="138"/>
      <c r="AB59" s="138"/>
      <c r="AC59" s="138"/>
      <c r="AD59" s="1144"/>
      <c r="AE59" s="1144"/>
      <c r="AF59" s="1144"/>
      <c r="AG59" s="1144"/>
      <c r="AH59" s="138"/>
    </row>
    <row r="60" spans="1:88" ht="15.75" customHeight="1" x14ac:dyDescent="0.3">
      <c r="B60" s="399" t="s">
        <v>396</v>
      </c>
      <c r="C60" s="281">
        <f>C75</f>
        <v>362.04999999999995</v>
      </c>
      <c r="D60" s="73">
        <v>0</v>
      </c>
      <c r="E60" s="329">
        <f>C60-D60</f>
        <v>362.04999999999995</v>
      </c>
      <c r="F60" s="73"/>
      <c r="G60" s="73"/>
      <c r="H60" s="73"/>
      <c r="I60" s="337"/>
      <c r="J60" s="337"/>
      <c r="K60" s="337"/>
      <c r="L60" s="337"/>
      <c r="M60" s="337"/>
      <c r="N60" s="337"/>
      <c r="O60" s="337"/>
      <c r="P60" s="337"/>
      <c r="Q60" s="138"/>
      <c r="R60" s="138"/>
      <c r="S60" s="138"/>
      <c r="T60" s="138"/>
      <c r="U60" s="138"/>
      <c r="V60" s="138"/>
      <c r="W60" s="138"/>
      <c r="X60" s="138"/>
      <c r="Y60" s="138"/>
      <c r="Z60" s="138"/>
      <c r="AA60" s="138"/>
      <c r="AB60" s="138"/>
      <c r="AC60" s="138"/>
      <c r="AD60" s="138"/>
      <c r="AE60" s="138"/>
      <c r="AF60" s="138"/>
      <c r="AG60" s="138"/>
      <c r="AH60" s="138"/>
    </row>
    <row r="61" spans="1:88" ht="15" customHeight="1" x14ac:dyDescent="0.3">
      <c r="B61" s="398" t="s">
        <v>420</v>
      </c>
      <c r="C61" s="348">
        <f>C78+C79+C72+C73</f>
        <v>45.396999999999998</v>
      </c>
      <c r="D61" s="73"/>
      <c r="E61" s="329"/>
      <c r="F61" s="73"/>
      <c r="G61" s="73"/>
      <c r="H61" s="73"/>
      <c r="I61" s="337"/>
      <c r="J61" s="337"/>
      <c r="K61" s="337"/>
      <c r="L61" s="337"/>
      <c r="M61" s="337"/>
      <c r="N61" s="337"/>
      <c r="O61" s="337"/>
      <c r="P61" s="337"/>
      <c r="Q61" s="73"/>
      <c r="R61" s="73"/>
      <c r="S61" s="73"/>
      <c r="T61" s="73"/>
      <c r="U61" s="73"/>
      <c r="V61" s="73"/>
      <c r="W61" s="73"/>
    </row>
    <row r="62" spans="1:88" ht="5.25" customHeight="1" x14ac:dyDescent="0.3">
      <c r="B62" s="398"/>
      <c r="C62" s="348"/>
      <c r="D62" s="73"/>
      <c r="E62" s="329"/>
      <c r="F62" s="73"/>
      <c r="G62" s="73"/>
      <c r="H62" s="73"/>
      <c r="I62" s="337"/>
      <c r="J62" s="337"/>
      <c r="K62" s="337"/>
      <c r="L62" s="337"/>
      <c r="M62" s="337"/>
      <c r="N62" s="337"/>
      <c r="O62" s="337"/>
      <c r="P62" s="337"/>
      <c r="Q62" s="73"/>
      <c r="R62" s="73"/>
      <c r="S62" s="73"/>
      <c r="T62" s="73"/>
      <c r="U62" s="73"/>
      <c r="V62" s="73"/>
      <c r="W62" s="73"/>
    </row>
    <row r="63" spans="1:88" ht="18.75" customHeight="1" x14ac:dyDescent="0.3">
      <c r="B63" s="400" t="s">
        <v>421</v>
      </c>
      <c r="C63" s="281">
        <f>C64+C68+C74</f>
        <v>898.11599999999999</v>
      </c>
      <c r="D63" s="73"/>
      <c r="E63" s="329"/>
      <c r="F63" s="73"/>
      <c r="G63" s="73"/>
      <c r="H63" s="73"/>
      <c r="I63" s="337"/>
      <c r="J63" s="337"/>
      <c r="K63" s="337"/>
      <c r="L63" s="337"/>
      <c r="M63" s="337"/>
      <c r="N63" s="337"/>
      <c r="O63" s="337"/>
      <c r="P63" s="337"/>
      <c r="Q63" s="73"/>
      <c r="R63" s="73"/>
      <c r="S63" s="73"/>
      <c r="T63" s="73"/>
      <c r="U63" s="73"/>
      <c r="V63" s="73"/>
      <c r="W63" s="73"/>
    </row>
    <row r="64" spans="1:88" ht="16.2" customHeight="1" x14ac:dyDescent="0.3">
      <c r="B64" s="384" t="s">
        <v>402</v>
      </c>
      <c r="C64" s="281">
        <f>SUM(C65:C67)</f>
        <v>199</v>
      </c>
      <c r="D64" s="73"/>
      <c r="E64" s="329"/>
      <c r="F64" s="73"/>
      <c r="G64" s="73"/>
      <c r="H64" s="73"/>
      <c r="I64" s="337"/>
      <c r="J64" s="337"/>
      <c r="K64" s="337"/>
      <c r="L64" s="337"/>
      <c r="M64" s="337"/>
      <c r="N64" s="337"/>
      <c r="O64" s="337"/>
      <c r="P64" s="337"/>
      <c r="Q64" s="73"/>
      <c r="R64" s="73"/>
      <c r="S64" s="73"/>
      <c r="T64" s="73"/>
      <c r="U64" s="73"/>
      <c r="V64" s="73"/>
      <c r="W64" s="73"/>
    </row>
    <row r="65" spans="1:31" ht="20.7" customHeight="1" x14ac:dyDescent="0.3">
      <c r="B65" s="325" t="s">
        <v>149</v>
      </c>
      <c r="C65" s="281">
        <v>150</v>
      </c>
      <c r="D65" s="73"/>
      <c r="E65" s="329"/>
      <c r="F65" s="73"/>
      <c r="G65" s="73"/>
      <c r="H65" s="73"/>
      <c r="I65" s="337"/>
      <c r="J65" s="337"/>
      <c r="K65" s="337"/>
      <c r="L65" s="337"/>
      <c r="M65" s="337"/>
      <c r="N65" s="337"/>
      <c r="O65" s="337"/>
      <c r="P65" s="337"/>
      <c r="Q65" s="73"/>
      <c r="R65" s="73"/>
      <c r="S65" s="73"/>
      <c r="T65" s="73"/>
      <c r="U65" s="73"/>
      <c r="V65" s="73"/>
      <c r="W65" s="73"/>
    </row>
    <row r="66" spans="1:31" ht="16.5" customHeight="1" x14ac:dyDescent="0.3">
      <c r="B66" s="325" t="s">
        <v>150</v>
      </c>
      <c r="C66" s="404">
        <v>22</v>
      </c>
      <c r="D66" s="149"/>
      <c r="E66" s="329"/>
      <c r="F66" s="73"/>
      <c r="G66" s="73"/>
      <c r="H66" s="73"/>
      <c r="I66" s="337"/>
      <c r="J66" s="337"/>
      <c r="K66" s="337"/>
      <c r="L66" s="337"/>
      <c r="M66" s="337"/>
      <c r="N66" s="337"/>
      <c r="O66" s="337"/>
      <c r="P66" s="337"/>
      <c r="Q66" s="73"/>
      <c r="R66" s="73"/>
      <c r="S66" s="73"/>
      <c r="T66" s="73"/>
      <c r="U66" s="73"/>
      <c r="V66" s="73"/>
      <c r="W66" s="73"/>
    </row>
    <row r="67" spans="1:31" x14ac:dyDescent="0.3">
      <c r="B67" s="325" t="s">
        <v>152</v>
      </c>
      <c r="C67" s="281">
        <v>27</v>
      </c>
      <c r="D67" s="73"/>
      <c r="E67" s="329"/>
      <c r="F67" s="72"/>
      <c r="G67" s="73"/>
      <c r="H67" s="73"/>
      <c r="I67" s="337"/>
      <c r="J67" s="337"/>
      <c r="K67" s="337"/>
      <c r="L67" s="337"/>
      <c r="M67" s="337"/>
      <c r="N67" s="337"/>
      <c r="P67" s="337"/>
      <c r="Q67" s="73"/>
      <c r="R67" s="73"/>
      <c r="S67" s="73"/>
      <c r="T67" s="73"/>
      <c r="U67" s="73"/>
      <c r="V67" s="73"/>
      <c r="W67" s="73"/>
    </row>
    <row r="68" spans="1:31" ht="15" customHeight="1" x14ac:dyDescent="0.3">
      <c r="B68" s="384" t="s">
        <v>404</v>
      </c>
      <c r="C68" s="281">
        <f>SUM(C69:C73)</f>
        <v>150</v>
      </c>
      <c r="D68" s="73"/>
      <c r="E68" s="329"/>
      <c r="F68" s="73"/>
      <c r="G68" s="73"/>
      <c r="H68" s="73"/>
      <c r="I68" s="73"/>
      <c r="J68" s="73"/>
      <c r="K68" s="73"/>
      <c r="L68" s="73"/>
      <c r="M68" s="73"/>
      <c r="N68" s="73"/>
      <c r="P68" s="73"/>
      <c r="Q68" s="73"/>
      <c r="R68" s="73"/>
      <c r="S68" s="73"/>
      <c r="T68" s="73"/>
      <c r="U68" s="73"/>
      <c r="V68" s="73"/>
      <c r="W68" s="73"/>
    </row>
    <row r="69" spans="1:31" ht="17.25" customHeight="1" x14ac:dyDescent="0.3">
      <c r="B69" s="325" t="s">
        <v>391</v>
      </c>
      <c r="C69" s="281">
        <f>'Response and Relief Act Score'!F7</f>
        <v>29</v>
      </c>
      <c r="D69" s="73"/>
      <c r="E69" s="329"/>
      <c r="F69" s="73"/>
      <c r="G69" s="73"/>
      <c r="H69" s="73"/>
      <c r="I69" s="73"/>
    </row>
    <row r="70" spans="1:31" x14ac:dyDescent="0.3">
      <c r="B70" s="325" t="s">
        <v>150</v>
      </c>
      <c r="C70" s="281">
        <f>'Response and Relief Act Score'!F5</f>
        <v>82</v>
      </c>
      <c r="D70" s="73"/>
      <c r="E70" s="329"/>
      <c r="F70" s="73"/>
      <c r="G70" s="73"/>
      <c r="H70" s="73"/>
      <c r="I70" s="73"/>
      <c r="J70" s="73"/>
      <c r="K70" s="73"/>
      <c r="L70" s="73"/>
      <c r="M70" s="73"/>
      <c r="N70" s="73"/>
      <c r="P70" s="73"/>
      <c r="Q70" s="73"/>
      <c r="R70" s="73"/>
      <c r="S70" s="73"/>
      <c r="T70" s="73"/>
      <c r="U70" s="73"/>
      <c r="V70" s="73"/>
      <c r="W70" s="73"/>
    </row>
    <row r="71" spans="1:31" x14ac:dyDescent="0.3">
      <c r="B71" s="325" t="s">
        <v>152</v>
      </c>
      <c r="C71" s="281">
        <f>'Response and Relief Act Score'!F6</f>
        <v>3</v>
      </c>
      <c r="D71" s="73"/>
      <c r="E71" s="329"/>
      <c r="F71" s="73"/>
      <c r="G71" s="73"/>
      <c r="H71" s="73"/>
      <c r="I71" s="73"/>
      <c r="J71" s="73"/>
      <c r="K71" s="73"/>
      <c r="L71" s="73"/>
      <c r="M71" s="73"/>
      <c r="N71" s="73"/>
      <c r="P71" s="73"/>
      <c r="Q71" s="73"/>
      <c r="R71" s="73"/>
      <c r="S71" s="73"/>
      <c r="T71" s="73"/>
      <c r="U71" s="73"/>
      <c r="V71" s="73"/>
      <c r="W71" s="73"/>
    </row>
    <row r="72" spans="1:31" ht="29.25" customHeight="1" x14ac:dyDescent="0.3">
      <c r="B72" s="325" t="s">
        <v>407</v>
      </c>
      <c r="C72" s="281">
        <f>'Response and Relief Act Score'!F9</f>
        <v>34</v>
      </c>
      <c r="D72" s="73"/>
      <c r="E72" s="329"/>
      <c r="F72" s="73"/>
      <c r="G72" s="73"/>
      <c r="H72" s="73"/>
      <c r="I72" s="354"/>
      <c r="J72" s="73"/>
      <c r="K72" s="73"/>
      <c r="L72" s="73"/>
      <c r="M72" s="73"/>
      <c r="N72" s="73"/>
      <c r="O72" s="337"/>
      <c r="P72" s="73"/>
      <c r="Q72" s="73"/>
      <c r="R72" s="73"/>
      <c r="S72" s="73"/>
      <c r="T72" s="73"/>
      <c r="U72" s="73"/>
      <c r="V72" s="73"/>
      <c r="W72" s="73"/>
    </row>
    <row r="73" spans="1:31" ht="12.75" customHeight="1" x14ac:dyDescent="0.3">
      <c r="B73" s="325" t="s">
        <v>408</v>
      </c>
      <c r="C73" s="281">
        <f>'Response and Relief Act Score'!F8</f>
        <v>2</v>
      </c>
      <c r="D73" s="73"/>
      <c r="E73" s="329"/>
      <c r="F73" s="73"/>
      <c r="G73" s="73"/>
      <c r="H73" s="73"/>
      <c r="I73" s="73"/>
      <c r="J73" s="73"/>
      <c r="K73" s="73"/>
      <c r="L73" s="73"/>
      <c r="M73" s="73"/>
      <c r="N73" s="73"/>
      <c r="O73" s="73"/>
      <c r="P73" s="73"/>
      <c r="Q73" s="73"/>
      <c r="R73" s="73"/>
      <c r="S73" s="73"/>
      <c r="T73" s="73"/>
      <c r="U73" s="73"/>
      <c r="V73" s="73"/>
      <c r="W73" s="73"/>
    </row>
    <row r="74" spans="1:31" x14ac:dyDescent="0.3">
      <c r="A74" s="344"/>
      <c r="B74" s="341" t="s">
        <v>409</v>
      </c>
      <c r="C74" s="348">
        <f>SUM(C75:C79)</f>
        <v>549.11599999999999</v>
      </c>
      <c r="D74" s="73"/>
      <c r="E74" s="329"/>
      <c r="F74" s="73"/>
      <c r="G74" s="73"/>
      <c r="H74" s="73"/>
      <c r="I74" s="73"/>
      <c r="J74" s="73"/>
      <c r="K74" s="73"/>
      <c r="L74" s="73"/>
      <c r="M74" s="73"/>
      <c r="N74" s="73"/>
      <c r="P74" s="73"/>
      <c r="Q74" s="73"/>
      <c r="R74" s="73"/>
      <c r="S74" s="73"/>
      <c r="T74" s="73"/>
      <c r="U74" s="73"/>
      <c r="V74" s="73"/>
      <c r="W74" s="73"/>
    </row>
    <row r="75" spans="1:31" ht="16.2" customHeight="1" x14ac:dyDescent="0.3">
      <c r="A75" s="344"/>
      <c r="B75" s="343" t="s">
        <v>396</v>
      </c>
      <c r="C75" s="348">
        <f>'ARP Score'!AJ16</f>
        <v>362.04999999999995</v>
      </c>
      <c r="D75" s="73"/>
      <c r="E75" s="329"/>
      <c r="F75" s="73"/>
      <c r="G75" s="73"/>
      <c r="H75" s="73"/>
      <c r="I75" s="73"/>
      <c r="J75" s="73"/>
      <c r="K75" s="73"/>
      <c r="L75" s="73"/>
      <c r="M75" s="73"/>
      <c r="N75" s="73"/>
      <c r="O75" s="73"/>
      <c r="P75" s="73"/>
      <c r="Q75" s="73"/>
      <c r="R75" s="73"/>
      <c r="S75" s="73"/>
      <c r="T75" s="73"/>
      <c r="U75" s="73"/>
      <c r="V75" s="73"/>
      <c r="W75" s="73"/>
    </row>
    <row r="76" spans="1:31" ht="15" customHeight="1" x14ac:dyDescent="0.3">
      <c r="A76" s="1186"/>
      <c r="B76" s="343" t="s">
        <v>150</v>
      </c>
      <c r="C76" s="348">
        <f>'ARP Score'!AL16</f>
        <v>169.16899999999998</v>
      </c>
      <c r="D76" s="73"/>
      <c r="E76" s="329"/>
      <c r="F76" s="73"/>
      <c r="G76" s="73"/>
      <c r="H76" s="73"/>
      <c r="I76" s="73"/>
      <c r="J76" s="73"/>
      <c r="K76" s="73"/>
      <c r="L76" s="73"/>
      <c r="M76" s="73"/>
      <c r="N76" s="73"/>
      <c r="O76" s="73"/>
      <c r="P76" s="73"/>
      <c r="Q76" s="346"/>
      <c r="R76" s="73"/>
      <c r="S76" s="73"/>
      <c r="T76" s="73"/>
      <c r="U76" s="73"/>
      <c r="V76" s="73"/>
      <c r="W76" s="73"/>
    </row>
    <row r="77" spans="1:31" x14ac:dyDescent="0.3">
      <c r="A77" s="1186"/>
      <c r="B77" s="343" t="s">
        <v>152</v>
      </c>
      <c r="C77" s="348">
        <f>'ARP Score'!AK16</f>
        <v>8.5</v>
      </c>
      <c r="D77" s="73"/>
      <c r="E77" s="329"/>
      <c r="F77" s="73"/>
      <c r="G77" s="73"/>
      <c r="H77" s="73"/>
      <c r="I77" s="73"/>
      <c r="J77" s="73"/>
      <c r="K77" s="73"/>
      <c r="L77" s="73"/>
      <c r="M77" s="73"/>
      <c r="N77" s="73"/>
      <c r="O77" s="73"/>
      <c r="P77" s="73"/>
      <c r="Q77" s="73"/>
      <c r="R77" s="73"/>
      <c r="S77" s="73"/>
      <c r="T77" s="73"/>
      <c r="U77" s="73"/>
      <c r="V77" s="73"/>
      <c r="W77" s="73"/>
    </row>
    <row r="78" spans="1:31" ht="17.25" customHeight="1" x14ac:dyDescent="0.3">
      <c r="A78" s="344"/>
      <c r="B78" s="343" t="s">
        <v>412</v>
      </c>
      <c r="C78" s="348">
        <f>'ARP Score'!AM16</f>
        <v>0.79700000000000004</v>
      </c>
      <c r="D78" s="73"/>
      <c r="E78" s="329"/>
      <c r="F78" s="73"/>
      <c r="G78" s="73"/>
      <c r="H78" s="73"/>
      <c r="I78" s="73"/>
      <c r="J78" s="73"/>
      <c r="K78" s="73"/>
      <c r="L78" s="73"/>
      <c r="M78" s="73"/>
      <c r="N78" s="73"/>
      <c r="O78" s="73"/>
      <c r="P78" s="73"/>
      <c r="Q78" s="73"/>
      <c r="R78" s="73"/>
      <c r="S78" s="73"/>
      <c r="T78" s="73"/>
      <c r="U78" s="73"/>
      <c r="V78" s="73"/>
      <c r="W78" s="73"/>
    </row>
    <row r="79" spans="1:31" ht="17.25" customHeight="1" x14ac:dyDescent="0.3">
      <c r="A79" s="344"/>
      <c r="B79" s="345" t="s">
        <v>422</v>
      </c>
      <c r="C79" s="349">
        <f>'ARP Score'!AN16</f>
        <v>8.6</v>
      </c>
      <c r="D79" s="347"/>
      <c r="E79" s="330"/>
      <c r="F79" s="73"/>
      <c r="G79" s="73"/>
      <c r="H79" s="73"/>
      <c r="I79" s="73"/>
      <c r="J79" s="73"/>
      <c r="K79" s="73"/>
      <c r="L79" s="73"/>
      <c r="M79" s="73"/>
      <c r="N79" s="73"/>
      <c r="O79" s="73"/>
      <c r="P79" s="73"/>
      <c r="Q79" s="73"/>
      <c r="R79" s="73"/>
      <c r="S79" s="73"/>
      <c r="T79" s="73"/>
      <c r="U79" s="73"/>
      <c r="V79" s="73"/>
      <c r="W79" s="73"/>
    </row>
    <row r="80" spans="1:31" ht="17.25" customHeight="1" x14ac:dyDescent="0.3">
      <c r="B80" s="343"/>
      <c r="C80" s="71"/>
      <c r="D80" s="71"/>
      <c r="E80" s="71"/>
      <c r="F80" s="71"/>
      <c r="G80" s="71"/>
      <c r="H80" s="73"/>
      <c r="I80" s="73"/>
      <c r="J80" s="73"/>
      <c r="K80" s="73"/>
      <c r="L80" s="73"/>
      <c r="M80" s="73"/>
      <c r="N80" s="73"/>
      <c r="O80" s="73"/>
      <c r="P80" s="73"/>
      <c r="Q80" s="73"/>
      <c r="R80" s="73"/>
      <c r="S80" s="73"/>
      <c r="T80" s="73"/>
      <c r="U80" s="73"/>
      <c r="V80" s="73"/>
      <c r="W80" s="73"/>
      <c r="X80" s="73"/>
      <c r="Y80" s="73"/>
      <c r="Z80" s="73"/>
      <c r="AA80" s="73"/>
      <c r="AB80" s="73"/>
      <c r="AC80" s="73"/>
      <c r="AD80" s="73"/>
      <c r="AE80" s="73"/>
    </row>
    <row r="81" spans="2:31" ht="17.25" customHeight="1" x14ac:dyDescent="0.3">
      <c r="B81" s="326" t="s">
        <v>423</v>
      </c>
      <c r="C81" s="71"/>
      <c r="D81" s="71"/>
      <c r="E81" s="71"/>
      <c r="F81" s="71"/>
      <c r="G81" s="71"/>
      <c r="H81" s="73"/>
      <c r="I81" s="73"/>
      <c r="J81" s="73"/>
      <c r="K81" s="73"/>
      <c r="L81" s="73"/>
      <c r="M81" s="73"/>
      <c r="N81" s="73"/>
      <c r="O81" s="73"/>
      <c r="P81" s="73"/>
      <c r="Q81" s="73"/>
      <c r="R81" s="73"/>
      <c r="S81" s="73"/>
      <c r="T81" s="73"/>
      <c r="U81" s="73"/>
      <c r="V81" s="73"/>
      <c r="W81" s="73"/>
      <c r="X81" s="73"/>
      <c r="Y81" s="73"/>
      <c r="Z81" s="73"/>
      <c r="AA81" s="73"/>
      <c r="AB81" s="73"/>
      <c r="AC81" s="73"/>
      <c r="AD81" s="73"/>
      <c r="AE81" s="73"/>
    </row>
    <row r="82" spans="2:31" ht="14.7" customHeight="1" x14ac:dyDescent="0.3">
      <c r="B82" s="1175" t="s">
        <v>424</v>
      </c>
      <c r="C82" s="1159"/>
      <c r="D82" s="1156" t="s">
        <v>325</v>
      </c>
      <c r="E82" s="1157"/>
      <c r="F82" s="1157"/>
      <c r="G82" s="1157"/>
      <c r="H82" s="1157"/>
      <c r="I82" s="1157"/>
      <c r="J82" s="1157"/>
      <c r="K82" s="1157"/>
      <c r="L82" s="1157"/>
      <c r="M82" s="1157"/>
      <c r="N82" s="1157"/>
      <c r="O82" s="1157"/>
      <c r="P82" s="1157"/>
      <c r="Q82" s="1158"/>
      <c r="R82" s="1158"/>
      <c r="S82" s="1158"/>
      <c r="T82" s="1184" t="s">
        <v>326</v>
      </c>
      <c r="U82" s="1184"/>
      <c r="V82" s="1184"/>
      <c r="W82" s="1184"/>
      <c r="X82" s="1184"/>
      <c r="Y82" s="1184"/>
      <c r="Z82" s="1184"/>
      <c r="AA82" s="1184"/>
      <c r="AB82" s="1184"/>
      <c r="AC82" s="1185"/>
      <c r="AD82" s="136"/>
      <c r="AE82" s="136"/>
    </row>
    <row r="83" spans="2:31" x14ac:dyDescent="0.3">
      <c r="B83" s="1176"/>
      <c r="C83" s="1177"/>
      <c r="D83" s="141">
        <v>2018</v>
      </c>
      <c r="E83" s="1147">
        <v>2019</v>
      </c>
      <c r="F83" s="1148"/>
      <c r="G83" s="1148"/>
      <c r="H83" s="1155"/>
      <c r="I83" s="1147">
        <v>2020</v>
      </c>
      <c r="J83" s="1148"/>
      <c r="K83" s="1148"/>
      <c r="L83" s="1148"/>
      <c r="M83" s="1147">
        <v>2021</v>
      </c>
      <c r="N83" s="1148"/>
      <c r="O83" s="1148"/>
      <c r="P83" s="1148"/>
      <c r="Q83" s="1181">
        <v>2022</v>
      </c>
      <c r="R83" s="1182"/>
      <c r="S83" s="252"/>
      <c r="T83" s="287"/>
      <c r="U83" s="1178">
        <v>2023</v>
      </c>
      <c r="V83" s="1179"/>
      <c r="W83" s="1179"/>
      <c r="X83" s="1179"/>
      <c r="Y83" s="1178">
        <v>2024</v>
      </c>
      <c r="Z83" s="1179"/>
      <c r="AA83" s="1179"/>
      <c r="AB83" s="1180"/>
      <c r="AC83" s="258">
        <v>2025</v>
      </c>
      <c r="AD83" s="138"/>
      <c r="AE83" s="138"/>
    </row>
    <row r="84" spans="2:31" x14ac:dyDescent="0.3">
      <c r="B84" s="1187"/>
      <c r="C84" s="1188"/>
      <c r="D84" s="152" t="s">
        <v>327</v>
      </c>
      <c r="E84" s="152" t="s">
        <v>328</v>
      </c>
      <c r="F84" s="151" t="s">
        <v>329</v>
      </c>
      <c r="G84" s="151" t="s">
        <v>238</v>
      </c>
      <c r="H84" s="203" t="s">
        <v>327</v>
      </c>
      <c r="I84" s="151" t="s">
        <v>328</v>
      </c>
      <c r="J84" s="151" t="s">
        <v>329</v>
      </c>
      <c r="K84" s="151" t="s">
        <v>238</v>
      </c>
      <c r="L84" s="151" t="s">
        <v>327</v>
      </c>
      <c r="M84" s="152" t="s">
        <v>328</v>
      </c>
      <c r="N84" s="151" t="s">
        <v>329</v>
      </c>
      <c r="O84" s="151" t="s">
        <v>238</v>
      </c>
      <c r="P84" s="151" t="s">
        <v>327</v>
      </c>
      <c r="Q84" s="152" t="s">
        <v>328</v>
      </c>
      <c r="R84" s="151" t="s">
        <v>329</v>
      </c>
      <c r="S84" s="203" t="s">
        <v>238</v>
      </c>
      <c r="T84" s="274" t="s">
        <v>327</v>
      </c>
      <c r="U84" s="355" t="s">
        <v>328</v>
      </c>
      <c r="V84" s="356" t="s">
        <v>329</v>
      </c>
      <c r="W84" s="356" t="s">
        <v>238</v>
      </c>
      <c r="X84" s="356" t="s">
        <v>327</v>
      </c>
      <c r="Y84" s="355" t="s">
        <v>328</v>
      </c>
      <c r="Z84" s="249" t="s">
        <v>329</v>
      </c>
      <c r="AA84" s="356" t="s">
        <v>238</v>
      </c>
      <c r="AB84" s="368" t="s">
        <v>327</v>
      </c>
      <c r="AC84" s="383" t="s">
        <v>328</v>
      </c>
      <c r="AD84" s="138"/>
      <c r="AE84" s="138"/>
    </row>
    <row r="85" spans="2:31" ht="29.25" customHeight="1" x14ac:dyDescent="0.3">
      <c r="B85" s="370" t="s">
        <v>425</v>
      </c>
      <c r="C85" s="389"/>
      <c r="D85" s="410"/>
      <c r="E85" s="389"/>
      <c r="F85" s="389"/>
      <c r="G85" s="389"/>
      <c r="H85" s="411">
        <f t="shared" ref="H85:O85" si="20">SUM(H87:H95)</f>
        <v>205.80500000000001</v>
      </c>
      <c r="I85" s="411">
        <f t="shared" si="20"/>
        <v>210.29200000000003</v>
      </c>
      <c r="J85" s="411">
        <f t="shared" si="20"/>
        <v>325.28399999999999</v>
      </c>
      <c r="K85" s="411">
        <f t="shared" si="20"/>
        <v>297.32000000000005</v>
      </c>
      <c r="L85" s="411">
        <f t="shared" si="20"/>
        <v>289.54199999999997</v>
      </c>
      <c r="M85" s="411">
        <f t="shared" si="20"/>
        <v>315.67900000000003</v>
      </c>
      <c r="N85" s="411">
        <f t="shared" si="20"/>
        <v>361.52700000000004</v>
      </c>
      <c r="O85" s="411">
        <f t="shared" si="20"/>
        <v>374.99100000000004</v>
      </c>
      <c r="P85" s="411">
        <f>SUM(P87:P96)</f>
        <v>401.58485200000007</v>
      </c>
      <c r="Q85" s="411">
        <f>SUM(Q87:Q96)</f>
        <v>438.45827479999997</v>
      </c>
      <c r="R85" s="411">
        <f>SUM(R87:R96)</f>
        <v>505.04903199999995</v>
      </c>
      <c r="S85" s="416">
        <f>SUM(S87:S96)</f>
        <v>492.38786800000003</v>
      </c>
      <c r="T85" s="331">
        <f t="shared" ref="T85:AC85" si="21">SUM(T87:T96)</f>
        <v>483.36755273237202</v>
      </c>
      <c r="U85" s="331">
        <f t="shared" si="21"/>
        <v>468.25943079425093</v>
      </c>
      <c r="V85" s="331">
        <f t="shared" si="21"/>
        <v>472.80054303303206</v>
      </c>
      <c r="W85" s="331">
        <f t="shared" si="21"/>
        <v>471.87100266666664</v>
      </c>
      <c r="X85" s="331">
        <f t="shared" si="21"/>
        <v>472.47773764166686</v>
      </c>
      <c r="Y85" s="331">
        <f t="shared" si="21"/>
        <v>461.31629365802087</v>
      </c>
      <c r="Z85" s="331">
        <f t="shared" si="21"/>
        <v>441.70520399435327</v>
      </c>
      <c r="AA85" s="331">
        <f t="shared" si="21"/>
        <v>446.41869053333329</v>
      </c>
      <c r="AB85" s="331">
        <f t="shared" si="21"/>
        <v>451.42557348733351</v>
      </c>
      <c r="AC85" s="332">
        <f t="shared" si="21"/>
        <v>434.85302592434175</v>
      </c>
      <c r="AD85" s="314"/>
      <c r="AE85" s="314"/>
    </row>
    <row r="86" spans="2:31" ht="19.2" customHeight="1" x14ac:dyDescent="0.3">
      <c r="B86" s="400" t="s">
        <v>426</v>
      </c>
      <c r="C86" s="313"/>
      <c r="D86" s="413"/>
      <c r="E86" s="313"/>
      <c r="F86" s="313"/>
      <c r="G86" s="313"/>
      <c r="H86" s="314"/>
      <c r="I86" s="314"/>
      <c r="J86" s="314"/>
      <c r="K86" s="314"/>
      <c r="L86" s="314"/>
      <c r="M86" s="314"/>
      <c r="N86" s="314"/>
      <c r="O86" s="314"/>
      <c r="P86" s="314"/>
      <c r="Q86" s="314"/>
      <c r="R86" s="314"/>
      <c r="S86" s="412"/>
      <c r="T86" s="315"/>
      <c r="U86" s="315"/>
      <c r="V86" s="315"/>
      <c r="W86" s="315"/>
      <c r="X86" s="315"/>
      <c r="Y86" s="315"/>
      <c r="Z86" s="315"/>
      <c r="AA86" s="315"/>
      <c r="AB86" s="315"/>
      <c r="AC86" s="364"/>
      <c r="AD86" s="314"/>
      <c r="AE86" s="314"/>
    </row>
    <row r="87" spans="2:31" x14ac:dyDescent="0.3">
      <c r="B87" s="396" t="s">
        <v>152</v>
      </c>
      <c r="C87" s="72"/>
      <c r="D87" s="338"/>
      <c r="E87" s="72"/>
      <c r="F87" s="72"/>
      <c r="G87" s="72"/>
      <c r="H87" s="316"/>
      <c r="I87" s="316"/>
      <c r="J87" s="316">
        <f t="shared" ref="J87:AC87" si="22">J14</f>
        <v>64.400000000000006</v>
      </c>
      <c r="K87" s="316">
        <f t="shared" si="22"/>
        <v>23.4</v>
      </c>
      <c r="L87" s="316">
        <f t="shared" si="22"/>
        <v>13.8</v>
      </c>
      <c r="M87" s="316">
        <f t="shared" si="22"/>
        <v>12</v>
      </c>
      <c r="N87" s="316">
        <f t="shared" si="22"/>
        <v>7.5</v>
      </c>
      <c r="O87" s="316">
        <f t="shared" si="22"/>
        <v>10.5</v>
      </c>
      <c r="P87" s="316">
        <f t="shared" si="22"/>
        <v>18</v>
      </c>
      <c r="Q87" s="316">
        <f t="shared" si="22"/>
        <v>15</v>
      </c>
      <c r="R87" s="316">
        <f t="shared" si="22"/>
        <v>11.2</v>
      </c>
      <c r="S87" s="360">
        <f t="shared" si="22"/>
        <v>7.5</v>
      </c>
      <c r="T87" s="317">
        <f t="shared" si="22"/>
        <v>0</v>
      </c>
      <c r="U87" s="317">
        <f t="shared" si="22"/>
        <v>0</v>
      </c>
      <c r="V87" s="317">
        <f t="shared" si="22"/>
        <v>0</v>
      </c>
      <c r="W87" s="317">
        <f t="shared" si="22"/>
        <v>0</v>
      </c>
      <c r="X87" s="317">
        <f t="shared" si="22"/>
        <v>0</v>
      </c>
      <c r="Y87" s="317">
        <f t="shared" si="22"/>
        <v>0</v>
      </c>
      <c r="Z87" s="317">
        <f t="shared" si="22"/>
        <v>0</v>
      </c>
      <c r="AA87" s="317">
        <f t="shared" si="22"/>
        <v>0</v>
      </c>
      <c r="AB87" s="317">
        <f t="shared" si="22"/>
        <v>0</v>
      </c>
      <c r="AC87" s="367">
        <f t="shared" si="22"/>
        <v>0</v>
      </c>
      <c r="AD87" s="316"/>
      <c r="AE87" s="316"/>
    </row>
    <row r="88" spans="2:31" x14ac:dyDescent="0.3">
      <c r="B88" s="396" t="s">
        <v>391</v>
      </c>
      <c r="C88" s="72"/>
      <c r="D88" s="338"/>
      <c r="E88" s="72"/>
      <c r="F88" s="72"/>
      <c r="G88" s="72"/>
      <c r="H88" s="316"/>
      <c r="I88" s="316"/>
      <c r="J88" s="316"/>
      <c r="K88" s="316"/>
      <c r="L88" s="316"/>
      <c r="M88" s="316">
        <f>M40</f>
        <v>9.6666666666666661</v>
      </c>
      <c r="N88" s="316">
        <f t="shared" ref="N88:AC88" si="23">N40</f>
        <v>9.6666666666666661</v>
      </c>
      <c r="O88" s="316">
        <f t="shared" si="23"/>
        <v>9.6666666666666661</v>
      </c>
      <c r="P88" s="316">
        <f t="shared" si="23"/>
        <v>9.6666666666666661</v>
      </c>
      <c r="Q88" s="316">
        <f>Q40</f>
        <v>9.6666666666666661</v>
      </c>
      <c r="R88" s="316">
        <f>R40</f>
        <v>9.6666666666666661</v>
      </c>
      <c r="S88" s="360">
        <f>S40</f>
        <v>9.6666666666666661</v>
      </c>
      <c r="T88" s="317">
        <f t="shared" si="23"/>
        <v>9.6666666666666661</v>
      </c>
      <c r="U88" s="317">
        <f t="shared" si="23"/>
        <v>9.6666666666666661</v>
      </c>
      <c r="V88" s="317">
        <f t="shared" si="23"/>
        <v>9.6666666666666661</v>
      </c>
      <c r="W88" s="317">
        <f t="shared" si="23"/>
        <v>9.6666666666666661</v>
      </c>
      <c r="X88" s="317">
        <f t="shared" si="23"/>
        <v>9.6666666666666661</v>
      </c>
      <c r="Y88" s="317">
        <f t="shared" si="23"/>
        <v>0</v>
      </c>
      <c r="Z88" s="317">
        <f t="shared" si="23"/>
        <v>0</v>
      </c>
      <c r="AA88" s="317">
        <f t="shared" si="23"/>
        <v>0</v>
      </c>
      <c r="AB88" s="317">
        <f t="shared" si="23"/>
        <v>0</v>
      </c>
      <c r="AC88" s="367">
        <f t="shared" si="23"/>
        <v>0</v>
      </c>
      <c r="AD88" s="316"/>
      <c r="AE88" s="316"/>
    </row>
    <row r="89" spans="2:31" x14ac:dyDescent="0.3">
      <c r="B89" s="396" t="s">
        <v>427</v>
      </c>
      <c r="C89" s="72"/>
      <c r="D89" s="338"/>
      <c r="E89" s="72"/>
      <c r="F89" s="72"/>
      <c r="G89" s="72"/>
      <c r="H89" s="316"/>
      <c r="I89" s="316"/>
      <c r="J89" s="316"/>
      <c r="K89" s="316"/>
      <c r="L89" s="316"/>
      <c r="M89" s="316">
        <f t="shared" ref="M89:AC89" si="24">M16</f>
        <v>12</v>
      </c>
      <c r="N89" s="316">
        <f t="shared" si="24"/>
        <v>12</v>
      </c>
      <c r="O89" s="316">
        <f t="shared" si="24"/>
        <v>12</v>
      </c>
      <c r="P89" s="316">
        <f t="shared" si="24"/>
        <v>12</v>
      </c>
      <c r="Q89" s="316">
        <f t="shared" si="24"/>
        <v>12</v>
      </c>
      <c r="R89" s="316">
        <f t="shared" si="24"/>
        <v>12</v>
      </c>
      <c r="S89" s="360">
        <f t="shared" si="24"/>
        <v>12</v>
      </c>
      <c r="T89" s="317">
        <f t="shared" si="24"/>
        <v>12</v>
      </c>
      <c r="U89" s="317">
        <f t="shared" si="24"/>
        <v>12</v>
      </c>
      <c r="V89" s="317">
        <f t="shared" si="24"/>
        <v>12</v>
      </c>
      <c r="W89" s="317">
        <f t="shared" si="24"/>
        <v>12</v>
      </c>
      <c r="X89" s="317">
        <f t="shared" si="24"/>
        <v>12</v>
      </c>
      <c r="Y89" s="317">
        <f t="shared" si="24"/>
        <v>0</v>
      </c>
      <c r="Z89" s="317">
        <f t="shared" si="24"/>
        <v>0</v>
      </c>
      <c r="AA89" s="317">
        <f t="shared" si="24"/>
        <v>0</v>
      </c>
      <c r="AB89" s="317">
        <f t="shared" si="24"/>
        <v>0</v>
      </c>
      <c r="AC89" s="367">
        <f t="shared" si="24"/>
        <v>0</v>
      </c>
      <c r="AD89" s="316"/>
      <c r="AE89" s="316"/>
    </row>
    <row r="90" spans="2:31" x14ac:dyDescent="0.3">
      <c r="B90" s="396" t="s">
        <v>428</v>
      </c>
      <c r="C90" s="72"/>
      <c r="D90" s="338"/>
      <c r="E90" s="72"/>
      <c r="F90" s="72"/>
      <c r="G90" s="72"/>
      <c r="H90" s="53">
        <f t="shared" ref="H90:AC90" si="25">H20</f>
        <v>205.80500000000001</v>
      </c>
      <c r="I90" s="53">
        <f t="shared" si="25"/>
        <v>210.29200000000003</v>
      </c>
      <c r="J90" s="53">
        <f t="shared" si="25"/>
        <v>197.48400000000004</v>
      </c>
      <c r="K90" s="53">
        <f t="shared" si="25"/>
        <v>213.12000000000006</v>
      </c>
      <c r="L90" s="53">
        <f t="shared" si="25"/>
        <v>215.54199999999997</v>
      </c>
      <c r="M90" s="53">
        <f t="shared" si="25"/>
        <v>213.11233333333337</v>
      </c>
      <c r="N90" s="53">
        <f t="shared" si="25"/>
        <v>224.76033333333339</v>
      </c>
      <c r="O90" s="53">
        <f t="shared" si="25"/>
        <v>222.12433333333337</v>
      </c>
      <c r="P90" s="53">
        <f t="shared" si="25"/>
        <v>250.09733333333338</v>
      </c>
      <c r="Q90" s="53">
        <f t="shared" si="25"/>
        <v>253.39533333333327</v>
      </c>
      <c r="R90" s="53">
        <f t="shared" si="25"/>
        <v>266.9323333333333</v>
      </c>
      <c r="S90" s="414">
        <f t="shared" si="25"/>
        <v>265.62533333333334</v>
      </c>
      <c r="T90" s="318">
        <f t="shared" si="25"/>
        <v>268.24264773237206</v>
      </c>
      <c r="U90" s="318">
        <f t="shared" si="25"/>
        <v>270.88575159425096</v>
      </c>
      <c r="V90" s="318">
        <f t="shared" si="25"/>
        <v>273.55489903303209</v>
      </c>
      <c r="W90" s="318">
        <f t="shared" si="25"/>
        <v>276.25034666666664</v>
      </c>
      <c r="X90" s="318">
        <f t="shared" si="25"/>
        <v>278.97235364166687</v>
      </c>
      <c r="Y90" s="318">
        <f t="shared" si="25"/>
        <v>281.7211816580209</v>
      </c>
      <c r="Z90" s="318">
        <f t="shared" si="25"/>
        <v>284.49709499435329</v>
      </c>
      <c r="AA90" s="318">
        <f t="shared" si="25"/>
        <v>287.30036053333328</v>
      </c>
      <c r="AB90" s="318">
        <f t="shared" si="25"/>
        <v>290.13124778733351</v>
      </c>
      <c r="AC90" s="365">
        <f t="shared" si="25"/>
        <v>292.99002892434174</v>
      </c>
      <c r="AD90" s="53"/>
      <c r="AE90" s="53"/>
    </row>
    <row r="91" spans="2:31" x14ac:dyDescent="0.3">
      <c r="B91" s="379" t="s">
        <v>1282</v>
      </c>
      <c r="C91" s="72"/>
      <c r="D91" s="338"/>
      <c r="E91" s="72"/>
      <c r="F91" s="72"/>
      <c r="G91" s="72"/>
      <c r="H91" s="53"/>
      <c r="I91" s="53"/>
      <c r="J91" s="53"/>
      <c r="K91" s="53"/>
      <c r="L91" s="53"/>
      <c r="M91" s="53"/>
      <c r="N91" s="53"/>
      <c r="O91" s="53"/>
      <c r="P91" s="53"/>
      <c r="Q91" s="53"/>
      <c r="R91" s="53"/>
      <c r="S91" s="417">
        <f>'IRA and CHIPS'!E184</f>
        <v>0</v>
      </c>
      <c r="T91" s="319">
        <f>'IRA and CHIPS'!F184</f>
        <v>6.8000000000000005E-2</v>
      </c>
      <c r="U91" s="319">
        <f>'IRA and CHIPS'!G184</f>
        <v>6.8000000000000005E-2</v>
      </c>
      <c r="V91" s="319">
        <f>'IRA and CHIPS'!H184</f>
        <v>6.8000000000000005E-2</v>
      </c>
      <c r="W91" s="319">
        <f>'IRA and CHIPS'!I184</f>
        <v>6.8000000000000005E-2</v>
      </c>
      <c r="X91" s="319">
        <f>'IRA and CHIPS'!J184</f>
        <v>1.363</v>
      </c>
      <c r="Y91" s="319">
        <f>'IRA and CHIPS'!K184</f>
        <v>1.363</v>
      </c>
      <c r="Z91" s="319">
        <f>'IRA and CHIPS'!L184</f>
        <v>1.363</v>
      </c>
      <c r="AA91" s="319">
        <f>'IRA and CHIPS'!M184</f>
        <v>1.363</v>
      </c>
      <c r="AB91" s="319">
        <f>'IRA and CHIPS'!N184</f>
        <v>2.4329999999999998</v>
      </c>
      <c r="AC91" s="319">
        <f>'IRA and CHIPS'!O184</f>
        <v>2.4329999999999998</v>
      </c>
      <c r="AD91" s="53"/>
      <c r="AE91" s="53"/>
    </row>
    <row r="92" spans="2:31" ht="14.7" customHeight="1" x14ac:dyDescent="0.3">
      <c r="B92" s="366" t="s">
        <v>429</v>
      </c>
      <c r="C92" s="72"/>
      <c r="D92" s="338"/>
      <c r="E92" s="72"/>
      <c r="F92" s="72"/>
      <c r="G92" s="72"/>
      <c r="H92" s="316"/>
      <c r="I92" s="316"/>
      <c r="J92" s="316"/>
      <c r="K92" s="316"/>
      <c r="L92" s="316"/>
      <c r="M92" s="316"/>
      <c r="N92" s="316"/>
      <c r="O92" s="316"/>
      <c r="P92" s="316"/>
      <c r="Q92" s="316"/>
      <c r="R92" s="316"/>
      <c r="S92" s="360"/>
      <c r="T92" s="317"/>
      <c r="U92" s="317"/>
      <c r="V92" s="317"/>
      <c r="W92" s="317"/>
      <c r="X92" s="317"/>
      <c r="Y92" s="317"/>
      <c r="Z92" s="317"/>
      <c r="AA92" s="317"/>
      <c r="AB92" s="317"/>
      <c r="AC92" s="367"/>
      <c r="AD92" s="316"/>
      <c r="AE92" s="316"/>
    </row>
    <row r="93" spans="2:31" ht="14.7" customHeight="1" x14ac:dyDescent="0.3">
      <c r="B93" s="396" t="s">
        <v>150</v>
      </c>
      <c r="C93" s="72"/>
      <c r="D93" s="338"/>
      <c r="E93" s="72"/>
      <c r="F93" s="72"/>
      <c r="G93" s="72"/>
      <c r="H93" s="316"/>
      <c r="I93" s="316"/>
      <c r="J93" s="316">
        <f t="shared" ref="J93:S93" si="26">J13</f>
        <v>28.4</v>
      </c>
      <c r="K93" s="316">
        <f t="shared" si="26"/>
        <v>15.8</v>
      </c>
      <c r="L93" s="316">
        <f t="shared" si="26"/>
        <v>15.2</v>
      </c>
      <c r="M93" s="316">
        <f t="shared" si="26"/>
        <v>28.9</v>
      </c>
      <c r="N93" s="316">
        <f t="shared" si="26"/>
        <v>67.599999999999994</v>
      </c>
      <c r="O93" s="316">
        <f t="shared" si="26"/>
        <v>80.7</v>
      </c>
      <c r="P93" s="316">
        <f t="shared" si="26"/>
        <v>87.2</v>
      </c>
      <c r="Q93" s="316">
        <f t="shared" si="26"/>
        <v>72.400000000000006</v>
      </c>
      <c r="R93" s="316">
        <f t="shared" si="26"/>
        <v>85.9</v>
      </c>
      <c r="S93" s="300">
        <f t="shared" si="26"/>
        <v>68.3</v>
      </c>
      <c r="T93" s="317">
        <f>T37+T41+'ARP Quarterly'!J28</f>
        <v>62.851310333333302</v>
      </c>
      <c r="U93" s="317">
        <f>U37+U41+'ARP Quarterly'!K28</f>
        <v>55.516469333333305</v>
      </c>
      <c r="V93" s="317">
        <f>V37+V41+'ARP Quarterly'!L28</f>
        <v>58.594257333333303</v>
      </c>
      <c r="W93" s="317">
        <f>W37+W41+'ARP Quarterly'!M28</f>
        <v>61.672045333333294</v>
      </c>
      <c r="X93" s="317">
        <f>X37+X41+'ARP Quarterly'!N28</f>
        <v>63.261773333333295</v>
      </c>
      <c r="Y93" s="317">
        <f>Y37+Y41+'ARP Quarterly'!O28</f>
        <v>61.518167999999996</v>
      </c>
      <c r="Z93" s="317">
        <f>Z37+Z41+'ARP Quarterly'!P28</f>
        <v>44.428388999999996</v>
      </c>
      <c r="AA93" s="317">
        <f>AA37+AA41+'ARP Quarterly'!Q28</f>
        <v>46.338610000000003</v>
      </c>
      <c r="AB93" s="317">
        <f>AB37+AB41+'ARP Quarterly'!R28</f>
        <v>47.279744500000007</v>
      </c>
      <c r="AC93" s="367">
        <f>AC37+AC41+'ARP Quarterly'!S28</f>
        <v>46.283419000000009</v>
      </c>
      <c r="AD93" s="316"/>
      <c r="AE93" s="316"/>
    </row>
    <row r="94" spans="2:31" x14ac:dyDescent="0.3">
      <c r="B94" s="396" t="s">
        <v>149</v>
      </c>
      <c r="C94" s="53"/>
      <c r="D94" s="415"/>
      <c r="E94" s="53"/>
      <c r="F94" s="53"/>
      <c r="G94" s="53"/>
      <c r="H94" s="316"/>
      <c r="I94" s="316"/>
      <c r="J94" s="316">
        <v>35</v>
      </c>
      <c r="K94" s="316">
        <v>45</v>
      </c>
      <c r="L94" s="316">
        <v>45</v>
      </c>
      <c r="M94" s="316">
        <v>40</v>
      </c>
      <c r="N94" s="316">
        <v>40</v>
      </c>
      <c r="O94" s="316">
        <v>40</v>
      </c>
      <c r="P94" s="316">
        <v>40</v>
      </c>
      <c r="Q94" s="316">
        <v>50</v>
      </c>
      <c r="R94" s="316">
        <v>50</v>
      </c>
      <c r="S94" s="360">
        <v>50</v>
      </c>
      <c r="T94" s="317">
        <v>50</v>
      </c>
      <c r="U94" s="317">
        <v>40</v>
      </c>
      <c r="V94" s="317">
        <v>30</v>
      </c>
      <c r="W94" s="317">
        <v>20</v>
      </c>
      <c r="X94" s="317">
        <v>15</v>
      </c>
      <c r="Y94" s="317">
        <v>10</v>
      </c>
      <c r="Z94" s="317"/>
      <c r="AA94" s="317"/>
      <c r="AB94" s="317"/>
      <c r="AC94" s="367"/>
      <c r="AD94" s="202">
        <f>SUM(O94:AC94)</f>
        <v>395</v>
      </c>
    </row>
    <row r="95" spans="2:31" ht="28.5" customHeight="1" x14ac:dyDescent="0.3">
      <c r="B95" s="322" t="s">
        <v>430</v>
      </c>
      <c r="C95" s="342"/>
      <c r="D95" s="340"/>
      <c r="E95" s="342"/>
      <c r="F95" s="342"/>
      <c r="G95" s="342"/>
      <c r="H95" s="359"/>
      <c r="I95" s="359"/>
      <c r="J95" s="359"/>
      <c r="K95" s="359"/>
      <c r="L95" s="359"/>
      <c r="M95" s="359"/>
      <c r="N95" s="359">
        <f>'ARP Quarterly'!D47</f>
        <v>0</v>
      </c>
      <c r="O95" s="359">
        <f>'ARP Quarterly'!E47</f>
        <v>0</v>
      </c>
      <c r="P95" s="359">
        <f>'ARP Quarterly'!F47</f>
        <v>34.620851999999999</v>
      </c>
      <c r="Q95" s="359">
        <f>'ARP Quarterly'!G47</f>
        <v>50.996274799999995</v>
      </c>
      <c r="R95" s="359">
        <f>'ARP Quarterly'!H47</f>
        <v>69.350031999999999</v>
      </c>
      <c r="S95" s="376">
        <f>'ARP Quarterly'!I47</f>
        <v>79.295867999999999</v>
      </c>
      <c r="T95" s="381">
        <f>'ARP Quarterly'!J47</f>
        <v>80.538927999999999</v>
      </c>
      <c r="U95" s="381">
        <f>'ARP Quarterly'!K47</f>
        <v>80.122543199999996</v>
      </c>
      <c r="V95" s="381">
        <f>'ARP Quarterly'!L47</f>
        <v>88.916719999999998</v>
      </c>
      <c r="W95" s="381">
        <f>'ARP Quarterly'!M47</f>
        <v>92.213943999999998</v>
      </c>
      <c r="X95" s="381">
        <f>'ARP Quarterly'!N47</f>
        <v>92.213943999999998</v>
      </c>
      <c r="Y95" s="381">
        <f>'ARP Quarterly'!O47</f>
        <v>94.213943999999998</v>
      </c>
      <c r="Z95" s="381">
        <f>'ARP Quarterly'!P47</f>
        <v>98.916719999999998</v>
      </c>
      <c r="AA95" s="381">
        <f>'ARP Quarterly'!Q47</f>
        <v>98.916719999999998</v>
      </c>
      <c r="AB95" s="381">
        <f>'ARP Quarterly'!R47</f>
        <v>99.081581199999988</v>
      </c>
      <c r="AC95" s="382">
        <f>'ARP Quarterly'!S47</f>
        <v>93.146578000000005</v>
      </c>
      <c r="AD95" s="361"/>
    </row>
    <row r="96" spans="2:31" ht="55.2" customHeight="1" x14ac:dyDescent="0.3">
      <c r="B96" s="333" t="s">
        <v>900</v>
      </c>
      <c r="C96" s="334"/>
      <c r="D96" s="264"/>
      <c r="E96" s="264"/>
      <c r="F96" s="264"/>
      <c r="G96" s="264"/>
      <c r="H96" s="264"/>
      <c r="I96" s="264"/>
      <c r="J96" s="264"/>
      <c r="K96" s="264"/>
      <c r="L96" s="264"/>
      <c r="M96" s="264"/>
      <c r="N96" s="264"/>
      <c r="O96" s="264"/>
      <c r="P96" s="264">
        <v>-50</v>
      </c>
      <c r="Q96" s="264">
        <v>-25</v>
      </c>
      <c r="R96" s="264"/>
      <c r="S96" s="264"/>
      <c r="T96" s="334"/>
      <c r="U96" s="334"/>
      <c r="V96" s="334"/>
      <c r="W96" s="334"/>
      <c r="X96" s="334"/>
      <c r="Y96" s="334">
        <v>12.5</v>
      </c>
      <c r="Z96" s="334">
        <v>12.5</v>
      </c>
      <c r="AA96" s="334">
        <v>12.5</v>
      </c>
      <c r="AB96" s="334">
        <v>12.5</v>
      </c>
      <c r="AC96" s="335"/>
    </row>
    <row r="97" spans="2:31" ht="12.75" customHeight="1" x14ac:dyDescent="0.3"/>
    <row r="98" spans="2:31" ht="12.75" customHeight="1" x14ac:dyDescent="0.3"/>
    <row r="99" spans="2:31" ht="12.75" customHeight="1" x14ac:dyDescent="0.3"/>
    <row r="100" spans="2:31" ht="12.75" customHeight="1" x14ac:dyDescent="0.3"/>
    <row r="101" spans="2:31" ht="12.75" customHeight="1" x14ac:dyDescent="0.3"/>
    <row r="102" spans="2:31" ht="12.75" customHeight="1" x14ac:dyDescent="0.3"/>
    <row r="103" spans="2:31" ht="12.75" customHeight="1" x14ac:dyDescent="0.3"/>
    <row r="104" spans="2:31" ht="12.75" customHeight="1" x14ac:dyDescent="0.3"/>
    <row r="105" spans="2:31" ht="12.75" customHeight="1" x14ac:dyDescent="0.3"/>
    <row r="106" spans="2:31" ht="12.75" customHeight="1" x14ac:dyDescent="0.3"/>
    <row r="107" spans="2:31" ht="12.75" customHeight="1" x14ac:dyDescent="0.3"/>
    <row r="108" spans="2:31" ht="12.75" customHeight="1" x14ac:dyDescent="0.3"/>
    <row r="110" spans="2:31" x14ac:dyDescent="0.3">
      <c r="B110" s="1146" t="s">
        <v>134</v>
      </c>
      <c r="C110" s="1146"/>
      <c r="D110" s="1146"/>
      <c r="E110" s="1146"/>
      <c r="F110" s="1146"/>
      <c r="G110" s="1146"/>
      <c r="H110" s="1146"/>
      <c r="I110" s="1146"/>
      <c r="J110" s="1146"/>
      <c r="K110" s="1146"/>
      <c r="L110" s="1146"/>
      <c r="M110" s="1146"/>
      <c r="N110" s="1146"/>
      <c r="O110" s="1146"/>
      <c r="P110" s="1146"/>
      <c r="Q110" s="1146"/>
      <c r="R110" s="1146"/>
      <c r="S110" s="1146"/>
      <c r="T110" s="1146"/>
      <c r="U110" s="1146"/>
      <c r="V110" s="1146"/>
      <c r="W110" s="1146"/>
      <c r="X110" s="1146"/>
      <c r="Y110" s="1146"/>
      <c r="Z110" s="140"/>
      <c r="AA110" s="140"/>
      <c r="AB110" s="140"/>
      <c r="AC110" s="140"/>
      <c r="AD110" s="136"/>
      <c r="AE110" s="136"/>
    </row>
    <row r="111" spans="2:31" ht="19.2" customHeight="1" x14ac:dyDescent="0.3">
      <c r="B111" s="1174" t="s">
        <v>431</v>
      </c>
      <c r="C111" s="1174"/>
      <c r="D111" s="1174"/>
      <c r="E111" s="1174"/>
      <c r="F111" s="1174"/>
      <c r="G111" s="1174"/>
      <c r="H111" s="1174"/>
      <c r="I111" s="1174"/>
      <c r="J111" s="1174"/>
      <c r="K111" s="1174"/>
      <c r="L111" s="1174"/>
      <c r="M111" s="1174"/>
      <c r="N111" s="1174"/>
      <c r="O111" s="1174"/>
      <c r="P111" s="1174"/>
      <c r="Q111" s="1174"/>
      <c r="R111" s="1174"/>
      <c r="S111" s="1174"/>
      <c r="T111" s="1174"/>
      <c r="U111" s="1174"/>
      <c r="V111" s="1174"/>
      <c r="W111" s="1174"/>
      <c r="X111" s="1174"/>
      <c r="Y111" s="1174"/>
      <c r="Z111" s="1174"/>
      <c r="AA111" s="1174"/>
      <c r="AB111" s="1174"/>
      <c r="AC111" s="1174"/>
      <c r="AD111" s="240"/>
      <c r="AE111" s="240"/>
    </row>
    <row r="112" spans="2:31" ht="11.7" customHeight="1" x14ac:dyDescent="0.3">
      <c r="B112" s="139"/>
      <c r="C112" s="139"/>
      <c r="D112" s="139"/>
      <c r="E112" s="139"/>
      <c r="F112" s="139"/>
      <c r="G112" s="139"/>
      <c r="H112" s="139"/>
      <c r="I112" s="139"/>
      <c r="J112" s="139"/>
      <c r="K112" s="139"/>
      <c r="L112" s="139"/>
      <c r="M112" s="139"/>
      <c r="V112" s="138"/>
      <c r="W112" s="138"/>
      <c r="X112" s="138"/>
      <c r="Y112" s="138"/>
      <c r="Z112" s="138"/>
      <c r="AA112" s="138"/>
      <c r="AB112" s="138"/>
      <c r="AC112" s="138"/>
      <c r="AD112" s="138"/>
      <c r="AE112" s="138"/>
    </row>
    <row r="113" spans="2:31" ht="14.7" customHeight="1" x14ac:dyDescent="0.3">
      <c r="B113" s="1175" t="s">
        <v>324</v>
      </c>
      <c r="C113" s="1159"/>
      <c r="D113" s="1157" t="s">
        <v>325</v>
      </c>
      <c r="E113" s="1157"/>
      <c r="F113" s="1157"/>
      <c r="G113" s="1157"/>
      <c r="H113" s="1157"/>
      <c r="I113" s="1157"/>
      <c r="J113" s="1157"/>
      <c r="K113" s="1157"/>
      <c r="L113" s="1157"/>
      <c r="M113" s="1157"/>
      <c r="N113" s="1157"/>
      <c r="O113" s="1157"/>
      <c r="P113" s="1157"/>
      <c r="Q113" s="1158"/>
      <c r="R113" s="1158"/>
      <c r="S113" s="146"/>
      <c r="T113" s="1183" t="s">
        <v>326</v>
      </c>
      <c r="U113" s="1184"/>
      <c r="V113" s="1184"/>
      <c r="W113" s="1184"/>
      <c r="X113" s="1184"/>
      <c r="Y113" s="1184"/>
      <c r="Z113" s="1184"/>
      <c r="AA113" s="1184"/>
      <c r="AB113" s="1184"/>
      <c r="AC113" s="1185"/>
      <c r="AD113" s="136"/>
      <c r="AE113" s="136"/>
    </row>
    <row r="114" spans="2:31" x14ac:dyDescent="0.3">
      <c r="B114" s="1176"/>
      <c r="C114" s="1177"/>
      <c r="D114" s="142">
        <v>2018</v>
      </c>
      <c r="E114" s="1147">
        <v>2019</v>
      </c>
      <c r="F114" s="1148"/>
      <c r="G114" s="1148"/>
      <c r="H114" s="1155"/>
      <c r="I114" s="1147">
        <v>2020</v>
      </c>
      <c r="J114" s="1148"/>
      <c r="K114" s="1148"/>
      <c r="L114" s="1148"/>
      <c r="M114" s="1147">
        <v>2021</v>
      </c>
      <c r="N114" s="1148"/>
      <c r="O114" s="1148"/>
      <c r="P114" s="1148"/>
      <c r="Q114" s="1181">
        <v>2022</v>
      </c>
      <c r="R114" s="1182"/>
      <c r="S114" s="252"/>
      <c r="T114" s="187"/>
      <c r="U114" s="1178">
        <v>2023</v>
      </c>
      <c r="V114" s="1179"/>
      <c r="W114" s="1179"/>
      <c r="X114" s="1179"/>
      <c r="Y114" s="1178">
        <v>2024</v>
      </c>
      <c r="Z114" s="1179"/>
      <c r="AA114" s="1179"/>
      <c r="AB114" s="1180"/>
      <c r="AC114" s="258">
        <v>2025</v>
      </c>
      <c r="AD114" s="138"/>
      <c r="AE114" s="138"/>
    </row>
    <row r="115" spans="2:31" x14ac:dyDescent="0.3">
      <c r="B115" s="1176"/>
      <c r="C115" s="1177"/>
      <c r="D115" s="175" t="s">
        <v>327</v>
      </c>
      <c r="E115" s="173" t="s">
        <v>328</v>
      </c>
      <c r="F115" s="175" t="s">
        <v>329</v>
      </c>
      <c r="G115" s="175" t="s">
        <v>238</v>
      </c>
      <c r="H115" s="155" t="s">
        <v>327</v>
      </c>
      <c r="I115" s="175" t="s">
        <v>328</v>
      </c>
      <c r="J115" s="175" t="s">
        <v>329</v>
      </c>
      <c r="K115" s="175" t="s">
        <v>238</v>
      </c>
      <c r="L115" s="175" t="s">
        <v>327</v>
      </c>
      <c r="M115" s="173" t="s">
        <v>328</v>
      </c>
      <c r="N115" s="175" t="s">
        <v>329</v>
      </c>
      <c r="O115" s="175" t="s">
        <v>238</v>
      </c>
      <c r="P115" s="175" t="s">
        <v>327</v>
      </c>
      <c r="Q115" s="173" t="s">
        <v>328</v>
      </c>
      <c r="R115" s="175" t="s">
        <v>329</v>
      </c>
      <c r="S115" s="155" t="s">
        <v>238</v>
      </c>
      <c r="T115" s="273" t="s">
        <v>327</v>
      </c>
      <c r="U115" s="273" t="s">
        <v>328</v>
      </c>
      <c r="V115" s="274" t="s">
        <v>329</v>
      </c>
      <c r="W115" s="274" t="s">
        <v>238</v>
      </c>
      <c r="X115" s="274" t="s">
        <v>327</v>
      </c>
      <c r="Y115" s="273" t="s">
        <v>328</v>
      </c>
      <c r="Z115" s="269" t="s">
        <v>329</v>
      </c>
      <c r="AA115" s="274" t="s">
        <v>238</v>
      </c>
      <c r="AB115" s="275" t="s">
        <v>327</v>
      </c>
      <c r="AC115" s="277" t="s">
        <v>328</v>
      </c>
      <c r="AD115" s="138"/>
      <c r="AE115" s="138"/>
    </row>
    <row r="116" spans="2:31" ht="14.55" customHeight="1" x14ac:dyDescent="0.3">
      <c r="B116" s="406" t="s">
        <v>432</v>
      </c>
      <c r="C116" s="308" t="s">
        <v>433</v>
      </c>
      <c r="D116" s="407"/>
      <c r="E116" s="407"/>
      <c r="F116" s="407"/>
      <c r="G116" s="407"/>
      <c r="H116" s="248">
        <f>'Haver Pivoted'!GS41</f>
        <v>72.367000000000004</v>
      </c>
      <c r="I116" s="248">
        <f>'Haver Pivoted'!GT41</f>
        <v>75.578999999999994</v>
      </c>
      <c r="J116" s="248">
        <f>'Haver Pivoted'!GU41</f>
        <v>76.015000000000001</v>
      </c>
      <c r="K116" s="248">
        <f>'Haver Pivoted'!GV41</f>
        <v>78.872</v>
      </c>
      <c r="L116" s="248">
        <f>'Haver Pivoted'!GW41</f>
        <v>75.819000000000003</v>
      </c>
      <c r="M116" s="248">
        <f>'Haver Pivoted'!GX41</f>
        <v>73.662000000000006</v>
      </c>
      <c r="N116" s="248">
        <f>'Haver Pivoted'!GY41</f>
        <v>75.066000000000003</v>
      </c>
      <c r="O116" s="248">
        <f>'Haver Pivoted'!GZ41</f>
        <v>69.344999999999999</v>
      </c>
      <c r="P116" s="248">
        <f>'Haver Pivoted'!HA41</f>
        <v>72.477000000000004</v>
      </c>
      <c r="Q116" s="248">
        <f>'Haver Pivoted'!HB41</f>
        <v>72.528999999999996</v>
      </c>
      <c r="R116" s="248">
        <f t="shared" ref="R116:S116" si="27">AVERAGE($H$116:$N$116)</f>
        <v>75.340000000000018</v>
      </c>
      <c r="S116" s="248">
        <f t="shared" si="27"/>
        <v>75.340000000000018</v>
      </c>
      <c r="T116" s="408">
        <f t="shared" ref="T116:AC116" si="28">AVERAGE($H$116:$N$116)+T117</f>
        <v>76.15900000000002</v>
      </c>
      <c r="U116" s="408">
        <f t="shared" si="28"/>
        <v>76.15900000000002</v>
      </c>
      <c r="V116" s="408">
        <f t="shared" si="28"/>
        <v>76.15900000000002</v>
      </c>
      <c r="W116" s="408">
        <f t="shared" si="28"/>
        <v>76.15900000000002</v>
      </c>
      <c r="X116" s="408">
        <f t="shared" si="28"/>
        <v>77.818000000000012</v>
      </c>
      <c r="Y116" s="408">
        <f t="shared" si="28"/>
        <v>77.818000000000012</v>
      </c>
      <c r="Z116" s="408">
        <f t="shared" si="28"/>
        <v>77.818000000000012</v>
      </c>
      <c r="AA116" s="408">
        <f t="shared" si="28"/>
        <v>77.818000000000012</v>
      </c>
      <c r="AB116" s="408">
        <f t="shared" si="28"/>
        <v>79.41200000000002</v>
      </c>
      <c r="AC116" s="408">
        <f t="shared" si="28"/>
        <v>79.41200000000002</v>
      </c>
      <c r="AD116" s="248"/>
      <c r="AE116" s="248"/>
    </row>
    <row r="117" spans="2:31" x14ac:dyDescent="0.3">
      <c r="B117" s="409" t="s">
        <v>1281</v>
      </c>
      <c r="C117" s="294"/>
      <c r="D117" s="38"/>
      <c r="E117" s="38"/>
      <c r="F117" s="38"/>
      <c r="G117" s="38"/>
      <c r="H117" s="38"/>
      <c r="I117" s="38"/>
      <c r="J117" s="38"/>
      <c r="K117" s="38"/>
      <c r="L117" s="38"/>
      <c r="M117" s="38"/>
      <c r="N117" s="38"/>
      <c r="O117" s="38"/>
      <c r="P117" s="38"/>
      <c r="Q117" s="38"/>
      <c r="R117" s="38"/>
      <c r="S117" s="309">
        <f>'IRA and CHIPS'!E185</f>
        <v>0</v>
      </c>
      <c r="T117" s="320">
        <f>'IRA and CHIPS'!F185</f>
        <v>0.81899999999999995</v>
      </c>
      <c r="U117" s="320">
        <f>'IRA and CHIPS'!G185</f>
        <v>0.81899999999999995</v>
      </c>
      <c r="V117" s="320">
        <f>'IRA and CHIPS'!H185</f>
        <v>0.81899999999999995</v>
      </c>
      <c r="W117" s="320">
        <f>'IRA and CHIPS'!I185</f>
        <v>0.81899999999999995</v>
      </c>
      <c r="X117" s="320">
        <f>'IRA and CHIPS'!J185</f>
        <v>2.4780000000000002</v>
      </c>
      <c r="Y117" s="320">
        <f>'IRA and CHIPS'!K185</f>
        <v>2.4780000000000002</v>
      </c>
      <c r="Z117" s="320">
        <f>'IRA and CHIPS'!L185</f>
        <v>2.4780000000000002</v>
      </c>
      <c r="AA117" s="320">
        <f>'IRA and CHIPS'!M185</f>
        <v>2.4780000000000002</v>
      </c>
      <c r="AB117" s="320">
        <f>'IRA and CHIPS'!N185</f>
        <v>4.0720000000000001</v>
      </c>
      <c r="AC117" s="320">
        <f>'IRA and CHIPS'!O185</f>
        <v>4.0720000000000001</v>
      </c>
    </row>
    <row r="118" spans="2:31" ht="18.75" customHeight="1" x14ac:dyDescent="0.3"/>
    <row r="119" spans="2:31" ht="21.75" customHeight="1" x14ac:dyDescent="0.3"/>
  </sheetData>
  <mergeCells count="42">
    <mergeCell ref="B1:Y1"/>
    <mergeCell ref="B6:C8"/>
    <mergeCell ref="I7:L7"/>
    <mergeCell ref="AD6:AD8"/>
    <mergeCell ref="AE6:AE8"/>
    <mergeCell ref="U7:X7"/>
    <mergeCell ref="E7:H7"/>
    <mergeCell ref="Y7:AB7"/>
    <mergeCell ref="Q7:R7"/>
    <mergeCell ref="B2:AC4"/>
    <mergeCell ref="M7:P7"/>
    <mergeCell ref="AE35:AF35"/>
    <mergeCell ref="AE39:AF40"/>
    <mergeCell ref="AE45:AF45"/>
    <mergeCell ref="B34:AC34"/>
    <mergeCell ref="Q83:R83"/>
    <mergeCell ref="Q58:AH58"/>
    <mergeCell ref="Q59:S59"/>
    <mergeCell ref="T59:Y59"/>
    <mergeCell ref="AD59:AG59"/>
    <mergeCell ref="T113:AC113"/>
    <mergeCell ref="E114:H114"/>
    <mergeCell ref="T82:AC82"/>
    <mergeCell ref="Y114:AB114"/>
    <mergeCell ref="M114:P114"/>
    <mergeCell ref="U114:X114"/>
    <mergeCell ref="A76:A77"/>
    <mergeCell ref="D82:S82"/>
    <mergeCell ref="T6:AC6"/>
    <mergeCell ref="D6:S6"/>
    <mergeCell ref="Q114:R114"/>
    <mergeCell ref="D113:R113"/>
    <mergeCell ref="B111:AC111"/>
    <mergeCell ref="Y83:AB83"/>
    <mergeCell ref="B82:C84"/>
    <mergeCell ref="I83:L83"/>
    <mergeCell ref="U83:X83"/>
    <mergeCell ref="B110:Y110"/>
    <mergeCell ref="E83:H83"/>
    <mergeCell ref="M83:P83"/>
    <mergeCell ref="B113:C115"/>
    <mergeCell ref="I114:L114"/>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B1:BF79"/>
  <sheetViews>
    <sheetView topLeftCell="C25" zoomScale="85" zoomScaleNormal="85" workbookViewId="0">
      <selection activeCell="O37" sqref="O37"/>
    </sheetView>
  </sheetViews>
  <sheetFormatPr defaultColWidth="11.5546875" defaultRowHeight="14.4" x14ac:dyDescent="0.3"/>
  <cols>
    <col min="2" max="2" width="56.77734375" customWidth="1"/>
    <col min="3" max="3" width="18" customWidth="1"/>
    <col min="4" max="7" width="10" customWidth="1"/>
    <col min="8" max="8" width="14.21875" customWidth="1"/>
    <col min="9" max="9" width="10.21875" customWidth="1"/>
    <col min="10" max="10" width="11.77734375" customWidth="1"/>
    <col min="11" max="11" width="13.44140625" customWidth="1"/>
    <col min="12" max="12" width="11.44140625" customWidth="1"/>
    <col min="13" max="13" width="12" customWidth="1"/>
    <col min="14" max="14" width="9" customWidth="1"/>
    <col min="15" max="16" width="10.21875" customWidth="1"/>
    <col min="17" max="17" width="12.21875" customWidth="1"/>
    <col min="18" max="18" width="10" customWidth="1"/>
    <col min="19" max="19" width="9" customWidth="1"/>
    <col min="20" max="26" width="8.77734375" customWidth="1"/>
    <col min="39" max="39" width="31.77734375" customWidth="1"/>
    <col min="41" max="41" width="10.21875" customWidth="1"/>
  </cols>
  <sheetData>
    <row r="1" spans="2:39" ht="20.25" customHeight="1" x14ac:dyDescent="0.3">
      <c r="B1" s="1146" t="s">
        <v>434</v>
      </c>
      <c r="C1" s="1146"/>
      <c r="D1" s="1146"/>
      <c r="E1" s="1146"/>
      <c r="F1" s="1146"/>
      <c r="G1" s="1146"/>
      <c r="H1" s="1146"/>
      <c r="I1" s="1146"/>
      <c r="J1" s="1146"/>
      <c r="K1" s="1146"/>
      <c r="L1" s="1146"/>
      <c r="M1" s="1146"/>
      <c r="N1" s="1146"/>
      <c r="O1" s="1146"/>
      <c r="P1" s="1146"/>
      <c r="Q1" s="1146"/>
      <c r="R1" s="1146"/>
      <c r="S1" s="1146"/>
      <c r="T1" s="1146"/>
      <c r="U1" s="1146"/>
      <c r="V1" s="1146"/>
      <c r="W1" s="1146"/>
      <c r="X1" s="1146"/>
      <c r="Y1" s="1146"/>
      <c r="Z1" s="1146"/>
      <c r="AA1" s="1146"/>
      <c r="AB1" s="1146"/>
      <c r="AC1" s="1146"/>
    </row>
    <row r="2" spans="2:39" ht="14.25" customHeight="1" x14ac:dyDescent="0.3">
      <c r="B2" s="1145" t="s">
        <v>435</v>
      </c>
      <c r="C2" s="1145"/>
      <c r="D2" s="1145"/>
      <c r="E2" s="1145"/>
      <c r="F2" s="1145"/>
      <c r="G2" s="1145"/>
      <c r="H2" s="1145"/>
      <c r="I2" s="1145"/>
      <c r="J2" s="1145"/>
      <c r="K2" s="1145"/>
      <c r="L2" s="1145"/>
      <c r="M2" s="1145"/>
      <c r="N2" s="1145"/>
      <c r="O2" s="1145"/>
      <c r="P2" s="1145"/>
      <c r="Q2" s="1145"/>
      <c r="R2" s="1145"/>
      <c r="S2" s="1145"/>
      <c r="T2" s="1145"/>
      <c r="U2" s="1145"/>
      <c r="V2" s="1145"/>
      <c r="W2" s="1145"/>
      <c r="X2" s="1145"/>
      <c r="Y2" s="1145"/>
      <c r="Z2" s="1145"/>
      <c r="AA2" s="1145"/>
      <c r="AB2" s="1145"/>
      <c r="AC2" s="1145"/>
    </row>
    <row r="3" spans="2:39" ht="9" customHeight="1" x14ac:dyDescent="0.3">
      <c r="B3" s="1145"/>
      <c r="C3" s="1145"/>
      <c r="D3" s="1145"/>
      <c r="E3" s="1145"/>
      <c r="F3" s="1145"/>
      <c r="G3" s="1145"/>
      <c r="H3" s="1145"/>
      <c r="I3" s="1145"/>
      <c r="J3" s="1145"/>
      <c r="K3" s="1145"/>
      <c r="L3" s="1145"/>
      <c r="M3" s="1145"/>
      <c r="N3" s="1145"/>
      <c r="O3" s="1145"/>
      <c r="P3" s="1145"/>
      <c r="Q3" s="1145"/>
      <c r="R3" s="1145"/>
      <c r="S3" s="1145"/>
      <c r="T3" s="1145"/>
      <c r="U3" s="1145"/>
      <c r="V3" s="1145"/>
      <c r="W3" s="1145"/>
      <c r="X3" s="1145"/>
      <c r="Y3" s="1145"/>
      <c r="Z3" s="1145"/>
      <c r="AA3" s="1145"/>
      <c r="AB3" s="1145"/>
      <c r="AC3" s="1145"/>
    </row>
    <row r="4" spans="2:39" ht="27" customHeight="1" x14ac:dyDescent="0.3">
      <c r="B4" s="1145"/>
      <c r="C4" s="1145"/>
      <c r="D4" s="1145"/>
      <c r="E4" s="1145"/>
      <c r="F4" s="1145"/>
      <c r="G4" s="1145"/>
      <c r="H4" s="1145"/>
      <c r="I4" s="1145"/>
      <c r="J4" s="1145"/>
      <c r="K4" s="1145"/>
      <c r="L4" s="1145"/>
      <c r="M4" s="1145"/>
      <c r="N4" s="1145"/>
      <c r="O4" s="1145"/>
      <c r="P4" s="1145"/>
      <c r="Q4" s="1145"/>
      <c r="R4" s="1145"/>
      <c r="S4" s="1145"/>
      <c r="T4" s="1145"/>
      <c r="U4" s="1145"/>
      <c r="V4" s="1145"/>
      <c r="W4" s="1145"/>
      <c r="X4" s="1145"/>
      <c r="Y4" s="1145"/>
      <c r="Z4" s="1145"/>
      <c r="AA4" s="1145"/>
      <c r="AB4" s="1145"/>
      <c r="AC4" s="1145"/>
      <c r="AE4" s="450"/>
      <c r="AF4" s="450"/>
      <c r="AG4" s="450"/>
      <c r="AH4" s="450"/>
      <c r="AI4" s="450"/>
      <c r="AJ4" s="450"/>
      <c r="AK4" s="450"/>
      <c r="AL4" s="450"/>
      <c r="AM4" s="450"/>
    </row>
    <row r="5" spans="2:39" x14ac:dyDescent="0.3">
      <c r="B5" s="176"/>
      <c r="AC5" s="272"/>
      <c r="AD5" s="272"/>
      <c r="AE5" s="272"/>
      <c r="AF5" s="272"/>
    </row>
    <row r="6" spans="2:39" ht="14.7" customHeight="1" x14ac:dyDescent="0.3">
      <c r="B6" s="1175" t="s">
        <v>324</v>
      </c>
      <c r="C6" s="1159"/>
      <c r="D6" s="1156" t="s">
        <v>325</v>
      </c>
      <c r="E6" s="1157"/>
      <c r="F6" s="1157"/>
      <c r="G6" s="1157"/>
      <c r="H6" s="1157"/>
      <c r="I6" s="1157"/>
      <c r="J6" s="1157"/>
      <c r="K6" s="1157"/>
      <c r="L6" s="1157"/>
      <c r="M6" s="1157"/>
      <c r="N6" s="1157"/>
      <c r="O6" s="1157"/>
      <c r="P6" s="1157"/>
      <c r="Q6" s="1158"/>
      <c r="R6" s="1158"/>
      <c r="S6" s="1158"/>
      <c r="T6" s="1184" t="s">
        <v>326</v>
      </c>
      <c r="U6" s="1184"/>
      <c r="V6" s="1184"/>
      <c r="W6" s="1184"/>
      <c r="X6" s="1184"/>
      <c r="Y6" s="1184"/>
      <c r="Z6" s="1184"/>
      <c r="AA6" s="1184"/>
      <c r="AB6" s="1184"/>
      <c r="AC6" s="1185"/>
    </row>
    <row r="7" spans="2:39" ht="14.7" customHeight="1" x14ac:dyDescent="0.3">
      <c r="B7" s="1176"/>
      <c r="C7" s="1177"/>
      <c r="D7" s="141">
        <v>2018</v>
      </c>
      <c r="E7" s="1147">
        <v>2019</v>
      </c>
      <c r="F7" s="1148"/>
      <c r="G7" s="1148"/>
      <c r="H7" s="1155"/>
      <c r="I7" s="1147">
        <v>2020</v>
      </c>
      <c r="J7" s="1148"/>
      <c r="K7" s="1148"/>
      <c r="L7" s="1148"/>
      <c r="M7" s="1147">
        <v>2021</v>
      </c>
      <c r="N7" s="1148"/>
      <c r="O7" s="1148"/>
      <c r="P7" s="1148"/>
      <c r="Q7" s="1181">
        <v>2022</v>
      </c>
      <c r="R7" s="1182"/>
      <c r="S7" s="252"/>
      <c r="T7" s="187"/>
      <c r="U7" s="1178">
        <v>2023</v>
      </c>
      <c r="V7" s="1179"/>
      <c r="W7" s="1179"/>
      <c r="X7" s="1179"/>
      <c r="Y7" s="1178">
        <v>2024</v>
      </c>
      <c r="Z7" s="1179"/>
      <c r="AA7" s="1179"/>
      <c r="AB7" s="1180"/>
      <c r="AC7" s="258">
        <v>2025</v>
      </c>
    </row>
    <row r="8" spans="2:39" x14ac:dyDescent="0.3">
      <c r="B8" s="1187"/>
      <c r="C8" s="1188"/>
      <c r="D8" s="152" t="s">
        <v>327</v>
      </c>
      <c r="E8" s="152" t="s">
        <v>328</v>
      </c>
      <c r="F8" s="151" t="s">
        <v>329</v>
      </c>
      <c r="G8" s="151" t="s">
        <v>238</v>
      </c>
      <c r="H8" s="203" t="s">
        <v>327</v>
      </c>
      <c r="I8" s="151" t="s">
        <v>328</v>
      </c>
      <c r="J8" s="151" t="s">
        <v>329</v>
      </c>
      <c r="K8" s="151" t="s">
        <v>238</v>
      </c>
      <c r="L8" s="151" t="s">
        <v>327</v>
      </c>
      <c r="M8" s="152" t="s">
        <v>328</v>
      </c>
      <c r="N8" s="151" t="s">
        <v>329</v>
      </c>
      <c r="O8" s="151" t="s">
        <v>238</v>
      </c>
      <c r="P8" s="151" t="s">
        <v>327</v>
      </c>
      <c r="Q8" s="152" t="s">
        <v>328</v>
      </c>
      <c r="R8" s="151" t="s">
        <v>329</v>
      </c>
      <c r="S8" s="203" t="s">
        <v>238</v>
      </c>
      <c r="T8" s="277" t="s">
        <v>327</v>
      </c>
      <c r="U8" s="273" t="s">
        <v>328</v>
      </c>
      <c r="V8" s="274" t="s">
        <v>329</v>
      </c>
      <c r="W8" s="274" t="s">
        <v>238</v>
      </c>
      <c r="X8" s="274" t="s">
        <v>327</v>
      </c>
      <c r="Y8" s="273" t="s">
        <v>328</v>
      </c>
      <c r="Z8" s="269" t="s">
        <v>329</v>
      </c>
      <c r="AA8" s="274" t="s">
        <v>238</v>
      </c>
      <c r="AB8" s="275" t="s">
        <v>327</v>
      </c>
      <c r="AC8" s="277" t="s">
        <v>328</v>
      </c>
    </row>
    <row r="9" spans="2:39" ht="18" customHeight="1" x14ac:dyDescent="0.3">
      <c r="B9" s="475" t="s">
        <v>969</v>
      </c>
      <c r="C9" s="180"/>
      <c r="D9" s="190"/>
      <c r="E9" s="191"/>
      <c r="F9" s="191"/>
      <c r="G9" s="191"/>
      <c r="H9" s="191"/>
      <c r="I9" s="191"/>
      <c r="J9" s="191"/>
      <c r="K9" s="191"/>
      <c r="L9" s="191"/>
      <c r="M9" s="191"/>
      <c r="N9" s="191"/>
      <c r="O9" s="191"/>
      <c r="P9" s="191"/>
      <c r="Q9" s="305">
        <v>1575</v>
      </c>
      <c r="R9" s="305">
        <v>1591.4</v>
      </c>
      <c r="S9" s="423">
        <f>1607.9</f>
        <v>1607.9</v>
      </c>
      <c r="T9" s="452">
        <v>1622.9</v>
      </c>
      <c r="U9" s="452">
        <v>1639</v>
      </c>
      <c r="V9" s="452">
        <v>1653.9</v>
      </c>
      <c r="W9" s="452">
        <v>1667.4</v>
      </c>
      <c r="X9" s="452">
        <v>1679.6</v>
      </c>
      <c r="Y9" s="452">
        <v>1693.3</v>
      </c>
      <c r="Z9" s="452">
        <v>1706.4</v>
      </c>
      <c r="AA9" s="452">
        <v>1719.6</v>
      </c>
      <c r="AB9" s="452">
        <v>1732.8</v>
      </c>
      <c r="AC9" s="452">
        <v>1743.7</v>
      </c>
    </row>
    <row r="10" spans="2:39" ht="18" customHeight="1" x14ac:dyDescent="0.3">
      <c r="B10" s="476" t="s">
        <v>1282</v>
      </c>
      <c r="C10" s="180"/>
      <c r="D10" s="162"/>
      <c r="E10" s="157"/>
      <c r="F10" s="157"/>
      <c r="G10" s="157"/>
      <c r="H10" s="157"/>
      <c r="I10" s="157"/>
      <c r="J10" s="157"/>
      <c r="K10" s="157"/>
      <c r="L10" s="157"/>
      <c r="M10" s="157"/>
      <c r="N10" s="157"/>
      <c r="O10" s="157"/>
      <c r="P10" s="157"/>
      <c r="Q10" s="424"/>
      <c r="R10" s="424"/>
      <c r="S10" s="425">
        <f>'IRA and CHIPS'!E186</f>
        <v>0</v>
      </c>
      <c r="T10" s="431">
        <f>'IRA and CHIPS'!F186</f>
        <v>4.5430000000000001</v>
      </c>
      <c r="U10" s="431">
        <f>'IRA and CHIPS'!G186</f>
        <v>4.5430000000000001</v>
      </c>
      <c r="V10" s="431">
        <f>'IRA and CHIPS'!H186</f>
        <v>4.5430000000000001</v>
      </c>
      <c r="W10" s="431">
        <f>'IRA and CHIPS'!I186</f>
        <v>4.5430000000000001</v>
      </c>
      <c r="X10" s="431">
        <f>'IRA and CHIPS'!J186</f>
        <v>5.6079999999999997</v>
      </c>
      <c r="Y10" s="431">
        <f>'IRA and CHIPS'!K186</f>
        <v>5.6079999999999997</v>
      </c>
      <c r="Z10" s="431">
        <f>'IRA and CHIPS'!L186</f>
        <v>5.6079999999999997</v>
      </c>
      <c r="AA10" s="431">
        <f>'IRA and CHIPS'!M186</f>
        <v>5.6079999999999997</v>
      </c>
      <c r="AB10" s="431">
        <f>'IRA and CHIPS'!N186</f>
        <v>8.16</v>
      </c>
      <c r="AC10" s="431">
        <f>'IRA and CHIPS'!O186</f>
        <v>8.16</v>
      </c>
    </row>
    <row r="11" spans="2:39" ht="17.25" customHeight="1" x14ac:dyDescent="0.3">
      <c r="B11" s="474" t="s">
        <v>970</v>
      </c>
      <c r="C11" s="263"/>
      <c r="D11" s="270"/>
      <c r="E11" s="263"/>
      <c r="F11" s="263"/>
      <c r="G11" s="263"/>
      <c r="H11" s="147"/>
      <c r="I11" s="147"/>
      <c r="J11" s="147"/>
      <c r="K11" s="147"/>
      <c r="L11" s="147"/>
      <c r="M11" s="147"/>
      <c r="N11" s="147"/>
      <c r="O11" s="147"/>
      <c r="P11" s="147"/>
      <c r="Q11" s="477">
        <v>2.298</v>
      </c>
      <c r="R11" s="477">
        <v>4.2320000000000002</v>
      </c>
      <c r="S11" s="425">
        <v>4.1929999999999996</v>
      </c>
      <c r="T11" s="431">
        <v>3.786</v>
      </c>
      <c r="U11" s="431">
        <v>4.0339999999999998</v>
      </c>
      <c r="V11" s="431">
        <v>3.6819999999999999</v>
      </c>
      <c r="W11" s="431">
        <v>3.3159999999999998</v>
      </c>
      <c r="X11" s="431">
        <v>2.9569999999999999</v>
      </c>
      <c r="Y11" s="431">
        <v>3.2949999999999999</v>
      </c>
      <c r="Z11" s="431">
        <v>3.1269999999999998</v>
      </c>
      <c r="AA11" s="431">
        <v>3.125</v>
      </c>
      <c r="AB11" s="431">
        <v>3.113</v>
      </c>
      <c r="AC11" s="431">
        <v>2.5430000000000001</v>
      </c>
    </row>
    <row r="12" spans="2:39" ht="17.25" customHeight="1" x14ac:dyDescent="0.3">
      <c r="B12" s="474"/>
      <c r="C12" s="263" t="s">
        <v>1000</v>
      </c>
      <c r="D12" s="270"/>
      <c r="E12" s="263"/>
      <c r="F12" s="263"/>
      <c r="G12" s="263"/>
      <c r="H12" s="477">
        <f>'Haver Pivoted'!GS23</f>
        <v>1437.7</v>
      </c>
      <c r="I12" s="477">
        <f>'Haver Pivoted'!GT23</f>
        <v>1455.6</v>
      </c>
      <c r="J12" s="477">
        <f>'Haver Pivoted'!GU23</f>
        <v>1560</v>
      </c>
      <c r="K12" s="477">
        <f>'Haver Pivoted'!GV23</f>
        <v>1525.3</v>
      </c>
      <c r="L12" s="477">
        <f>'Haver Pivoted'!GW23</f>
        <v>1541.3</v>
      </c>
      <c r="M12" s="477">
        <f>'Haver Pivoted'!GX23</f>
        <v>1620.3</v>
      </c>
      <c r="N12" s="477">
        <f>'Haver Pivoted'!GY23</f>
        <v>1608</v>
      </c>
      <c r="O12" s="477">
        <f>'Haver Pivoted'!GZ23</f>
        <v>1595.5</v>
      </c>
      <c r="P12" s="477">
        <f>'Haver Pivoted'!HA23</f>
        <v>1612.8</v>
      </c>
      <c r="Q12" s="477">
        <f>'Haver Pivoted'!HB23</f>
        <v>1613.1</v>
      </c>
      <c r="R12" s="477">
        <f>'Haver Pivoted'!HC23</f>
        <v>1622.7</v>
      </c>
      <c r="S12" s="421">
        <f>'Haver Pivoted'!HD23</f>
        <v>1656.9</v>
      </c>
      <c r="T12" s="432">
        <f t="shared" ref="T12:AC12" si="0">(T9/S9)*S12</f>
        <v>1672.357117979974</v>
      </c>
      <c r="U12" s="432">
        <f t="shared" si="0"/>
        <v>1688.9477579451459</v>
      </c>
      <c r="V12" s="432">
        <f t="shared" si="0"/>
        <v>1704.3018284719199</v>
      </c>
      <c r="W12" s="432">
        <f t="shared" si="0"/>
        <v>1718.2132346538963</v>
      </c>
      <c r="X12" s="432">
        <f t="shared" si="0"/>
        <v>1730.7850239442748</v>
      </c>
      <c r="Y12" s="432">
        <f t="shared" si="0"/>
        <v>1744.9025250326511</v>
      </c>
      <c r="Z12" s="432">
        <f t="shared" si="0"/>
        <v>1758.4017414018283</v>
      </c>
      <c r="AA12" s="432">
        <f t="shared" si="0"/>
        <v>1772.004005224205</v>
      </c>
      <c r="AB12" s="432">
        <f t="shared" si="0"/>
        <v>1785.6062690465822</v>
      </c>
      <c r="AC12" s="432">
        <f t="shared" si="0"/>
        <v>1796.8384414453633</v>
      </c>
    </row>
    <row r="13" spans="2:39" ht="28.95" customHeight="1" x14ac:dyDescent="0.3">
      <c r="B13" s="271" t="s">
        <v>436</v>
      </c>
      <c r="C13" s="263" t="s">
        <v>1000</v>
      </c>
      <c r="D13" s="271"/>
      <c r="E13" s="278"/>
      <c r="F13" s="278"/>
      <c r="G13" s="278"/>
      <c r="H13" s="157">
        <f>'Haver Pivoted'!GS23</f>
        <v>1437.7</v>
      </c>
      <c r="I13" s="157">
        <f>'Haver Pivoted'!GT23</f>
        <v>1455.6</v>
      </c>
      <c r="J13" s="157">
        <f>'Haver Pivoted'!GU23</f>
        <v>1560</v>
      </c>
      <c r="K13" s="157">
        <f>'Haver Pivoted'!GV23</f>
        <v>1525.3</v>
      </c>
      <c r="L13" s="157">
        <f>'Haver Pivoted'!GW23</f>
        <v>1541.3</v>
      </c>
      <c r="M13" s="157">
        <f>'Haver Pivoted'!GX23</f>
        <v>1620.3</v>
      </c>
      <c r="N13" s="157">
        <f>'Haver Pivoted'!GY23</f>
        <v>1608</v>
      </c>
      <c r="O13" s="157">
        <f>'Haver Pivoted'!GZ23</f>
        <v>1595.5</v>
      </c>
      <c r="P13" s="157">
        <f>'Haver Pivoted'!HA23</f>
        <v>1612.8</v>
      </c>
      <c r="Q13" s="157">
        <f>'Haver Pivoted'!HB23</f>
        <v>1613.1</v>
      </c>
      <c r="R13" s="157">
        <f>'Haver Pivoted'!HC23</f>
        <v>1622.7</v>
      </c>
      <c r="S13" s="422">
        <f>'Haver Pivoted'!HD23</f>
        <v>1656.9</v>
      </c>
      <c r="T13" s="250">
        <f t="shared" ref="T13:AC13" si="1">T12+T10</f>
        <v>1676.9001179799739</v>
      </c>
      <c r="U13" s="250">
        <f t="shared" si="1"/>
        <v>1693.4907579451458</v>
      </c>
      <c r="V13" s="250">
        <f t="shared" si="1"/>
        <v>1708.8448284719198</v>
      </c>
      <c r="W13" s="250">
        <f t="shared" si="1"/>
        <v>1722.7562346538962</v>
      </c>
      <c r="X13" s="250">
        <f t="shared" si="1"/>
        <v>1736.3930239442748</v>
      </c>
      <c r="Y13" s="250">
        <f t="shared" si="1"/>
        <v>1750.510525032651</v>
      </c>
      <c r="Z13" s="250">
        <f t="shared" si="1"/>
        <v>1764.0097414018283</v>
      </c>
      <c r="AA13" s="250">
        <f t="shared" si="1"/>
        <v>1777.6120052242049</v>
      </c>
      <c r="AB13" s="250">
        <f t="shared" si="1"/>
        <v>1793.7662690465822</v>
      </c>
      <c r="AC13" s="250">
        <f t="shared" si="1"/>
        <v>1804.9984414453634</v>
      </c>
      <c r="AD13" s="257" t="s">
        <v>437</v>
      </c>
    </row>
    <row r="14" spans="2:39" x14ac:dyDescent="0.3">
      <c r="B14" s="440" t="s">
        <v>438</v>
      </c>
      <c r="C14" s="441"/>
      <c r="D14" s="440"/>
      <c r="E14" s="441"/>
      <c r="F14" s="441"/>
      <c r="G14" s="441"/>
      <c r="H14" s="449">
        <f t="shared" ref="H14:AC14" si="2">H13+H65</f>
        <v>1715.8720000000001</v>
      </c>
      <c r="I14" s="449">
        <f t="shared" si="2"/>
        <v>1741.471</v>
      </c>
      <c r="J14" s="449">
        <f t="shared" si="2"/>
        <v>1961.299</v>
      </c>
      <c r="K14" s="449">
        <f t="shared" si="2"/>
        <v>1901.492</v>
      </c>
      <c r="L14" s="449">
        <f t="shared" si="2"/>
        <v>1906.6610000000001</v>
      </c>
      <c r="M14" s="449">
        <f t="shared" si="2"/>
        <v>2009.6410000000001</v>
      </c>
      <c r="N14" s="449">
        <f t="shared" si="2"/>
        <v>2044.5930000000001</v>
      </c>
      <c r="O14" s="449">
        <f t="shared" si="2"/>
        <v>2039.836</v>
      </c>
      <c r="P14" s="449">
        <f t="shared" si="2"/>
        <v>2086.861852</v>
      </c>
      <c r="Q14" s="449">
        <f t="shared" si="2"/>
        <v>2124.0872747999997</v>
      </c>
      <c r="R14" s="449">
        <f t="shared" si="2"/>
        <v>2203.0890319999999</v>
      </c>
      <c r="S14" s="377">
        <f t="shared" si="2"/>
        <v>2224.627868</v>
      </c>
      <c r="T14" s="269">
        <f t="shared" si="2"/>
        <v>2236.4266707123461</v>
      </c>
      <c r="U14" s="269">
        <f t="shared" si="2"/>
        <v>2237.909188739397</v>
      </c>
      <c r="V14" s="269">
        <f t="shared" si="2"/>
        <v>2257.8043715049516</v>
      </c>
      <c r="W14" s="269">
        <f t="shared" si="2"/>
        <v>2270.7862373205626</v>
      </c>
      <c r="X14" s="269">
        <f t="shared" si="2"/>
        <v>2286.6887615859414</v>
      </c>
      <c r="Y14" s="269">
        <f t="shared" si="2"/>
        <v>2289.6448186906719</v>
      </c>
      <c r="Z14" s="269">
        <f t="shared" si="2"/>
        <v>2283.5329453961813</v>
      </c>
      <c r="AA14" s="269">
        <f t="shared" si="2"/>
        <v>2301.8486957575383</v>
      </c>
      <c r="AB14" s="269">
        <f t="shared" si="2"/>
        <v>2324.6038425339157</v>
      </c>
      <c r="AC14" s="405">
        <f t="shared" si="2"/>
        <v>2319.2634673697053</v>
      </c>
      <c r="AD14" s="154" t="s">
        <v>439</v>
      </c>
    </row>
    <row r="15" spans="2:39" ht="15.75" customHeight="1" x14ac:dyDescent="0.3">
      <c r="B15" s="263"/>
      <c r="C15" s="263"/>
      <c r="D15" s="263"/>
      <c r="E15" s="263"/>
      <c r="F15" s="263"/>
      <c r="G15" s="263"/>
      <c r="H15" s="157"/>
      <c r="I15" s="157"/>
      <c r="J15" s="157"/>
      <c r="K15" s="157"/>
      <c r="L15" s="157"/>
      <c r="M15" s="157"/>
      <c r="N15" s="157"/>
      <c r="O15" s="157"/>
      <c r="AD15" s="154"/>
    </row>
    <row r="16" spans="2:39" x14ac:dyDescent="0.3">
      <c r="B16" s="263"/>
      <c r="C16" s="263"/>
      <c r="D16" s="263"/>
      <c r="E16" s="263"/>
      <c r="F16" s="263"/>
      <c r="G16" s="263"/>
      <c r="H16" s="157"/>
      <c r="I16" s="157"/>
      <c r="J16" s="157"/>
      <c r="K16" s="157"/>
      <c r="L16" s="157"/>
      <c r="M16" s="157"/>
      <c r="N16" s="157"/>
      <c r="O16" s="157"/>
    </row>
    <row r="17" spans="2:31" x14ac:dyDescent="0.3">
      <c r="B17" s="263"/>
      <c r="C17" s="263"/>
      <c r="D17" s="263"/>
      <c r="E17" s="263"/>
      <c r="F17" s="263"/>
      <c r="G17" s="263"/>
      <c r="H17" s="157"/>
      <c r="I17" s="157"/>
      <c r="J17" s="157"/>
      <c r="K17" s="157"/>
      <c r="L17" s="157"/>
      <c r="M17" s="157"/>
      <c r="N17" s="157"/>
      <c r="O17" s="157"/>
    </row>
    <row r="18" spans="2:31" x14ac:dyDescent="0.3">
      <c r="B18" s="263"/>
      <c r="C18" s="263"/>
      <c r="D18" s="263"/>
      <c r="E18" s="263"/>
      <c r="F18" s="263"/>
      <c r="G18" s="263"/>
      <c r="H18" s="157"/>
      <c r="I18" s="157"/>
      <c r="J18" s="157"/>
      <c r="K18" s="157"/>
      <c r="L18" s="157"/>
      <c r="M18" s="157"/>
      <c r="N18" s="157"/>
      <c r="O18" s="157"/>
    </row>
    <row r="19" spans="2:31" x14ac:dyDescent="0.3">
      <c r="B19" s="263"/>
      <c r="C19" s="263"/>
      <c r="D19" s="263"/>
      <c r="E19" s="263"/>
      <c r="F19" s="263"/>
      <c r="G19" s="263"/>
      <c r="H19" s="157"/>
      <c r="I19" s="157"/>
      <c r="J19" s="157"/>
      <c r="K19" s="157"/>
      <c r="L19" s="157"/>
      <c r="M19" s="157"/>
      <c r="N19" s="157"/>
      <c r="O19" s="157"/>
    </row>
    <row r="20" spans="2:31" x14ac:dyDescent="0.3">
      <c r="B20" s="263"/>
      <c r="C20" s="263"/>
      <c r="D20" s="263"/>
      <c r="E20" s="263"/>
      <c r="F20" s="263"/>
      <c r="G20" s="263"/>
      <c r="H20" s="157"/>
      <c r="I20" s="157"/>
      <c r="J20" s="157"/>
      <c r="K20" s="157"/>
      <c r="L20" s="157"/>
      <c r="M20" s="157"/>
      <c r="N20" s="157"/>
      <c r="O20" s="157"/>
    </row>
    <row r="21" spans="2:31" x14ac:dyDescent="0.3">
      <c r="B21" s="263"/>
      <c r="C21" s="263"/>
      <c r="D21" s="263"/>
      <c r="E21" s="263"/>
      <c r="F21" s="263"/>
      <c r="G21" s="263"/>
      <c r="H21" s="157"/>
      <c r="I21" s="157"/>
      <c r="J21" s="157"/>
      <c r="K21" s="157"/>
      <c r="L21" s="157"/>
      <c r="M21" s="157"/>
      <c r="N21" s="157"/>
      <c r="O21" s="157"/>
      <c r="AD21" s="154"/>
    </row>
    <row r="22" spans="2:31" x14ac:dyDescent="0.3">
      <c r="B22" s="263"/>
      <c r="C22" s="263"/>
      <c r="D22" s="263"/>
      <c r="E22" s="263"/>
      <c r="F22" s="263"/>
      <c r="G22" s="263"/>
      <c r="H22" s="157"/>
      <c r="I22" s="157"/>
      <c r="J22" s="157"/>
      <c r="K22" s="157"/>
      <c r="L22" s="157"/>
      <c r="M22" s="157"/>
      <c r="N22" s="157"/>
      <c r="O22" s="157"/>
      <c r="AD22" s="154"/>
    </row>
    <row r="23" spans="2:31" x14ac:dyDescent="0.3">
      <c r="B23" s="263"/>
      <c r="C23" s="263"/>
      <c r="D23" s="263"/>
      <c r="E23" s="263"/>
      <c r="F23" s="263"/>
      <c r="G23" s="263"/>
      <c r="H23" s="157"/>
      <c r="I23" s="157"/>
      <c r="J23" s="157"/>
      <c r="K23" s="157"/>
      <c r="L23" s="157"/>
      <c r="M23" s="157"/>
      <c r="N23" s="157"/>
      <c r="O23" s="157"/>
      <c r="P23" s="438"/>
      <c r="Q23" s="438"/>
      <c r="R23" s="438"/>
      <c r="S23" s="438"/>
      <c r="T23" s="438"/>
      <c r="U23" s="438"/>
      <c r="V23" s="438"/>
      <c r="W23" s="438"/>
      <c r="X23" s="438"/>
      <c r="Y23" s="438"/>
      <c r="Z23" s="438"/>
      <c r="AA23" s="438"/>
      <c r="AB23" s="438"/>
      <c r="AC23" s="438"/>
    </row>
    <row r="24" spans="2:31" ht="21.75" customHeight="1" x14ac:dyDescent="0.3">
      <c r="B24" s="1146" t="s">
        <v>165</v>
      </c>
      <c r="C24" s="1146"/>
      <c r="D24" s="1146"/>
      <c r="E24" s="1146"/>
      <c r="F24" s="1146"/>
      <c r="G24" s="1146"/>
      <c r="H24" s="1146"/>
      <c r="I24" s="1146"/>
      <c r="J24" s="1146"/>
      <c r="K24" s="1146"/>
      <c r="L24" s="1146"/>
      <c r="M24" s="1146"/>
      <c r="N24" s="1146"/>
      <c r="O24" s="1146"/>
      <c r="P24" s="1146"/>
      <c r="Q24" s="1146"/>
      <c r="R24" s="1146"/>
      <c r="S24" s="1146"/>
      <c r="T24" s="1146"/>
      <c r="U24" s="1146"/>
      <c r="V24" s="1146"/>
      <c r="W24" s="1146"/>
      <c r="X24" s="1146"/>
      <c r="Y24" s="1146"/>
      <c r="Z24" s="1146"/>
      <c r="AA24" s="1146"/>
      <c r="AB24" s="1146"/>
      <c r="AC24" s="1146"/>
      <c r="AE24" s="434"/>
    </row>
    <row r="25" spans="2:31" ht="14.25" customHeight="1" x14ac:dyDescent="0.3">
      <c r="B25" s="1174" t="s">
        <v>440</v>
      </c>
      <c r="C25" s="1174"/>
      <c r="D25" s="1174"/>
      <c r="E25" s="1174"/>
      <c r="F25" s="1174"/>
      <c r="G25" s="1174"/>
      <c r="H25" s="1174"/>
      <c r="I25" s="1174"/>
      <c r="J25" s="1174"/>
      <c r="K25" s="1174"/>
      <c r="L25" s="1174"/>
      <c r="M25" s="1174"/>
      <c r="N25" s="1174"/>
      <c r="O25" s="1174"/>
      <c r="P25" s="1174"/>
      <c r="Q25" s="1174"/>
      <c r="R25" s="1174"/>
      <c r="S25" s="1174"/>
      <c r="T25" s="1174"/>
      <c r="U25" s="1174"/>
      <c r="V25" s="1174"/>
      <c r="W25" s="1174"/>
      <c r="X25" s="1174"/>
      <c r="Y25" s="1174"/>
      <c r="Z25" s="1174"/>
      <c r="AA25" s="1174"/>
      <c r="AB25" s="1174"/>
      <c r="AC25" s="1174"/>
      <c r="AE25" s="434"/>
    </row>
    <row r="26" spans="2:31" x14ac:dyDescent="0.3">
      <c r="B26" s="1174"/>
      <c r="C26" s="1174"/>
      <c r="D26" s="1174"/>
      <c r="E26" s="1174"/>
      <c r="F26" s="1174"/>
      <c r="G26" s="1174"/>
      <c r="H26" s="1174"/>
      <c r="I26" s="1174"/>
      <c r="J26" s="1174"/>
      <c r="K26" s="1174"/>
      <c r="L26" s="1174"/>
      <c r="M26" s="1174"/>
      <c r="N26" s="1174"/>
      <c r="O26" s="1174"/>
      <c r="P26" s="1174"/>
      <c r="Q26" s="1174"/>
      <c r="R26" s="1174"/>
      <c r="S26" s="1174"/>
      <c r="T26" s="1174"/>
      <c r="U26" s="1174"/>
      <c r="V26" s="1174"/>
      <c r="W26" s="1174"/>
      <c r="X26" s="1174"/>
      <c r="Y26" s="1174"/>
      <c r="Z26" s="1174"/>
      <c r="AA26" s="1174"/>
      <c r="AB26" s="1174"/>
      <c r="AC26" s="1174"/>
    </row>
    <row r="27" spans="2:31" x14ac:dyDescent="0.3">
      <c r="B27" s="1174"/>
      <c r="C27" s="1174"/>
      <c r="D27" s="1174"/>
      <c r="E27" s="1174"/>
      <c r="F27" s="1174"/>
      <c r="G27" s="1174"/>
      <c r="H27" s="1174"/>
      <c r="I27" s="1174"/>
      <c r="J27" s="1174"/>
      <c r="K27" s="1174"/>
      <c r="L27" s="1174"/>
      <c r="M27" s="1174"/>
      <c r="N27" s="1174"/>
      <c r="O27" s="1174"/>
      <c r="P27" s="1174"/>
      <c r="Q27" s="1174"/>
      <c r="R27" s="1174"/>
      <c r="S27" s="1174"/>
      <c r="T27" s="1174"/>
      <c r="U27" s="1174"/>
      <c r="V27" s="1174"/>
      <c r="W27" s="1174"/>
      <c r="X27" s="1174"/>
      <c r="Y27" s="1174"/>
      <c r="Z27" s="1174"/>
      <c r="AA27" s="1174"/>
      <c r="AB27" s="1174"/>
      <c r="AC27" s="1174"/>
    </row>
    <row r="29" spans="2:31" x14ac:dyDescent="0.3">
      <c r="B29" s="1175" t="s">
        <v>324</v>
      </c>
      <c r="C29" s="1159"/>
      <c r="D29" s="1156" t="s">
        <v>325</v>
      </c>
      <c r="E29" s="1157"/>
      <c r="F29" s="1157"/>
      <c r="G29" s="1157"/>
      <c r="H29" s="1157"/>
      <c r="I29" s="1157"/>
      <c r="J29" s="1157"/>
      <c r="K29" s="1157"/>
      <c r="L29" s="1157"/>
      <c r="M29" s="1157"/>
      <c r="N29" s="1157"/>
      <c r="O29" s="1157"/>
      <c r="P29" s="1157"/>
      <c r="Q29" s="1158"/>
      <c r="R29" s="1158"/>
      <c r="S29" s="1158"/>
      <c r="T29" s="1184" t="s">
        <v>326</v>
      </c>
      <c r="U29" s="1184"/>
      <c r="V29" s="1184"/>
      <c r="W29" s="1184"/>
      <c r="X29" s="1184"/>
      <c r="Y29" s="1184"/>
      <c r="Z29" s="1184"/>
      <c r="AA29" s="1184"/>
      <c r="AB29" s="1184"/>
      <c r="AC29" s="1185"/>
    </row>
    <row r="30" spans="2:31" x14ac:dyDescent="0.3">
      <c r="B30" s="1176"/>
      <c r="C30" s="1177"/>
      <c r="D30" s="141">
        <v>2018</v>
      </c>
      <c r="E30" s="1147">
        <v>2019</v>
      </c>
      <c r="F30" s="1148"/>
      <c r="G30" s="1148"/>
      <c r="H30" s="1155"/>
      <c r="I30" s="1147">
        <v>2020</v>
      </c>
      <c r="J30" s="1148"/>
      <c r="K30" s="1148"/>
      <c r="L30" s="1148"/>
      <c r="M30" s="1147">
        <v>2021</v>
      </c>
      <c r="N30" s="1148"/>
      <c r="O30" s="1148"/>
      <c r="P30" s="1148"/>
      <c r="Q30" s="1181">
        <v>2022</v>
      </c>
      <c r="R30" s="1182"/>
      <c r="S30" s="252"/>
      <c r="T30" s="287"/>
      <c r="U30" s="1178">
        <v>2023</v>
      </c>
      <c r="V30" s="1179"/>
      <c r="W30" s="1179"/>
      <c r="X30" s="1179"/>
      <c r="Y30" s="1178">
        <v>2024</v>
      </c>
      <c r="Z30" s="1179"/>
      <c r="AA30" s="1179"/>
      <c r="AB30" s="1180"/>
      <c r="AC30" s="258">
        <v>2025</v>
      </c>
    </row>
    <row r="31" spans="2:31" x14ac:dyDescent="0.3">
      <c r="B31" s="1187"/>
      <c r="C31" s="1188"/>
      <c r="D31" s="152" t="s">
        <v>327</v>
      </c>
      <c r="E31" s="152" t="s">
        <v>328</v>
      </c>
      <c r="F31" s="151" t="s">
        <v>329</v>
      </c>
      <c r="G31" s="151" t="s">
        <v>238</v>
      </c>
      <c r="H31" s="203" t="s">
        <v>327</v>
      </c>
      <c r="I31" s="151" t="s">
        <v>328</v>
      </c>
      <c r="J31" s="151" t="s">
        <v>329</v>
      </c>
      <c r="K31" s="151" t="s">
        <v>238</v>
      </c>
      <c r="L31" s="151" t="s">
        <v>327</v>
      </c>
      <c r="M31" s="152" t="s">
        <v>328</v>
      </c>
      <c r="N31" s="151" t="s">
        <v>329</v>
      </c>
      <c r="O31" s="151" t="s">
        <v>238</v>
      </c>
      <c r="P31" s="151" t="s">
        <v>327</v>
      </c>
      <c r="Q31" s="152" t="s">
        <v>328</v>
      </c>
      <c r="R31" s="151" t="s">
        <v>329</v>
      </c>
      <c r="S31" s="203" t="s">
        <v>238</v>
      </c>
      <c r="T31" s="368" t="s">
        <v>327</v>
      </c>
      <c r="U31" s="355" t="s">
        <v>328</v>
      </c>
      <c r="V31" s="356" t="s">
        <v>329</v>
      </c>
      <c r="W31" s="356" t="s">
        <v>238</v>
      </c>
      <c r="X31" s="356" t="s">
        <v>327</v>
      </c>
      <c r="Y31" s="355" t="s">
        <v>328</v>
      </c>
      <c r="Z31" s="249" t="s">
        <v>329</v>
      </c>
      <c r="AA31" s="356" t="s">
        <v>238</v>
      </c>
      <c r="AB31" s="368" t="s">
        <v>327</v>
      </c>
      <c r="AC31" s="383" t="s">
        <v>328</v>
      </c>
    </row>
    <row r="32" spans="2:31" x14ac:dyDescent="0.3">
      <c r="B32" s="464" t="s">
        <v>111</v>
      </c>
      <c r="C32" s="279" t="s">
        <v>441</v>
      </c>
      <c r="D32" s="262"/>
      <c r="E32" s="279"/>
      <c r="F32" s="279"/>
      <c r="G32" s="279"/>
      <c r="H32" s="191">
        <f>'Haver Pivoted'!GS24</f>
        <v>2384.1999999999998</v>
      </c>
      <c r="I32" s="191">
        <f>'Haver Pivoted'!GT24</f>
        <v>2427.4</v>
      </c>
      <c r="J32" s="191">
        <f>'Haver Pivoted'!GU24</f>
        <v>2391.8000000000002</v>
      </c>
      <c r="K32" s="191">
        <f>'Haver Pivoted'!GV24</f>
        <v>2397.6</v>
      </c>
      <c r="L32" s="191">
        <f>'Haver Pivoted'!GW24</f>
        <v>2416.5</v>
      </c>
      <c r="M32" s="191">
        <f>'Haver Pivoted'!GX24</f>
        <v>2468.4</v>
      </c>
      <c r="N32" s="191">
        <f>'Haver Pivoted'!GY24</f>
        <v>2516.4</v>
      </c>
      <c r="O32" s="191">
        <f>'Haver Pivoted'!GZ24</f>
        <v>2587.6</v>
      </c>
      <c r="P32" s="191">
        <f>'Haver Pivoted'!HA24</f>
        <v>2633.9</v>
      </c>
      <c r="Q32" s="191">
        <f>'Haver Pivoted'!HB24</f>
        <v>2698.2</v>
      </c>
      <c r="R32" s="191">
        <f>'Haver Pivoted'!HC24</f>
        <v>2790</v>
      </c>
      <c r="S32" s="420">
        <f>'Haver Pivoted'!HD24</f>
        <v>2829.6</v>
      </c>
      <c r="T32" s="455"/>
      <c r="U32" s="455"/>
      <c r="V32" s="455"/>
      <c r="W32" s="455"/>
      <c r="X32" s="455"/>
      <c r="Y32" s="455"/>
      <c r="Z32" s="455"/>
      <c r="AA32" s="455"/>
      <c r="AB32" s="455"/>
      <c r="AC32" s="445"/>
    </row>
    <row r="33" spans="2:30" ht="29.25" customHeight="1" x14ac:dyDescent="0.3">
      <c r="B33" s="474" t="s">
        <v>1013</v>
      </c>
      <c r="C33" s="180"/>
      <c r="D33" s="447"/>
      <c r="E33" s="180"/>
      <c r="F33" s="180"/>
      <c r="G33" s="180"/>
      <c r="H33" s="157"/>
      <c r="I33" s="157"/>
      <c r="J33" s="157"/>
      <c r="K33" s="157"/>
      <c r="L33" s="157"/>
      <c r="M33" s="157"/>
      <c r="N33" s="157"/>
      <c r="O33" s="157"/>
      <c r="P33" s="157"/>
      <c r="Q33" s="426">
        <v>2625.2</v>
      </c>
      <c r="R33" s="426">
        <v>2687.5</v>
      </c>
      <c r="S33" s="427">
        <v>2737.7</v>
      </c>
      <c r="T33" s="433">
        <v>2776</v>
      </c>
      <c r="U33" s="433">
        <v>2809.9</v>
      </c>
      <c r="V33" s="433">
        <v>2839.2</v>
      </c>
      <c r="W33" s="433">
        <v>2865.7</v>
      </c>
      <c r="X33" s="433">
        <v>2891.3</v>
      </c>
      <c r="Y33" s="433">
        <v>2916.4</v>
      </c>
      <c r="Z33" s="433">
        <v>2941.4</v>
      </c>
      <c r="AA33" s="433">
        <v>2967.1</v>
      </c>
      <c r="AB33" s="433">
        <v>2993.7</v>
      </c>
      <c r="AC33" s="433">
        <v>3022.3</v>
      </c>
    </row>
    <row r="34" spans="2:30" ht="21" customHeight="1" x14ac:dyDescent="0.3">
      <c r="B34" s="185" t="s">
        <v>442</v>
      </c>
      <c r="C34" s="263"/>
      <c r="D34" s="270"/>
      <c r="E34" s="263"/>
      <c r="F34" s="263"/>
      <c r="G34" s="263"/>
      <c r="H34" s="147"/>
      <c r="I34" s="147"/>
      <c r="J34" s="147"/>
      <c r="K34" s="147"/>
      <c r="L34" s="147"/>
      <c r="M34" s="165">
        <f>((M35/L35)^4-1)*100</f>
        <v>8.8716871433844435</v>
      </c>
      <c r="N34" s="165">
        <f t="shared" ref="N34:Q34" si="3">((N35/M35)^4-1)*100</f>
        <v>8.0081568848658691</v>
      </c>
      <c r="O34" s="165">
        <f t="shared" si="3"/>
        <v>11.807223761379305</v>
      </c>
      <c r="P34" s="165">
        <f t="shared" si="3"/>
        <v>7.3516092986590564</v>
      </c>
      <c r="Q34" s="165">
        <f t="shared" si="3"/>
        <v>10.128423587170188</v>
      </c>
      <c r="R34" s="165">
        <f>((R35/Q35)^4-1)*100</f>
        <v>14.319485516488072</v>
      </c>
      <c r="S34" s="419">
        <f>((S35/R35)^4-1)*100</f>
        <v>5.7994412576389598</v>
      </c>
      <c r="T34" s="251">
        <f>((T33/S33)^4-1)*100-0.3</f>
        <v>5.4144667062669631</v>
      </c>
      <c r="U34" s="251">
        <f t="shared" ref="U34:AB34" si="4">((U33/T33)^4-1)*100</f>
        <v>4.9749339639030277</v>
      </c>
      <c r="V34" s="251">
        <f t="shared" si="4"/>
        <v>4.2366602536129561</v>
      </c>
      <c r="W34" s="251">
        <f t="shared" si="4"/>
        <v>3.7860418668673734</v>
      </c>
      <c r="X34" s="251">
        <f t="shared" si="4"/>
        <v>3.6214654878406138</v>
      </c>
      <c r="Y34" s="251">
        <f t="shared" si="4"/>
        <v>3.5179667989197583</v>
      </c>
      <c r="Z34" s="251">
        <f t="shared" si="4"/>
        <v>3.4732271251420199</v>
      </c>
      <c r="AA34" s="251">
        <f t="shared" si="4"/>
        <v>3.541006398539448</v>
      </c>
      <c r="AB34" s="251">
        <f t="shared" si="4"/>
        <v>3.6345044609545463</v>
      </c>
      <c r="AC34" s="265"/>
      <c r="AD34" s="450" t="s">
        <v>443</v>
      </c>
    </row>
    <row r="35" spans="2:30" ht="17.55" customHeight="1" x14ac:dyDescent="0.3">
      <c r="B35" s="472" t="s">
        <v>444</v>
      </c>
      <c r="C35" s="278"/>
      <c r="D35" s="271"/>
      <c r="E35" s="278"/>
      <c r="F35" s="278"/>
      <c r="G35" s="278"/>
      <c r="H35" s="247">
        <f t="shared" ref="H35:S35" si="5">H32</f>
        <v>2384.1999999999998</v>
      </c>
      <c r="I35" s="247">
        <f t="shared" si="5"/>
        <v>2427.4</v>
      </c>
      <c r="J35" s="247">
        <f t="shared" si="5"/>
        <v>2391.8000000000002</v>
      </c>
      <c r="K35" s="247">
        <f t="shared" si="5"/>
        <v>2397.6</v>
      </c>
      <c r="L35" s="247">
        <f t="shared" si="5"/>
        <v>2416.5</v>
      </c>
      <c r="M35" s="247">
        <f t="shared" si="5"/>
        <v>2468.4</v>
      </c>
      <c r="N35" s="247">
        <f t="shared" si="5"/>
        <v>2516.4</v>
      </c>
      <c r="O35" s="247">
        <f t="shared" si="5"/>
        <v>2587.6</v>
      </c>
      <c r="P35" s="247">
        <f t="shared" si="5"/>
        <v>2633.9</v>
      </c>
      <c r="Q35" s="247">
        <f t="shared" si="5"/>
        <v>2698.2</v>
      </c>
      <c r="R35" s="247">
        <f t="shared" si="5"/>
        <v>2790</v>
      </c>
      <c r="S35" s="244">
        <f t="shared" si="5"/>
        <v>2829.6</v>
      </c>
      <c r="T35" s="250">
        <f t="shared" ref="T35:AB35" si="6">S35*((1+T34/100)^0.25)</f>
        <v>2867.1479295552822</v>
      </c>
      <c r="U35" s="250">
        <f t="shared" si="6"/>
        <v>2902.161011259866</v>
      </c>
      <c r="V35" s="250">
        <f t="shared" si="6"/>
        <v>2932.4230553290195</v>
      </c>
      <c r="W35" s="250">
        <f t="shared" si="6"/>
        <v>2959.7931634461715</v>
      </c>
      <c r="X35" s="250">
        <f t="shared" si="6"/>
        <v>2986.2337207216096</v>
      </c>
      <c r="Y35" s="250">
        <f t="shared" si="6"/>
        <v>3012.157860862761</v>
      </c>
      <c r="Z35" s="250">
        <f t="shared" si="6"/>
        <v>3037.9787175770557</v>
      </c>
      <c r="AA35" s="250">
        <f t="shared" si="6"/>
        <v>3064.5225582793501</v>
      </c>
      <c r="AB35" s="250">
        <f t="shared" si="6"/>
        <v>3091.9959498233598</v>
      </c>
      <c r="AC35" s="250">
        <f>(AC33/$R33)*$R35</f>
        <v>3137.5691162790699</v>
      </c>
    </row>
    <row r="36" spans="2:30" x14ac:dyDescent="0.3">
      <c r="B36" s="440" t="s">
        <v>445</v>
      </c>
      <c r="C36" s="441"/>
      <c r="D36" s="440"/>
      <c r="E36" s="441"/>
      <c r="F36" s="441"/>
      <c r="G36" s="441"/>
      <c r="H36" s="449">
        <f t="shared" ref="H36:P36" si="7">H32-H65</f>
        <v>2106.0279999999998</v>
      </c>
      <c r="I36" s="449">
        <f t="shared" si="7"/>
        <v>2141.529</v>
      </c>
      <c r="J36" s="449">
        <f t="shared" si="7"/>
        <v>1990.5010000000002</v>
      </c>
      <c r="K36" s="449">
        <f t="shared" si="7"/>
        <v>2021.4079999999999</v>
      </c>
      <c r="L36" s="449">
        <f t="shared" si="7"/>
        <v>2051.1390000000001</v>
      </c>
      <c r="M36" s="449">
        <f t="shared" si="7"/>
        <v>2079.0590000000002</v>
      </c>
      <c r="N36" s="449">
        <f t="shared" si="7"/>
        <v>2079.8069999999998</v>
      </c>
      <c r="O36" s="449">
        <f t="shared" si="7"/>
        <v>2143.2640000000001</v>
      </c>
      <c r="P36" s="449">
        <f t="shared" si="7"/>
        <v>2159.8381479999998</v>
      </c>
      <c r="Q36" s="449">
        <f t="shared" ref="Q36:AC36" si="8">Q35-Q65</f>
        <v>2187.2127252</v>
      </c>
      <c r="R36" s="449">
        <f t="shared" si="8"/>
        <v>2209.610968</v>
      </c>
      <c r="S36" s="377">
        <f t="shared" si="8"/>
        <v>2261.872132</v>
      </c>
      <c r="T36" s="269">
        <f t="shared" si="8"/>
        <v>2307.62137682291</v>
      </c>
      <c r="U36" s="269">
        <f t="shared" si="8"/>
        <v>2357.742580465615</v>
      </c>
      <c r="V36" s="269">
        <f t="shared" si="8"/>
        <v>2383.4635122959871</v>
      </c>
      <c r="W36" s="269">
        <f t="shared" si="8"/>
        <v>2411.7631607795047</v>
      </c>
      <c r="X36" s="269">
        <f t="shared" si="8"/>
        <v>2435.9379830799426</v>
      </c>
      <c r="Y36" s="269">
        <f t="shared" si="8"/>
        <v>2473.0235672047402</v>
      </c>
      <c r="Z36" s="269">
        <f t="shared" si="8"/>
        <v>2518.4555135827022</v>
      </c>
      <c r="AA36" s="269">
        <f t="shared" si="8"/>
        <v>2540.2858677460167</v>
      </c>
      <c r="AB36" s="269">
        <f t="shared" si="8"/>
        <v>2561.1583763360263</v>
      </c>
      <c r="AC36" s="405">
        <f t="shared" si="8"/>
        <v>2623.304090354728</v>
      </c>
      <c r="AD36" s="154" t="s">
        <v>446</v>
      </c>
    </row>
    <row r="37" spans="2:30" x14ac:dyDescent="0.3">
      <c r="B37" s="37"/>
      <c r="C37" s="37"/>
      <c r="D37" s="37"/>
      <c r="E37" s="37"/>
      <c r="F37" s="37"/>
      <c r="G37" s="37"/>
      <c r="H37" s="37"/>
      <c r="I37" s="37"/>
      <c r="J37" s="37"/>
      <c r="K37" s="37"/>
      <c r="L37" s="37"/>
      <c r="M37" s="434"/>
      <c r="N37" s="434"/>
      <c r="O37" s="434"/>
      <c r="P37" s="434"/>
      <c r="Q37" s="434"/>
      <c r="R37" s="434"/>
      <c r="S37" s="435"/>
      <c r="T37" s="435"/>
      <c r="U37" s="435"/>
      <c r="V37" s="435"/>
      <c r="W37" s="435"/>
      <c r="X37" s="435"/>
      <c r="Y37" s="435"/>
      <c r="Z37" s="435"/>
      <c r="AA37" s="435"/>
      <c r="AB37" s="435"/>
      <c r="AC37" s="435"/>
    </row>
    <row r="38" spans="2:30" x14ac:dyDescent="0.3">
      <c r="B38" s="37"/>
      <c r="C38" s="37"/>
      <c r="D38" s="37"/>
      <c r="E38" s="37"/>
      <c r="F38" s="37"/>
      <c r="G38" s="37"/>
      <c r="H38" s="37"/>
      <c r="I38" s="37"/>
      <c r="J38" s="37"/>
      <c r="K38" s="37"/>
      <c r="L38" s="37"/>
      <c r="M38" s="434"/>
      <c r="N38" s="434"/>
      <c r="O38" s="434"/>
      <c r="P38" s="434"/>
      <c r="Q38" s="191">
        <v>2698.2</v>
      </c>
      <c r="R38" s="191">
        <v>2790</v>
      </c>
      <c r="S38" s="339">
        <v>2817.3</v>
      </c>
      <c r="T38" s="455"/>
      <c r="U38" s="455"/>
      <c r="V38" s="455"/>
      <c r="W38" s="455"/>
      <c r="X38" s="455"/>
      <c r="Y38" s="435"/>
      <c r="Z38" s="435"/>
      <c r="AA38" s="435"/>
      <c r="AB38" s="435"/>
      <c r="AC38" s="435"/>
    </row>
    <row r="39" spans="2:30" x14ac:dyDescent="0.3">
      <c r="B39" s="37"/>
      <c r="C39" s="37"/>
      <c r="D39" s="37"/>
      <c r="E39" s="37"/>
      <c r="F39" s="37"/>
      <c r="G39" s="37"/>
      <c r="H39" s="37"/>
      <c r="I39" s="37"/>
      <c r="J39" s="37"/>
      <c r="K39" s="37"/>
      <c r="L39" s="37"/>
      <c r="M39" s="434"/>
      <c r="N39" s="434"/>
      <c r="O39" s="434"/>
      <c r="P39" s="434"/>
      <c r="Q39" s="426">
        <v>2625.2</v>
      </c>
      <c r="R39" s="426">
        <v>2687.5</v>
      </c>
      <c r="S39" s="427">
        <v>2737.7</v>
      </c>
      <c r="T39" s="433">
        <v>2776</v>
      </c>
      <c r="U39" s="433">
        <v>2809.9</v>
      </c>
      <c r="V39" s="433">
        <v>2839.2</v>
      </c>
      <c r="W39" s="433">
        <v>2865.7</v>
      </c>
      <c r="X39" s="433">
        <v>2891.3</v>
      </c>
      <c r="Y39" s="435"/>
      <c r="Z39" s="435"/>
      <c r="AA39" s="435"/>
      <c r="AB39" s="435"/>
      <c r="AC39" s="435"/>
    </row>
    <row r="40" spans="2:30" x14ac:dyDescent="0.3">
      <c r="B40" s="37"/>
      <c r="C40" s="37"/>
      <c r="D40" s="37"/>
      <c r="E40" s="37"/>
      <c r="F40" s="37"/>
      <c r="G40" s="37"/>
      <c r="H40" s="37"/>
      <c r="I40" s="37"/>
      <c r="J40" s="37"/>
      <c r="K40" s="37"/>
      <c r="L40" s="37"/>
      <c r="M40" s="434"/>
      <c r="N40" s="434"/>
      <c r="O40" s="434"/>
      <c r="P40" s="434"/>
      <c r="Q40" s="165">
        <v>10.128423587170188</v>
      </c>
      <c r="R40" s="165">
        <v>14.319485516488072</v>
      </c>
      <c r="S40" s="170">
        <v>3.9718012595963748</v>
      </c>
      <c r="T40" s="251">
        <v>5.4144667062669631</v>
      </c>
      <c r="U40" s="251">
        <v>4.9749339639030277</v>
      </c>
      <c r="V40" s="251">
        <v>4.2366602536129561</v>
      </c>
      <c r="W40" s="251">
        <v>3.7860418668673734</v>
      </c>
      <c r="X40" s="251">
        <v>3.6214654878406138</v>
      </c>
      <c r="Y40" s="435"/>
      <c r="Z40" s="435"/>
      <c r="AA40" s="435"/>
      <c r="AB40" s="435"/>
      <c r="AC40" s="435"/>
    </row>
    <row r="41" spans="2:30" x14ac:dyDescent="0.3">
      <c r="B41" s="37"/>
      <c r="C41" s="37"/>
      <c r="D41" s="37"/>
      <c r="E41" s="37"/>
      <c r="F41" s="37"/>
      <c r="G41" s="37"/>
      <c r="H41" s="37"/>
      <c r="I41" s="37"/>
      <c r="J41" s="37"/>
      <c r="K41" s="37"/>
      <c r="L41" s="37"/>
      <c r="M41" s="434"/>
      <c r="N41" s="434"/>
      <c r="O41" s="434"/>
      <c r="P41" s="434"/>
      <c r="Q41" s="247">
        <v>2698.2</v>
      </c>
      <c r="R41" s="247">
        <v>2790</v>
      </c>
      <c r="S41" s="1053">
        <v>2817.3</v>
      </c>
      <c r="T41" s="250">
        <v>2854.6847123042471</v>
      </c>
      <c r="U41" s="250">
        <v>2889.5455954984527</v>
      </c>
      <c r="V41" s="250">
        <v>2919.676093362471</v>
      </c>
      <c r="W41" s="250">
        <v>2946.9272262428967</v>
      </c>
      <c r="X41" s="250">
        <v>2973.252848950026</v>
      </c>
      <c r="Y41" s="435"/>
      <c r="Z41" s="435"/>
      <c r="AA41" s="435"/>
      <c r="AB41" s="435"/>
      <c r="AC41" s="435"/>
    </row>
    <row r="42" spans="2:30" x14ac:dyDescent="0.3">
      <c r="B42" s="37"/>
      <c r="C42" s="37"/>
      <c r="D42" s="37"/>
      <c r="E42" s="37"/>
      <c r="F42" s="37"/>
      <c r="G42" s="37"/>
      <c r="H42" s="37"/>
      <c r="I42" s="37"/>
      <c r="J42" s="37"/>
      <c r="K42" s="37"/>
      <c r="L42" s="37"/>
      <c r="M42" s="434"/>
      <c r="N42" s="434"/>
      <c r="O42" s="434"/>
      <c r="P42" s="434"/>
      <c r="Q42" s="449">
        <v>2187.2127252</v>
      </c>
      <c r="R42" s="449">
        <v>2209.610968</v>
      </c>
      <c r="S42" s="377">
        <v>2249.5721320000002</v>
      </c>
      <c r="T42" s="269">
        <v>2295.1581595718753</v>
      </c>
      <c r="U42" s="269">
        <v>2345.1271647042017</v>
      </c>
      <c r="V42" s="269">
        <v>2370.7165503294391</v>
      </c>
      <c r="W42" s="269">
        <v>2398.8972235762303</v>
      </c>
      <c r="X42" s="269">
        <v>2422.9571113083593</v>
      </c>
      <c r="Y42" s="435"/>
      <c r="Z42" s="435"/>
      <c r="AA42" s="435"/>
      <c r="AB42" s="435"/>
      <c r="AC42" s="435"/>
    </row>
    <row r="43" spans="2:30" x14ac:dyDescent="0.3">
      <c r="B43" s="37"/>
      <c r="C43" s="37"/>
      <c r="D43" s="37"/>
      <c r="E43" s="37"/>
      <c r="F43" s="37"/>
      <c r="G43" s="37"/>
      <c r="H43" s="37"/>
      <c r="I43" s="37"/>
      <c r="J43" s="37"/>
      <c r="K43" s="37"/>
      <c r="L43" s="37"/>
      <c r="M43" s="434"/>
      <c r="N43" s="434"/>
      <c r="O43" s="434"/>
      <c r="P43" s="434"/>
      <c r="Q43" s="434"/>
      <c r="R43" s="434"/>
      <c r="S43" s="435"/>
      <c r="T43" s="435"/>
      <c r="U43" s="435"/>
      <c r="V43" s="435"/>
      <c r="W43" s="435"/>
      <c r="X43" s="435"/>
      <c r="Y43" s="435"/>
      <c r="Z43" s="435"/>
      <c r="AA43" s="435"/>
      <c r="AB43" s="435"/>
      <c r="AC43" s="435"/>
    </row>
    <row r="44" spans="2:30" x14ac:dyDescent="0.3">
      <c r="B44" s="37"/>
      <c r="C44" s="37"/>
      <c r="D44" s="37"/>
      <c r="E44" s="37"/>
      <c r="F44" s="37"/>
      <c r="G44" s="37"/>
      <c r="H44" s="37"/>
      <c r="I44" s="37"/>
      <c r="J44" s="37"/>
      <c r="K44" s="37"/>
      <c r="L44" s="37"/>
      <c r="M44" s="434"/>
      <c r="N44" s="434"/>
      <c r="O44" s="434"/>
      <c r="P44" s="434"/>
      <c r="Q44" s="434"/>
      <c r="R44" s="434"/>
      <c r="S44" s="435"/>
      <c r="T44" s="435"/>
      <c r="U44" s="435"/>
      <c r="V44" s="435"/>
      <c r="W44" s="435"/>
      <c r="X44" s="435"/>
      <c r="Y44" s="435"/>
      <c r="Z44" s="435"/>
      <c r="AA44" s="435"/>
      <c r="AB44" s="435"/>
      <c r="AC44" s="435"/>
    </row>
    <row r="45" spans="2:30" x14ac:dyDescent="0.3">
      <c r="B45" s="37"/>
      <c r="C45" s="37"/>
      <c r="D45" s="37"/>
      <c r="E45" s="37"/>
      <c r="F45" s="37"/>
      <c r="G45" s="37"/>
      <c r="H45" s="37"/>
      <c r="I45" s="37"/>
      <c r="J45" s="37"/>
      <c r="K45" s="37"/>
      <c r="L45" s="37"/>
      <c r="M45" s="434"/>
      <c r="N45" s="434"/>
      <c r="O45" s="434"/>
      <c r="P45" s="434"/>
      <c r="Q45" s="434"/>
      <c r="R45" s="434"/>
      <c r="S45" s="435"/>
      <c r="T45" s="435"/>
      <c r="U45" s="435"/>
      <c r="V45" s="435"/>
      <c r="W45" s="435"/>
      <c r="X45" s="435"/>
      <c r="Y45" s="435"/>
      <c r="Z45" s="435"/>
      <c r="AA45" s="435"/>
      <c r="AB45" s="435"/>
      <c r="AC45" s="435"/>
    </row>
    <row r="46" spans="2:30" x14ac:dyDescent="0.3">
      <c r="B46" s="37"/>
      <c r="C46" s="37"/>
      <c r="D46" s="37"/>
      <c r="E46" s="37"/>
      <c r="F46" s="37"/>
      <c r="G46" s="37"/>
      <c r="H46" s="37"/>
      <c r="I46" s="37"/>
      <c r="J46" s="37"/>
      <c r="K46" s="37"/>
      <c r="L46" s="37"/>
      <c r="M46" s="434"/>
      <c r="N46" s="434"/>
      <c r="O46" s="434"/>
      <c r="P46" s="434"/>
      <c r="Q46" s="434"/>
      <c r="R46" s="434"/>
      <c r="S46" s="435"/>
      <c r="T46" s="435"/>
      <c r="U46" s="435"/>
      <c r="V46" s="435"/>
      <c r="W46" s="435"/>
      <c r="X46" s="435"/>
      <c r="Y46" s="435"/>
      <c r="Z46" s="435"/>
      <c r="AA46" s="435"/>
      <c r="AB46" s="435"/>
      <c r="AC46" s="435"/>
    </row>
    <row r="47" spans="2:30" x14ac:dyDescent="0.3">
      <c r="B47" s="263"/>
      <c r="C47" s="263"/>
      <c r="D47" s="263"/>
      <c r="E47" s="263"/>
      <c r="F47" s="263"/>
      <c r="G47" s="263"/>
      <c r="H47" s="157"/>
      <c r="I47" s="157"/>
      <c r="J47" s="157"/>
      <c r="K47" s="157"/>
      <c r="L47" s="157"/>
      <c r="M47" s="157"/>
      <c r="N47" s="157"/>
      <c r="O47" s="157"/>
      <c r="P47" s="157"/>
      <c r="Q47" s="439"/>
      <c r="R47" s="157"/>
      <c r="S47" s="157"/>
      <c r="T47" s="157"/>
      <c r="U47" s="157"/>
      <c r="V47" s="157"/>
      <c r="W47" s="157"/>
      <c r="X47" s="157"/>
      <c r="Y47" s="157"/>
      <c r="Z47" s="157"/>
    </row>
    <row r="48" spans="2:30" ht="85.2" customHeight="1" x14ac:dyDescent="0.3">
      <c r="B48" s="459" t="s">
        <v>955</v>
      </c>
      <c r="C48" s="469" t="s">
        <v>954</v>
      </c>
      <c r="D48" s="467">
        <v>44197</v>
      </c>
      <c r="E48" s="468">
        <v>44228</v>
      </c>
      <c r="F48" s="468">
        <v>44256</v>
      </c>
      <c r="G48" s="468">
        <v>44287</v>
      </c>
      <c r="H48" s="468">
        <v>44317</v>
      </c>
      <c r="I48" s="468">
        <v>44348</v>
      </c>
      <c r="J48" s="468">
        <v>44378</v>
      </c>
      <c r="K48" s="468">
        <v>44409</v>
      </c>
      <c r="L48" s="468">
        <v>44440</v>
      </c>
      <c r="M48" s="468">
        <v>44470</v>
      </c>
      <c r="N48" s="468">
        <v>44501</v>
      </c>
      <c r="O48" s="468">
        <v>44531</v>
      </c>
      <c r="P48" s="444">
        <v>44562</v>
      </c>
      <c r="Q48" s="443">
        <v>44593</v>
      </c>
      <c r="R48" s="444">
        <v>44621</v>
      </c>
      <c r="S48" s="444">
        <v>44652</v>
      </c>
      <c r="T48" s="444">
        <v>44682</v>
      </c>
      <c r="U48" s="444">
        <v>44713</v>
      </c>
      <c r="V48" s="444">
        <v>44743</v>
      </c>
      <c r="W48" s="444">
        <v>44774</v>
      </c>
      <c r="X48" s="444">
        <v>44805</v>
      </c>
      <c r="Y48" s="444">
        <v>44835</v>
      </c>
      <c r="Z48" s="157"/>
    </row>
    <row r="49" spans="2:33" ht="19.5" customHeight="1" x14ac:dyDescent="0.3">
      <c r="B49" s="362" t="s">
        <v>447</v>
      </c>
      <c r="C49" s="437" t="s">
        <v>448</v>
      </c>
      <c r="D49" s="37">
        <f>[1]Sheet1!B$2</f>
        <v>5154</v>
      </c>
      <c r="E49" s="37">
        <f>[1]Sheet1!C$2</f>
        <v>5157</v>
      </c>
      <c r="F49" s="37">
        <f>[1]Sheet1!D$2</f>
        <v>5170</v>
      </c>
      <c r="G49" s="37">
        <f>[1]Sheet1!E$2</f>
        <v>5173</v>
      </c>
      <c r="H49" s="37">
        <f>[1]Sheet1!F$2</f>
        <v>5231</v>
      </c>
      <c r="I49" s="37">
        <f>[1]Sheet1!G$2</f>
        <v>5251</v>
      </c>
      <c r="J49" s="37">
        <f>[1]Sheet1!H$2</f>
        <v>5241</v>
      </c>
      <c r="K49" s="37">
        <f>[1]Sheet1!I$2</f>
        <v>5226</v>
      </c>
      <c r="L49" s="37">
        <f>[1]Sheet1!J$2</f>
        <v>5224</v>
      </c>
      <c r="M49" s="37">
        <f>[1]Sheet1!K$2</f>
        <v>5224</v>
      </c>
      <c r="N49" s="37">
        <f>[1]Sheet1!L$2</f>
        <v>5220</v>
      </c>
      <c r="O49" s="37">
        <f>[1]Sheet1!M$2</f>
        <v>5237</v>
      </c>
      <c r="P49" s="37">
        <f>[1]Sheet1!N$2</f>
        <v>5219</v>
      </c>
      <c r="Q49" s="37">
        <f>[1]Sheet1!O$2</f>
        <v>5212</v>
      </c>
      <c r="R49" s="37">
        <f>[1]Sheet1!P$2</f>
        <v>5213</v>
      </c>
      <c r="S49" s="37">
        <f>[1]Sheet1!Q$2</f>
        <v>5218</v>
      </c>
      <c r="T49" s="37">
        <f>[1]Sheet1!R$2</f>
        <v>5258</v>
      </c>
      <c r="U49" s="37">
        <f>[1]Sheet1!S$2</f>
        <v>5238</v>
      </c>
      <c r="V49" s="37">
        <f>[1]Sheet1!T$2</f>
        <v>5246</v>
      </c>
      <c r="W49" s="37">
        <v>5261</v>
      </c>
      <c r="X49" s="37">
        <v>5261</v>
      </c>
      <c r="Y49" s="37">
        <v>5254</v>
      </c>
      <c r="Z49" s="157"/>
    </row>
    <row r="50" spans="2:33" ht="18" customHeight="1" x14ac:dyDescent="0.3">
      <c r="B50" s="270" t="s">
        <v>449</v>
      </c>
      <c r="C50" s="154" t="s">
        <v>450</v>
      </c>
      <c r="D50" s="37">
        <f>[1]Sheet1!B$3</f>
        <v>13748</v>
      </c>
      <c r="E50" s="37">
        <f>[1]Sheet1!C$3</f>
        <v>13760</v>
      </c>
      <c r="F50" s="37">
        <f>[1]Sheet1!D$3</f>
        <v>13801</v>
      </c>
      <c r="G50" s="37">
        <f>[1]Sheet1!E$3</f>
        <v>13842</v>
      </c>
      <c r="H50" s="37">
        <f>[1]Sheet1!F$3</f>
        <v>13856</v>
      </c>
      <c r="I50" s="37">
        <f>[1]Sheet1!G$3</f>
        <v>13889</v>
      </c>
      <c r="J50" s="37">
        <f>[1]Sheet1!H$3</f>
        <v>13948</v>
      </c>
      <c r="K50" s="37">
        <f>[1]Sheet1!I$3</f>
        <v>13984</v>
      </c>
      <c r="L50" s="37">
        <f>[1]Sheet1!J$3</f>
        <v>14002</v>
      </c>
      <c r="M50" s="37">
        <f>[1]Sheet1!K$3</f>
        <v>13990</v>
      </c>
      <c r="N50" s="37">
        <f>[1]Sheet1!L$3</f>
        <v>14010</v>
      </c>
      <c r="O50" s="37">
        <f>[1]Sheet1!M$3</f>
        <v>14028</v>
      </c>
      <c r="P50" s="37">
        <f>[1]Sheet1!N$3</f>
        <v>14055</v>
      </c>
      <c r="Q50" s="37">
        <f>[1]Sheet1!O$3</f>
        <v>14073</v>
      </c>
      <c r="R50" s="37">
        <f>[1]Sheet1!P$3</f>
        <v>14087</v>
      </c>
      <c r="S50" s="37">
        <f>[1]Sheet1!Q$3</f>
        <v>14091</v>
      </c>
      <c r="T50" s="37">
        <f>[1]Sheet1!R$3</f>
        <v>14105</v>
      </c>
      <c r="U50" s="37">
        <f>[1]Sheet1!S$3</f>
        <v>14084</v>
      </c>
      <c r="V50" s="37">
        <f>[1]Sheet1!T$3</f>
        <v>14157</v>
      </c>
      <c r="W50" s="37">
        <v>14201</v>
      </c>
      <c r="X50" s="37">
        <v>14194</v>
      </c>
      <c r="Y50" s="37">
        <v>14223</v>
      </c>
      <c r="Z50" s="157"/>
      <c r="AG50" s="154"/>
    </row>
    <row r="51" spans="2:33" ht="19.5" customHeight="1" x14ac:dyDescent="0.3">
      <c r="B51" s="440" t="s">
        <v>451</v>
      </c>
      <c r="C51" s="264" t="s">
        <v>452</v>
      </c>
      <c r="D51" s="38">
        <f>[1]Sheet1!B$4</f>
        <v>328517</v>
      </c>
      <c r="E51" s="38">
        <f>[1]Sheet1!C$4</f>
        <v>320118</v>
      </c>
      <c r="F51" s="38">
        <f>[1]Sheet1!D$4</f>
        <v>319991</v>
      </c>
      <c r="G51" s="38">
        <f>[1]Sheet1!E$4</f>
        <v>321220</v>
      </c>
      <c r="H51" s="38">
        <f>[1]Sheet1!F$4</f>
        <v>319056</v>
      </c>
      <c r="I51" s="38">
        <f>[1]Sheet1!G$4</f>
        <v>315198</v>
      </c>
      <c r="J51" s="38">
        <f>[1]Sheet1!H$4</f>
        <v>318559</v>
      </c>
      <c r="K51" s="38">
        <f>[1]Sheet1!I$4</f>
        <v>323086</v>
      </c>
      <c r="L51" s="38">
        <f>[1]Sheet1!J$4</f>
        <v>324024</v>
      </c>
      <c r="M51" s="38">
        <f>[1]Sheet1!K$4</f>
        <v>325954</v>
      </c>
      <c r="N51" s="38">
        <f>[1]Sheet1!L$4</f>
        <v>325873</v>
      </c>
      <c r="O51" s="38">
        <f>[1]Sheet1!M$4</f>
        <v>323714</v>
      </c>
      <c r="P51" s="38">
        <f>[1]Sheet1!N$4</f>
        <v>323638</v>
      </c>
      <c r="Q51" s="38">
        <f>[1]Sheet1!O$4</f>
        <v>324761</v>
      </c>
      <c r="R51" s="38">
        <f>[1]Sheet1!P$4</f>
        <v>319759</v>
      </c>
      <c r="S51" s="38">
        <v>323392</v>
      </c>
      <c r="T51" s="38">
        <v>320626</v>
      </c>
      <c r="U51" s="38">
        <f>[1]Sheet1!S$4</f>
        <v>324999</v>
      </c>
      <c r="V51" s="38">
        <v>336811</v>
      </c>
      <c r="W51" s="38">
        <v>337289</v>
      </c>
      <c r="X51" s="38">
        <v>339155</v>
      </c>
      <c r="Y51" s="38">
        <f>[1]Sheet1!W$4</f>
        <v>0</v>
      </c>
      <c r="Z51" s="157"/>
      <c r="AG51" s="154"/>
    </row>
    <row r="52" spans="2:33" ht="15.6" customHeight="1" x14ac:dyDescent="0.3">
      <c r="B52" s="278"/>
      <c r="C52" s="263"/>
      <c r="D52" s="263"/>
      <c r="E52" s="263"/>
      <c r="F52" s="263"/>
      <c r="G52" s="263"/>
      <c r="H52" s="157"/>
      <c r="I52" s="157"/>
      <c r="J52" s="157"/>
      <c r="Q52" s="473"/>
      <c r="R52" s="157"/>
      <c r="S52" s="157"/>
      <c r="T52" s="157"/>
      <c r="U52" s="157"/>
      <c r="V52" s="157"/>
      <c r="W52" s="157"/>
      <c r="X52" s="157"/>
      <c r="Y52" s="157"/>
      <c r="Z52" s="157"/>
      <c r="AG52" s="154"/>
    </row>
    <row r="53" spans="2:33" ht="12.75" customHeight="1" x14ac:dyDescent="0.3">
      <c r="AG53" s="154"/>
    </row>
    <row r="54" spans="2:33" x14ac:dyDescent="0.3">
      <c r="B54" s="1146" t="s">
        <v>453</v>
      </c>
      <c r="C54" s="1146"/>
      <c r="D54" s="1146"/>
      <c r="E54" s="1146"/>
      <c r="F54" s="1146"/>
      <c r="G54" s="1146"/>
      <c r="H54" s="1146"/>
      <c r="I54" s="1146"/>
      <c r="J54" s="1146"/>
      <c r="K54" s="1146"/>
      <c r="L54" s="1146"/>
      <c r="M54" s="1146"/>
      <c r="N54" s="1146"/>
      <c r="O54" s="1146"/>
      <c r="P54" s="1146"/>
      <c r="Q54" s="1146"/>
      <c r="R54" s="1146"/>
      <c r="S54" s="1146"/>
      <c r="T54" s="1146"/>
      <c r="U54" s="1146"/>
      <c r="V54" s="1146"/>
      <c r="W54" s="1146"/>
      <c r="X54" s="1146"/>
      <c r="Y54" s="1146"/>
      <c r="Z54" s="1146"/>
      <c r="AA54" s="1146"/>
      <c r="AB54" s="1146"/>
      <c r="AC54" s="1146"/>
      <c r="AG54" s="154"/>
    </row>
    <row r="55" spans="2:33" ht="9" customHeight="1" x14ac:dyDescent="0.3">
      <c r="B55" s="1146"/>
      <c r="C55" s="1146"/>
      <c r="D55" s="1146"/>
      <c r="E55" s="1146"/>
      <c r="F55" s="1146"/>
      <c r="G55" s="1146"/>
      <c r="H55" s="1146"/>
      <c r="I55" s="1146"/>
      <c r="J55" s="1146"/>
      <c r="K55" s="1146"/>
      <c r="L55" s="1146"/>
      <c r="M55" s="1146"/>
      <c r="N55" s="1146"/>
      <c r="O55" s="1146"/>
      <c r="P55" s="1146"/>
      <c r="Q55" s="1146"/>
      <c r="R55" s="1146"/>
      <c r="S55" s="1146"/>
      <c r="T55" s="1146"/>
      <c r="U55" s="1146"/>
      <c r="V55" s="1146"/>
      <c r="W55" s="1146"/>
      <c r="X55" s="1146"/>
      <c r="Y55" s="1146"/>
      <c r="Z55" s="1146"/>
      <c r="AA55" s="1146"/>
      <c r="AB55" s="1146"/>
      <c r="AC55" s="1146"/>
      <c r="AG55" s="154"/>
    </row>
    <row r="56" spans="2:33" ht="14.25" customHeight="1" x14ac:dyDescent="0.3">
      <c r="B56" s="1212" t="s">
        <v>454</v>
      </c>
      <c r="C56" s="1212"/>
      <c r="D56" s="1212"/>
      <c r="E56" s="1212"/>
      <c r="F56" s="1212"/>
      <c r="G56" s="1212"/>
      <c r="H56" s="1212"/>
      <c r="I56" s="1212"/>
      <c r="J56" s="1212"/>
      <c r="K56" s="1212"/>
      <c r="L56" s="1212"/>
      <c r="M56" s="1212"/>
      <c r="N56" s="1212"/>
      <c r="O56" s="1212"/>
      <c r="P56" s="1212"/>
      <c r="Q56" s="1212"/>
      <c r="R56" s="1212"/>
      <c r="S56" s="1212"/>
      <c r="T56" s="1212"/>
      <c r="U56" s="1212"/>
      <c r="V56" s="1212"/>
      <c r="W56" s="1212"/>
      <c r="X56" s="1212"/>
      <c r="Y56" s="1212"/>
      <c r="Z56" s="1212"/>
      <c r="AA56" s="1212"/>
      <c r="AB56" s="1212"/>
      <c r="AC56" s="1212"/>
      <c r="AG56" s="154"/>
    </row>
    <row r="57" spans="2:33" x14ac:dyDescent="0.3">
      <c r="B57" s="1212"/>
      <c r="C57" s="1212"/>
      <c r="D57" s="1212"/>
      <c r="E57" s="1212"/>
      <c r="F57" s="1212"/>
      <c r="G57" s="1212"/>
      <c r="H57" s="1212"/>
      <c r="I57" s="1212"/>
      <c r="J57" s="1212"/>
      <c r="K57" s="1212"/>
      <c r="L57" s="1212"/>
      <c r="M57" s="1212"/>
      <c r="N57" s="1212"/>
      <c r="O57" s="1212"/>
      <c r="P57" s="1212"/>
      <c r="Q57" s="1212"/>
      <c r="R57" s="1212"/>
      <c r="S57" s="1212"/>
      <c r="T57" s="1212"/>
      <c r="U57" s="1212"/>
      <c r="V57" s="1212"/>
      <c r="W57" s="1212"/>
      <c r="X57" s="1212"/>
      <c r="Y57" s="1212"/>
      <c r="Z57" s="1212"/>
      <c r="AA57" s="1212"/>
      <c r="AB57" s="1212"/>
      <c r="AC57" s="1212"/>
      <c r="AG57" s="154"/>
    </row>
    <row r="58" spans="2:33" ht="8.6999999999999993" customHeight="1" x14ac:dyDescent="0.3">
      <c r="B58" s="1212"/>
      <c r="C58" s="1212"/>
      <c r="D58" s="1212"/>
      <c r="E58" s="1212"/>
      <c r="F58" s="1212"/>
      <c r="G58" s="1212"/>
      <c r="H58" s="1212"/>
      <c r="I58" s="1212"/>
      <c r="J58" s="1212"/>
      <c r="K58" s="1212"/>
      <c r="L58" s="1212"/>
      <c r="M58" s="1212"/>
      <c r="N58" s="1212"/>
      <c r="O58" s="1212"/>
      <c r="P58" s="1212"/>
      <c r="Q58" s="1212"/>
      <c r="R58" s="1212"/>
      <c r="S58" s="1212"/>
      <c r="T58" s="1212"/>
      <c r="U58" s="1212"/>
      <c r="V58" s="1212"/>
      <c r="W58" s="1212"/>
      <c r="X58" s="1212"/>
      <c r="Y58" s="1212"/>
      <c r="Z58" s="1212"/>
      <c r="AA58" s="1212"/>
      <c r="AB58" s="1212"/>
      <c r="AC58" s="1212"/>
      <c r="AG58" s="154"/>
    </row>
    <row r="59" spans="2:33" ht="12.75" customHeight="1" x14ac:dyDescent="0.3">
      <c r="AG59" s="154"/>
    </row>
    <row r="60" spans="2:33" ht="30.75" customHeight="1" x14ac:dyDescent="0.3">
      <c r="B60" s="1175" t="s">
        <v>324</v>
      </c>
      <c r="C60" s="1158"/>
      <c r="D60" s="1156" t="s">
        <v>325</v>
      </c>
      <c r="E60" s="1157"/>
      <c r="F60" s="1157"/>
      <c r="G60" s="1157"/>
      <c r="H60" s="1157"/>
      <c r="I60" s="1157"/>
      <c r="J60" s="1157"/>
      <c r="K60" s="1157"/>
      <c r="L60" s="1157"/>
      <c r="M60" s="1157"/>
      <c r="N60" s="1157"/>
      <c r="O60" s="1157"/>
      <c r="P60" s="1157"/>
      <c r="Q60" s="1158"/>
      <c r="R60" s="1158"/>
      <c r="S60" s="1159"/>
      <c r="T60" s="1183" t="s">
        <v>326</v>
      </c>
      <c r="U60" s="1184"/>
      <c r="V60" s="1184"/>
      <c r="W60" s="1184"/>
      <c r="X60" s="1184"/>
      <c r="Y60" s="1184"/>
      <c r="Z60" s="1184"/>
      <c r="AA60" s="1184"/>
      <c r="AB60" s="1184"/>
      <c r="AC60" s="1185"/>
      <c r="AG60" s="154"/>
    </row>
    <row r="61" spans="2:33" x14ac:dyDescent="0.3">
      <c r="B61" s="1176"/>
      <c r="C61" s="1213"/>
      <c r="D61" s="141">
        <v>2018</v>
      </c>
      <c r="E61" s="1147">
        <v>2019</v>
      </c>
      <c r="F61" s="1148"/>
      <c r="G61" s="1148"/>
      <c r="H61" s="1155"/>
      <c r="I61" s="1147">
        <v>2020</v>
      </c>
      <c r="J61" s="1148"/>
      <c r="K61" s="1148"/>
      <c r="L61" s="1148"/>
      <c r="M61" s="1147">
        <v>2021</v>
      </c>
      <c r="N61" s="1148"/>
      <c r="O61" s="1148"/>
      <c r="P61" s="1148"/>
      <c r="Q61" s="1181">
        <v>2022</v>
      </c>
      <c r="R61" s="1182"/>
      <c r="S61" s="252"/>
      <c r="T61" s="287"/>
      <c r="U61" s="1178">
        <v>2023</v>
      </c>
      <c r="V61" s="1179"/>
      <c r="W61" s="1179"/>
      <c r="X61" s="1179"/>
      <c r="Y61" s="1178">
        <v>2024</v>
      </c>
      <c r="Z61" s="1179"/>
      <c r="AA61" s="1179"/>
      <c r="AB61" s="1180"/>
      <c r="AC61" s="258">
        <v>2025</v>
      </c>
      <c r="AG61" s="154"/>
    </row>
    <row r="62" spans="2:33" x14ac:dyDescent="0.3">
      <c r="B62" s="1187"/>
      <c r="C62" s="1214"/>
      <c r="D62" s="152" t="s">
        <v>327</v>
      </c>
      <c r="E62" s="152" t="s">
        <v>328</v>
      </c>
      <c r="F62" s="151" t="s">
        <v>329</v>
      </c>
      <c r="G62" s="151" t="s">
        <v>238</v>
      </c>
      <c r="H62" s="203" t="s">
        <v>327</v>
      </c>
      <c r="I62" s="151" t="s">
        <v>328</v>
      </c>
      <c r="J62" s="151" t="s">
        <v>329</v>
      </c>
      <c r="K62" s="151" t="s">
        <v>238</v>
      </c>
      <c r="L62" s="151" t="s">
        <v>327</v>
      </c>
      <c r="M62" s="152" t="s">
        <v>328</v>
      </c>
      <c r="N62" s="151" t="s">
        <v>329</v>
      </c>
      <c r="O62" s="151" t="s">
        <v>238</v>
      </c>
      <c r="P62" s="151" t="s">
        <v>327</v>
      </c>
      <c r="Q62" s="152" t="s">
        <v>328</v>
      </c>
      <c r="R62" s="151" t="s">
        <v>329</v>
      </c>
      <c r="S62" s="203" t="s">
        <v>238</v>
      </c>
      <c r="T62" s="368" t="s">
        <v>327</v>
      </c>
      <c r="U62" s="355" t="s">
        <v>328</v>
      </c>
      <c r="V62" s="356" t="s">
        <v>329</v>
      </c>
      <c r="W62" s="356" t="s">
        <v>238</v>
      </c>
      <c r="X62" s="356" t="s">
        <v>327</v>
      </c>
      <c r="Y62" s="355" t="s">
        <v>328</v>
      </c>
      <c r="Z62" s="249" t="s">
        <v>329</v>
      </c>
      <c r="AA62" s="356" t="s">
        <v>238</v>
      </c>
      <c r="AB62" s="368" t="s">
        <v>327</v>
      </c>
      <c r="AC62" s="383" t="s">
        <v>328</v>
      </c>
      <c r="AG62" s="154"/>
    </row>
    <row r="63" spans="2:33" x14ac:dyDescent="0.3">
      <c r="B63" s="464" t="s">
        <v>134</v>
      </c>
      <c r="C63" s="279"/>
      <c r="D63" s="262"/>
      <c r="E63" s="279"/>
      <c r="F63" s="279"/>
      <c r="G63" s="279"/>
      <c r="H63" s="442">
        <f>Grants!H116</f>
        <v>72.367000000000004</v>
      </c>
      <c r="I63" s="442">
        <f>Grants!I116</f>
        <v>75.578999999999994</v>
      </c>
      <c r="J63" s="442">
        <f>Grants!J116</f>
        <v>76.015000000000001</v>
      </c>
      <c r="K63" s="442">
        <f>Grants!K116</f>
        <v>78.872</v>
      </c>
      <c r="L63" s="442">
        <f>Grants!L116</f>
        <v>75.819000000000003</v>
      </c>
      <c r="M63" s="442">
        <f>Grants!M116</f>
        <v>73.662000000000006</v>
      </c>
      <c r="N63" s="442">
        <f>Grants!N116</f>
        <v>75.066000000000003</v>
      </c>
      <c r="O63" s="442">
        <f>Grants!O116</f>
        <v>69.344999999999999</v>
      </c>
      <c r="P63" s="442">
        <f>Grants!P116</f>
        <v>72.477000000000004</v>
      </c>
      <c r="Q63" s="442">
        <f>Grants!Q116</f>
        <v>72.528999999999996</v>
      </c>
      <c r="R63" s="428">
        <f>Grants!R116</f>
        <v>75.340000000000018</v>
      </c>
      <c r="S63" s="429">
        <f>Grants!S116</f>
        <v>75.340000000000018</v>
      </c>
      <c r="T63" s="455">
        <f>Grants!T116</f>
        <v>76.15900000000002</v>
      </c>
      <c r="U63" s="455">
        <f>Grants!U116</f>
        <v>76.15900000000002</v>
      </c>
      <c r="V63" s="455">
        <f>Grants!V116</f>
        <v>76.15900000000002</v>
      </c>
      <c r="W63" s="455">
        <f>Grants!W116</f>
        <v>76.15900000000002</v>
      </c>
      <c r="X63" s="455">
        <f>Grants!X116</f>
        <v>77.818000000000012</v>
      </c>
      <c r="Y63" s="455">
        <f>Grants!Y116</f>
        <v>77.818000000000012</v>
      </c>
      <c r="Z63" s="455">
        <f>Grants!Z116</f>
        <v>77.818000000000012</v>
      </c>
      <c r="AA63" s="455">
        <f>Grants!AA116</f>
        <v>77.818000000000012</v>
      </c>
      <c r="AB63" s="455">
        <f>Grants!AB116</f>
        <v>79.41200000000002</v>
      </c>
      <c r="AC63" s="445">
        <f>Grants!AC116</f>
        <v>79.41200000000002</v>
      </c>
    </row>
    <row r="64" spans="2:33" x14ac:dyDescent="0.3">
      <c r="B64" s="185" t="s">
        <v>192</v>
      </c>
      <c r="C64" s="180"/>
      <c r="D64" s="447"/>
      <c r="E64" s="180"/>
      <c r="F64" s="180"/>
      <c r="G64" s="180"/>
      <c r="H64" s="147">
        <f>Grants!H85</f>
        <v>205.80500000000001</v>
      </c>
      <c r="I64" s="147">
        <f>Grants!I85</f>
        <v>210.29200000000003</v>
      </c>
      <c r="J64" s="147">
        <f>Grants!J85</f>
        <v>325.28399999999999</v>
      </c>
      <c r="K64" s="147">
        <f>Grants!K85</f>
        <v>297.32000000000005</v>
      </c>
      <c r="L64" s="147">
        <f>Grants!L85</f>
        <v>289.54199999999997</v>
      </c>
      <c r="M64" s="147">
        <f>Grants!M85</f>
        <v>315.67900000000003</v>
      </c>
      <c r="N64" s="147">
        <f>Grants!N85</f>
        <v>361.52700000000004</v>
      </c>
      <c r="O64" s="147">
        <f>Grants!O85</f>
        <v>374.99100000000004</v>
      </c>
      <c r="P64" s="147">
        <f>Grants!P85</f>
        <v>401.58485200000007</v>
      </c>
      <c r="Q64" s="147">
        <f>Grants!Q85</f>
        <v>438.45827479999997</v>
      </c>
      <c r="R64" s="147">
        <f>Grants!R85</f>
        <v>505.04903199999995</v>
      </c>
      <c r="S64" s="296">
        <f>Grants!S85</f>
        <v>492.38786800000003</v>
      </c>
      <c r="T64" s="251">
        <f>Grants!T85</f>
        <v>483.36755273237202</v>
      </c>
      <c r="U64" s="251">
        <f>Grants!U85</f>
        <v>468.25943079425093</v>
      </c>
      <c r="V64" s="251">
        <f>Grants!V85</f>
        <v>472.80054303303206</v>
      </c>
      <c r="W64" s="251">
        <f>Grants!W85</f>
        <v>471.87100266666664</v>
      </c>
      <c r="X64" s="251">
        <f>Grants!X85</f>
        <v>472.47773764166686</v>
      </c>
      <c r="Y64" s="251">
        <f>Grants!Y85</f>
        <v>461.31629365802087</v>
      </c>
      <c r="Z64" s="251">
        <f>Grants!Z85</f>
        <v>441.70520399435327</v>
      </c>
      <c r="AA64" s="251">
        <f>Grants!AA85</f>
        <v>446.41869053333329</v>
      </c>
      <c r="AB64" s="251">
        <f>Grants!AB85</f>
        <v>451.42557348733351</v>
      </c>
      <c r="AC64" s="265">
        <f>Grants!AC85</f>
        <v>434.85302592434175</v>
      </c>
    </row>
    <row r="65" spans="2:58" x14ac:dyDescent="0.3">
      <c r="B65" s="466" t="s">
        <v>455</v>
      </c>
      <c r="C65" s="441"/>
      <c r="D65" s="440"/>
      <c r="E65" s="441"/>
      <c r="F65" s="441"/>
      <c r="G65" s="441"/>
      <c r="H65" s="285">
        <f>H63+H64</f>
        <v>278.17200000000003</v>
      </c>
      <c r="I65" s="285">
        <f t="shared" ref="I65:AC65" si="9">I63+I64</f>
        <v>285.87100000000004</v>
      </c>
      <c r="J65" s="285">
        <f t="shared" si="9"/>
        <v>401.29899999999998</v>
      </c>
      <c r="K65" s="285">
        <f t="shared" si="9"/>
        <v>376.19200000000006</v>
      </c>
      <c r="L65" s="285">
        <f t="shared" si="9"/>
        <v>365.36099999999999</v>
      </c>
      <c r="M65" s="285">
        <f t="shared" si="9"/>
        <v>389.34100000000001</v>
      </c>
      <c r="N65" s="285">
        <f t="shared" si="9"/>
        <v>436.59300000000007</v>
      </c>
      <c r="O65" s="285">
        <f t="shared" si="9"/>
        <v>444.33600000000001</v>
      </c>
      <c r="P65" s="285">
        <f t="shared" si="9"/>
        <v>474.06185200000004</v>
      </c>
      <c r="Q65" s="285">
        <f t="shared" si="9"/>
        <v>510.98727479999997</v>
      </c>
      <c r="R65" s="285">
        <f t="shared" si="9"/>
        <v>580.38903199999993</v>
      </c>
      <c r="S65" s="436">
        <f t="shared" si="9"/>
        <v>567.72786800000006</v>
      </c>
      <c r="T65" s="266">
        <f t="shared" si="9"/>
        <v>559.52655273237201</v>
      </c>
      <c r="U65" s="266">
        <f t="shared" si="9"/>
        <v>544.41843079425098</v>
      </c>
      <c r="V65" s="266">
        <f t="shared" si="9"/>
        <v>548.95954303303211</v>
      </c>
      <c r="W65" s="266">
        <f t="shared" si="9"/>
        <v>548.03000266666663</v>
      </c>
      <c r="X65" s="266">
        <f t="shared" si="9"/>
        <v>550.29573764166685</v>
      </c>
      <c r="Y65" s="266">
        <f t="shared" si="9"/>
        <v>539.13429365802085</v>
      </c>
      <c r="Z65" s="266">
        <f t="shared" si="9"/>
        <v>519.52320399435325</v>
      </c>
      <c r="AA65" s="266">
        <f t="shared" si="9"/>
        <v>524.23669053333333</v>
      </c>
      <c r="AB65" s="266">
        <f t="shared" si="9"/>
        <v>530.83757348733354</v>
      </c>
      <c r="AC65" s="276">
        <f t="shared" si="9"/>
        <v>514.26502592434178</v>
      </c>
    </row>
    <row r="66" spans="2:58" x14ac:dyDescent="0.3">
      <c r="AM66" s="1206" t="s">
        <v>456</v>
      </c>
      <c r="AN66" s="1207"/>
      <c r="AO66" s="1156" t="s">
        <v>325</v>
      </c>
      <c r="AP66" s="1157"/>
      <c r="AQ66" s="1157"/>
      <c r="AR66" s="1157"/>
      <c r="AS66" s="1157"/>
      <c r="AT66" s="1216"/>
      <c r="AU66" s="1215" t="s">
        <v>326</v>
      </c>
      <c r="AV66" s="1215"/>
      <c r="AW66" s="1215"/>
      <c r="AX66" s="1215"/>
      <c r="AY66" s="1215"/>
      <c r="AZ66" s="1215"/>
      <c r="BA66" s="1215"/>
      <c r="BB66" s="1215"/>
    </row>
    <row r="67" spans="2:58" x14ac:dyDescent="0.3">
      <c r="AM67" s="1208"/>
      <c r="AN67" s="1209"/>
      <c r="AO67" s="470">
        <v>2019</v>
      </c>
      <c r="AP67" s="1147">
        <v>2020</v>
      </c>
      <c r="AQ67" s="1148"/>
      <c r="AR67" s="1148"/>
      <c r="AS67" s="1155"/>
      <c r="AT67" s="470">
        <v>2021</v>
      </c>
      <c r="AU67" s="1178">
        <v>2021</v>
      </c>
      <c r="AV67" s="1179"/>
      <c r="AW67" s="1180"/>
      <c r="AX67" s="1178">
        <v>2022</v>
      </c>
      <c r="AY67" s="1179"/>
      <c r="AZ67" s="1179"/>
      <c r="BA67" s="1180"/>
      <c r="BB67" s="258">
        <v>2023</v>
      </c>
    </row>
    <row r="68" spans="2:58" x14ac:dyDescent="0.3">
      <c r="AM68" s="1208"/>
      <c r="AN68" s="1209"/>
      <c r="AO68" s="448" t="s">
        <v>327</v>
      </c>
      <c r="AP68" s="152" t="s">
        <v>328</v>
      </c>
      <c r="AQ68" s="151" t="s">
        <v>329</v>
      </c>
      <c r="AR68" s="151" t="s">
        <v>238</v>
      </c>
      <c r="AS68" s="203" t="s">
        <v>327</v>
      </c>
      <c r="AT68" s="448" t="s">
        <v>328</v>
      </c>
      <c r="AU68" s="355" t="s">
        <v>329</v>
      </c>
      <c r="AV68" s="356" t="s">
        <v>238</v>
      </c>
      <c r="AW68" s="368" t="s">
        <v>327</v>
      </c>
      <c r="AX68" s="355" t="s">
        <v>328</v>
      </c>
      <c r="AY68" s="356" t="s">
        <v>329</v>
      </c>
      <c r="AZ68" s="356" t="s">
        <v>238</v>
      </c>
      <c r="BA68" s="368" t="s">
        <v>327</v>
      </c>
      <c r="BB68" s="383" t="s">
        <v>328</v>
      </c>
    </row>
    <row r="69" spans="2:58" ht="27.6" customHeight="1" x14ac:dyDescent="0.3">
      <c r="AM69" s="464" t="s">
        <v>457</v>
      </c>
      <c r="AN69" s="458"/>
      <c r="AO69" s="465">
        <v>4.8</v>
      </c>
      <c r="AP69" s="442">
        <v>3.9</v>
      </c>
      <c r="AQ69" s="442">
        <v>3.2</v>
      </c>
      <c r="AR69" s="442">
        <v>3.8</v>
      </c>
      <c r="AS69" s="442">
        <v>3.7</v>
      </c>
      <c r="AT69" s="442">
        <v>3.7</v>
      </c>
      <c r="AU69" s="471">
        <v>3.7</v>
      </c>
      <c r="AV69" s="455">
        <v>3.7</v>
      </c>
      <c r="AW69" s="455">
        <v>3.8</v>
      </c>
      <c r="AX69" s="455">
        <v>3.8</v>
      </c>
      <c r="AY69" s="455">
        <v>3.9</v>
      </c>
      <c r="AZ69" s="455">
        <v>3.9</v>
      </c>
      <c r="BA69" s="455">
        <v>4</v>
      </c>
      <c r="BB69" s="445">
        <v>4</v>
      </c>
    </row>
    <row r="70" spans="2:58" ht="27.6" customHeight="1" x14ac:dyDescent="0.3">
      <c r="AM70" s="397" t="s">
        <v>458</v>
      </c>
      <c r="AN70" s="263"/>
      <c r="AO70" s="463">
        <v>3.3969999999999998</v>
      </c>
      <c r="AP70" s="147">
        <v>4.1660000000000004</v>
      </c>
      <c r="AQ70" s="147">
        <v>-7.6660000000000004</v>
      </c>
      <c r="AR70" s="147">
        <v>-0.84299999999999997</v>
      </c>
      <c r="AS70" s="147">
        <v>2.097</v>
      </c>
      <c r="AT70" s="147">
        <v>9.5879999999999992</v>
      </c>
      <c r="AU70" s="430">
        <v>14.488</v>
      </c>
      <c r="AV70" s="251">
        <v>9.7850000000000001</v>
      </c>
      <c r="AW70" s="251">
        <v>5.202</v>
      </c>
      <c r="AX70" s="251">
        <v>5.4939999999999998</v>
      </c>
      <c r="AY70" s="251">
        <v>5.7560000000000002</v>
      </c>
      <c r="AZ70" s="251">
        <v>4.133</v>
      </c>
      <c r="BA70" s="251">
        <v>3.5270000000000001</v>
      </c>
      <c r="BB70" s="265">
        <v>3.488</v>
      </c>
    </row>
    <row r="71" spans="2:58" x14ac:dyDescent="0.3">
      <c r="AM71" s="154" t="s">
        <v>459</v>
      </c>
      <c r="AO71" s="147">
        <f t="shared" ref="AO71:AT71" si="10">AO70</f>
        <v>3.3969999999999998</v>
      </c>
      <c r="AP71" s="147">
        <f t="shared" si="10"/>
        <v>4.1660000000000004</v>
      </c>
      <c r="AQ71" s="147">
        <f t="shared" si="10"/>
        <v>-7.6660000000000004</v>
      </c>
      <c r="AR71" s="147">
        <f t="shared" si="10"/>
        <v>-0.84299999999999997</v>
      </c>
      <c r="AS71" s="147">
        <f t="shared" si="10"/>
        <v>2.097</v>
      </c>
      <c r="AT71" s="147">
        <f t="shared" si="10"/>
        <v>9.5879999999999992</v>
      </c>
      <c r="AU71" s="462">
        <f t="shared" ref="AU71:BB71" si="11">N34</f>
        <v>8.0081568848658691</v>
      </c>
      <c r="AV71" s="462">
        <f t="shared" si="11"/>
        <v>11.807223761379305</v>
      </c>
      <c r="AW71" s="462">
        <f t="shared" si="11"/>
        <v>7.3516092986590564</v>
      </c>
      <c r="AX71" s="462">
        <f t="shared" si="11"/>
        <v>10.128423587170188</v>
      </c>
      <c r="AY71" s="462">
        <f t="shared" si="11"/>
        <v>14.319485516488072</v>
      </c>
      <c r="AZ71" s="462">
        <f t="shared" si="11"/>
        <v>5.7994412576389598</v>
      </c>
      <c r="BA71" s="462">
        <f t="shared" si="11"/>
        <v>5.4144667062669631</v>
      </c>
      <c r="BB71" s="462">
        <f t="shared" si="11"/>
        <v>4.9749339639030277</v>
      </c>
    </row>
    <row r="72" spans="2:58" x14ac:dyDescent="0.3">
      <c r="AM72" s="1210" t="s">
        <v>460</v>
      </c>
      <c r="AN72" s="1211"/>
      <c r="AO72" s="463"/>
      <c r="AP72" s="147"/>
      <c r="AQ72" s="147"/>
      <c r="AR72" s="147"/>
      <c r="AS72" s="147"/>
      <c r="AT72" s="147"/>
      <c r="AU72" s="430"/>
      <c r="AV72" s="251"/>
      <c r="AW72" s="251"/>
      <c r="AX72" s="251"/>
      <c r="AY72" s="251"/>
      <c r="AZ72" s="251"/>
      <c r="BA72" s="251"/>
      <c r="BB72" s="265"/>
    </row>
    <row r="73" spans="2:58" ht="27.6" customHeight="1" x14ac:dyDescent="0.3">
      <c r="AM73" s="185" t="s">
        <v>461</v>
      </c>
      <c r="AN73" s="176"/>
      <c r="AO73" s="162">
        <v>2368</v>
      </c>
      <c r="AP73" s="157">
        <v>2391</v>
      </c>
      <c r="AQ73" s="157">
        <v>2410</v>
      </c>
      <c r="AR73" s="157">
        <v>2432</v>
      </c>
      <c r="AS73" s="157">
        <v>2455</v>
      </c>
      <c r="AT73" s="157">
        <v>2477</v>
      </c>
      <c r="AU73" s="454">
        <v>2500</v>
      </c>
      <c r="AV73" s="249">
        <v>2523</v>
      </c>
      <c r="AW73" s="249">
        <v>2546</v>
      </c>
      <c r="AX73" s="249">
        <v>2571</v>
      </c>
      <c r="AY73" s="249">
        <v>2595</v>
      </c>
      <c r="AZ73" s="249">
        <v>2621</v>
      </c>
      <c r="BA73" s="249">
        <v>2646</v>
      </c>
      <c r="BB73" s="253">
        <v>2672</v>
      </c>
    </row>
    <row r="74" spans="2:58" ht="27.6" customHeight="1" x14ac:dyDescent="0.3">
      <c r="AM74" s="185" t="s">
        <v>462</v>
      </c>
      <c r="AN74" s="176"/>
      <c r="AO74" s="283">
        <v>2357</v>
      </c>
      <c r="AP74" s="138">
        <v>2382</v>
      </c>
      <c r="AQ74" s="138">
        <v>2335</v>
      </c>
      <c r="AR74" s="138">
        <v>2330</v>
      </c>
      <c r="AS74" s="138">
        <v>2318</v>
      </c>
      <c r="AT74" s="138">
        <v>2339</v>
      </c>
      <c r="AU74" s="355">
        <v>2361</v>
      </c>
      <c r="AV74" s="356">
        <v>2379</v>
      </c>
      <c r="AW74" s="356">
        <v>2397</v>
      </c>
      <c r="AX74" s="356">
        <v>2417</v>
      </c>
      <c r="AY74" s="356">
        <v>2439</v>
      </c>
      <c r="AZ74" s="356">
        <v>2462</v>
      </c>
      <c r="BA74" s="356">
        <v>2486</v>
      </c>
      <c r="BB74" s="368">
        <v>2513</v>
      </c>
    </row>
    <row r="75" spans="2:58" ht="27.6" customHeight="1" x14ac:dyDescent="0.3">
      <c r="AM75" s="185" t="s">
        <v>463</v>
      </c>
      <c r="AN75" s="176"/>
      <c r="AO75" s="460">
        <v>2357.4</v>
      </c>
      <c r="AP75" s="424">
        <v>2381.6</v>
      </c>
      <c r="AQ75" s="424">
        <v>2334.5</v>
      </c>
      <c r="AR75" s="424">
        <v>2329.6</v>
      </c>
      <c r="AS75" s="424">
        <v>2341.6999999999998</v>
      </c>
      <c r="AT75" s="424">
        <v>2395.9</v>
      </c>
      <c r="AU75" s="451">
        <v>2478.4</v>
      </c>
      <c r="AV75" s="452">
        <v>2536.9</v>
      </c>
      <c r="AW75" s="452">
        <v>2569.3000000000002</v>
      </c>
      <c r="AX75" s="452">
        <v>2603.9</v>
      </c>
      <c r="AY75" s="452">
        <v>2640.6</v>
      </c>
      <c r="AZ75" s="452">
        <v>2667.4</v>
      </c>
      <c r="BA75" s="452">
        <v>2690.6</v>
      </c>
      <c r="BB75" s="453">
        <v>2713.8</v>
      </c>
      <c r="BC75" s="426"/>
      <c r="BD75" s="426"/>
      <c r="BE75" s="426"/>
      <c r="BF75" s="426"/>
    </row>
    <row r="76" spans="2:58" x14ac:dyDescent="0.3">
      <c r="AM76" s="1204" t="s">
        <v>464</v>
      </c>
      <c r="AN76" s="1205"/>
      <c r="AO76" s="283"/>
      <c r="AP76" s="138"/>
      <c r="AQ76" s="138"/>
      <c r="AR76" s="138"/>
      <c r="AS76" s="138"/>
      <c r="AT76" s="138"/>
      <c r="AU76" s="355"/>
      <c r="AV76" s="356"/>
      <c r="AW76" s="356"/>
      <c r="AX76" s="356"/>
      <c r="AY76" s="356"/>
      <c r="AZ76" s="356"/>
      <c r="BA76" s="356"/>
      <c r="BB76" s="368"/>
    </row>
    <row r="77" spans="2:58" ht="27.6" customHeight="1" x14ac:dyDescent="0.3">
      <c r="AM77" s="185" t="s">
        <v>461</v>
      </c>
      <c r="AN77" s="176"/>
      <c r="AO77" s="162">
        <f t="shared" ref="AO77:BB77" si="12">AO73-H65</f>
        <v>2089.828</v>
      </c>
      <c r="AP77" s="157">
        <f t="shared" si="12"/>
        <v>2105.1289999999999</v>
      </c>
      <c r="AQ77" s="157">
        <f t="shared" si="12"/>
        <v>2008.701</v>
      </c>
      <c r="AR77" s="157">
        <f t="shared" si="12"/>
        <v>2055.808</v>
      </c>
      <c r="AS77" s="157">
        <f t="shared" si="12"/>
        <v>2089.6390000000001</v>
      </c>
      <c r="AT77" s="157">
        <f t="shared" si="12"/>
        <v>2087.6590000000001</v>
      </c>
      <c r="AU77" s="454">
        <f t="shared" si="12"/>
        <v>2063.4070000000002</v>
      </c>
      <c r="AV77" s="249">
        <f t="shared" si="12"/>
        <v>2078.6639999999998</v>
      </c>
      <c r="AW77" s="249">
        <f t="shared" si="12"/>
        <v>2071.9381480000002</v>
      </c>
      <c r="AX77" s="249">
        <f t="shared" si="12"/>
        <v>2060.0127252000002</v>
      </c>
      <c r="AY77" s="249">
        <f t="shared" si="12"/>
        <v>2014.610968</v>
      </c>
      <c r="AZ77" s="249">
        <f t="shared" si="12"/>
        <v>2053.2721320000001</v>
      </c>
      <c r="BA77" s="249">
        <f t="shared" si="12"/>
        <v>2086.4734472676282</v>
      </c>
      <c r="BB77" s="253">
        <f t="shared" si="12"/>
        <v>2127.581569205749</v>
      </c>
    </row>
    <row r="78" spans="2:58" ht="27.6" customHeight="1" x14ac:dyDescent="0.3">
      <c r="AM78" s="185" t="s">
        <v>462</v>
      </c>
      <c r="AN78" s="176"/>
      <c r="AO78" s="162">
        <f t="shared" ref="AO78:BB78" si="13">AO74-H65</f>
        <v>2078.828</v>
      </c>
      <c r="AP78" s="157">
        <f t="shared" si="13"/>
        <v>2096.1289999999999</v>
      </c>
      <c r="AQ78" s="157">
        <f t="shared" si="13"/>
        <v>1933.701</v>
      </c>
      <c r="AR78" s="157">
        <f t="shared" si="13"/>
        <v>1953.808</v>
      </c>
      <c r="AS78" s="157">
        <f t="shared" si="13"/>
        <v>1952.6390000000001</v>
      </c>
      <c r="AT78" s="157">
        <f t="shared" si="13"/>
        <v>1949.6590000000001</v>
      </c>
      <c r="AU78" s="454">
        <f t="shared" si="13"/>
        <v>1924.4069999999999</v>
      </c>
      <c r="AV78" s="249">
        <f t="shared" si="13"/>
        <v>1934.664</v>
      </c>
      <c r="AW78" s="249">
        <f t="shared" si="13"/>
        <v>1922.938148</v>
      </c>
      <c r="AX78" s="249">
        <f t="shared" si="13"/>
        <v>1906.0127252</v>
      </c>
      <c r="AY78" s="249">
        <f t="shared" si="13"/>
        <v>1858.610968</v>
      </c>
      <c r="AZ78" s="249">
        <f t="shared" si="13"/>
        <v>1894.2721320000001</v>
      </c>
      <c r="BA78" s="249">
        <f t="shared" si="13"/>
        <v>1926.473447267628</v>
      </c>
      <c r="BB78" s="253">
        <f t="shared" si="13"/>
        <v>1968.581569205749</v>
      </c>
    </row>
    <row r="79" spans="2:58" ht="27.6" customHeight="1" x14ac:dyDescent="0.3">
      <c r="AM79" s="446" t="s">
        <v>463</v>
      </c>
      <c r="AN79" s="461"/>
      <c r="AO79" s="456">
        <f t="shared" ref="AO79:BB79" si="14">AO75-H65</f>
        <v>2079.2280000000001</v>
      </c>
      <c r="AP79" s="449">
        <f t="shared" si="14"/>
        <v>2095.7289999999998</v>
      </c>
      <c r="AQ79" s="449">
        <f t="shared" si="14"/>
        <v>1933.201</v>
      </c>
      <c r="AR79" s="449">
        <f t="shared" si="14"/>
        <v>1953.4079999999999</v>
      </c>
      <c r="AS79" s="449">
        <f t="shared" si="14"/>
        <v>1976.3389999999999</v>
      </c>
      <c r="AT79" s="449">
        <f t="shared" si="14"/>
        <v>2006.5590000000002</v>
      </c>
      <c r="AU79" s="457">
        <f t="shared" si="14"/>
        <v>2041.807</v>
      </c>
      <c r="AV79" s="269">
        <f t="shared" si="14"/>
        <v>2092.5640000000003</v>
      </c>
      <c r="AW79" s="269">
        <f t="shared" si="14"/>
        <v>2095.2381480000004</v>
      </c>
      <c r="AX79" s="269">
        <f t="shared" si="14"/>
        <v>2092.9127252000003</v>
      </c>
      <c r="AY79" s="269">
        <f t="shared" si="14"/>
        <v>2060.2109679999999</v>
      </c>
      <c r="AZ79" s="269">
        <f t="shared" si="14"/>
        <v>2099.6721320000001</v>
      </c>
      <c r="BA79" s="269">
        <f t="shared" si="14"/>
        <v>2131.0734472676277</v>
      </c>
      <c r="BB79" s="405">
        <f t="shared" si="14"/>
        <v>2169.3815692057492</v>
      </c>
    </row>
  </sheetData>
  <mergeCells count="41">
    <mergeCell ref="B1:AC1"/>
    <mergeCell ref="B6:C8"/>
    <mergeCell ref="E7:H7"/>
    <mergeCell ref="I7:L7"/>
    <mergeCell ref="U7:X7"/>
    <mergeCell ref="Y7:AB7"/>
    <mergeCell ref="B2:AC4"/>
    <mergeCell ref="T6:AC6"/>
    <mergeCell ref="D6:S6"/>
    <mergeCell ref="B24:AC24"/>
    <mergeCell ref="B25:AC27"/>
    <mergeCell ref="AO66:AT66"/>
    <mergeCell ref="M7:P7"/>
    <mergeCell ref="Q7:R7"/>
    <mergeCell ref="D29:S29"/>
    <mergeCell ref="AX67:BA67"/>
    <mergeCell ref="U30:X30"/>
    <mergeCell ref="U61:X61"/>
    <mergeCell ref="Y30:AB30"/>
    <mergeCell ref="Y61:AB61"/>
    <mergeCell ref="B56:AC58"/>
    <mergeCell ref="B54:AC55"/>
    <mergeCell ref="B60:C62"/>
    <mergeCell ref="I61:L61"/>
    <mergeCell ref="E30:H30"/>
    <mergeCell ref="E61:H61"/>
    <mergeCell ref="AP67:AS67"/>
    <mergeCell ref="B29:C31"/>
    <mergeCell ref="AU66:BB66"/>
    <mergeCell ref="AU67:AW67"/>
    <mergeCell ref="T29:AC29"/>
    <mergeCell ref="AM76:AN76"/>
    <mergeCell ref="AM66:AN68"/>
    <mergeCell ref="I30:L30"/>
    <mergeCell ref="M30:P30"/>
    <mergeCell ref="M61:P61"/>
    <mergeCell ref="AM72:AN72"/>
    <mergeCell ref="Q30:R30"/>
    <mergeCell ref="Q61:R61"/>
    <mergeCell ref="T60:AC60"/>
    <mergeCell ref="D60:S60"/>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51"/>
  <sheetViews>
    <sheetView topLeftCell="C1" zoomScaleNormal="100" workbookViewId="0">
      <selection activeCell="S58" sqref="S58"/>
    </sheetView>
  </sheetViews>
  <sheetFormatPr defaultColWidth="11.5546875" defaultRowHeight="14.4" x14ac:dyDescent="0.3"/>
  <cols>
    <col min="2" max="2" width="49.44140625" customWidth="1"/>
    <col min="6" max="25" width="6.44140625" customWidth="1"/>
    <col min="27" max="27" width="10.21875" customWidth="1"/>
  </cols>
  <sheetData>
    <row r="1" spans="2:29" x14ac:dyDescent="0.3">
      <c r="B1" s="1146" t="s">
        <v>52</v>
      </c>
      <c r="C1" s="1146"/>
      <c r="D1" s="1146"/>
      <c r="E1" s="1146"/>
      <c r="F1" s="1146"/>
      <c r="G1" s="1146"/>
      <c r="H1" s="1146"/>
      <c r="I1" s="1146"/>
      <c r="J1" s="1146"/>
      <c r="K1" s="1146"/>
      <c r="L1" s="1146"/>
      <c r="M1" s="1146"/>
      <c r="N1" s="1146"/>
      <c r="O1" s="1146"/>
      <c r="P1" s="1146"/>
      <c r="Q1" s="1146"/>
      <c r="R1" s="1146"/>
      <c r="S1" s="1146"/>
      <c r="T1" s="1146"/>
      <c r="U1" s="1146"/>
      <c r="V1" s="1146"/>
      <c r="W1" s="1146"/>
      <c r="X1" s="1146"/>
      <c r="Y1" s="1146"/>
      <c r="Z1" s="1146"/>
      <c r="AA1" s="1146"/>
      <c r="AB1" s="1146"/>
      <c r="AC1" s="1146"/>
    </row>
    <row r="2" spans="2:29" ht="14.7" customHeight="1" x14ac:dyDescent="0.3">
      <c r="B2" s="1174" t="s">
        <v>931</v>
      </c>
      <c r="C2" s="1174"/>
      <c r="D2" s="1174"/>
      <c r="E2" s="1174"/>
      <c r="F2" s="1174"/>
      <c r="G2" s="1174"/>
      <c r="H2" s="1174"/>
      <c r="I2" s="1174"/>
      <c r="J2" s="1174"/>
      <c r="K2" s="1174"/>
      <c r="L2" s="1174"/>
      <c r="M2" s="1174"/>
      <c r="N2" s="1174"/>
      <c r="O2" s="1174"/>
      <c r="P2" s="1174"/>
      <c r="Q2" s="1174"/>
      <c r="R2" s="1174"/>
      <c r="S2" s="1174"/>
      <c r="T2" s="1174"/>
      <c r="U2" s="1174"/>
      <c r="V2" s="1174"/>
      <c r="W2" s="1174"/>
      <c r="X2" s="1174"/>
      <c r="Y2" s="1174"/>
      <c r="Z2" s="1174"/>
      <c r="AA2" s="1174"/>
      <c r="AB2" s="1174"/>
      <c r="AC2" s="1174"/>
    </row>
    <row r="3" spans="2:29" ht="14.7" customHeight="1" x14ac:dyDescent="0.3">
      <c r="B3" s="1174"/>
      <c r="C3" s="1174"/>
      <c r="D3" s="1174"/>
      <c r="E3" s="1174"/>
      <c r="F3" s="1174"/>
      <c r="G3" s="1174"/>
      <c r="H3" s="1174"/>
      <c r="I3" s="1174"/>
      <c r="J3" s="1174"/>
      <c r="K3" s="1174"/>
      <c r="L3" s="1174"/>
      <c r="M3" s="1174"/>
      <c r="N3" s="1174"/>
      <c r="O3" s="1174"/>
      <c r="P3" s="1174"/>
      <c r="Q3" s="1174"/>
      <c r="R3" s="1174"/>
      <c r="S3" s="1174"/>
      <c r="T3" s="1174"/>
      <c r="U3" s="1174"/>
      <c r="V3" s="1174"/>
      <c r="W3" s="1174"/>
      <c r="X3" s="1174"/>
      <c r="Y3" s="1174"/>
      <c r="Z3" s="1174"/>
      <c r="AA3" s="1174"/>
      <c r="AB3" s="1174"/>
      <c r="AC3" s="1174"/>
    </row>
    <row r="4" spans="2:29" ht="5.7" customHeight="1" x14ac:dyDescent="0.3">
      <c r="B4" s="1174"/>
      <c r="C4" s="1174"/>
      <c r="D4" s="1174"/>
      <c r="E4" s="1174"/>
      <c r="F4" s="1174"/>
      <c r="G4" s="1174"/>
      <c r="H4" s="1174"/>
      <c r="I4" s="1174"/>
      <c r="J4" s="1174"/>
      <c r="K4" s="1174"/>
      <c r="L4" s="1174"/>
      <c r="M4" s="1174"/>
      <c r="N4" s="1174"/>
      <c r="O4" s="1174"/>
      <c r="P4" s="1174"/>
      <c r="Q4" s="1174"/>
      <c r="R4" s="1174"/>
      <c r="S4" s="1174"/>
      <c r="T4" s="1174"/>
      <c r="U4" s="1174"/>
      <c r="V4" s="1174"/>
      <c r="W4" s="1174"/>
      <c r="X4" s="1174"/>
      <c r="Y4" s="1174"/>
      <c r="Z4" s="1174"/>
      <c r="AA4" s="1174"/>
      <c r="AB4" s="1174"/>
      <c r="AC4" s="1174"/>
    </row>
    <row r="5" spans="2:29" ht="1.5" customHeight="1" x14ac:dyDescent="0.3">
      <c r="B5" s="1174"/>
      <c r="C5" s="1174"/>
      <c r="D5" s="1174"/>
      <c r="E5" s="1174"/>
      <c r="F5" s="1174"/>
      <c r="G5" s="1174"/>
      <c r="H5" s="1174"/>
      <c r="I5" s="1174"/>
      <c r="J5" s="1174"/>
      <c r="K5" s="1174"/>
      <c r="L5" s="1174"/>
      <c r="M5" s="1174"/>
      <c r="N5" s="1174"/>
      <c r="O5" s="1174"/>
      <c r="P5" s="1174"/>
      <c r="Q5" s="1174"/>
      <c r="R5" s="1174"/>
      <c r="S5" s="1174"/>
      <c r="T5" s="1174"/>
      <c r="U5" s="1174"/>
      <c r="V5" s="1174"/>
      <c r="W5" s="1174"/>
      <c r="X5" s="1174"/>
      <c r="Y5" s="1174"/>
      <c r="Z5" s="1174"/>
      <c r="AA5" s="1174"/>
      <c r="AB5" s="1174"/>
      <c r="AC5" s="1174"/>
    </row>
    <row r="6" spans="2:29" ht="14.7" customHeight="1" x14ac:dyDescent="0.3">
      <c r="B6" s="1174"/>
      <c r="C6" s="1174"/>
      <c r="D6" s="1174"/>
      <c r="E6" s="1174"/>
      <c r="F6" s="1174"/>
      <c r="G6" s="1174"/>
      <c r="H6" s="1174"/>
      <c r="I6" s="1174"/>
      <c r="J6" s="1174"/>
      <c r="K6" s="1174"/>
      <c r="L6" s="1174"/>
      <c r="M6" s="1174"/>
      <c r="N6" s="1174"/>
      <c r="O6" s="1174"/>
      <c r="P6" s="1174"/>
      <c r="Q6" s="1174"/>
      <c r="R6" s="1174"/>
      <c r="S6" s="1174"/>
      <c r="T6" s="1174"/>
      <c r="U6" s="1174"/>
      <c r="V6" s="1174"/>
      <c r="W6" s="1174"/>
      <c r="X6" s="1174"/>
      <c r="Y6" s="1174"/>
      <c r="Z6" s="1174"/>
      <c r="AA6" s="1174"/>
      <c r="AB6" s="1174"/>
      <c r="AC6" s="1174"/>
    </row>
    <row r="7" spans="2:29" ht="33.75" customHeight="1" x14ac:dyDescent="0.3">
      <c r="B7" s="71"/>
      <c r="C7" s="71"/>
      <c r="D7" s="71"/>
      <c r="E7" s="71"/>
      <c r="F7" s="71"/>
      <c r="G7" s="71"/>
      <c r="H7" s="71"/>
      <c r="I7" s="71"/>
      <c r="J7" s="71"/>
      <c r="K7" s="71"/>
      <c r="L7" s="71"/>
      <c r="M7" s="71"/>
      <c r="N7" s="71"/>
      <c r="O7" s="71"/>
      <c r="P7" s="71"/>
      <c r="Q7" s="71"/>
      <c r="R7" s="71"/>
      <c r="S7" s="71"/>
      <c r="T7" s="71"/>
      <c r="U7" s="71"/>
      <c r="V7" s="71"/>
      <c r="W7" s="71"/>
      <c r="X7" s="71"/>
      <c r="Y7" s="71"/>
    </row>
    <row r="8" spans="2:29" ht="14.7" customHeight="1" x14ac:dyDescent="0.3">
      <c r="B8" s="1175" t="s">
        <v>465</v>
      </c>
      <c r="C8" s="1159"/>
      <c r="D8" s="1156" t="s">
        <v>325</v>
      </c>
      <c r="E8" s="1157"/>
      <c r="F8" s="1157"/>
      <c r="G8" s="1157"/>
      <c r="H8" s="1157"/>
      <c r="I8" s="1157"/>
      <c r="J8" s="1157"/>
      <c r="K8" s="1157"/>
      <c r="L8" s="1157"/>
      <c r="M8" s="1157"/>
      <c r="N8" s="1157"/>
      <c r="O8" s="1157"/>
      <c r="P8" s="1157"/>
      <c r="Q8" s="1158"/>
      <c r="R8" s="1158"/>
      <c r="S8" s="145"/>
      <c r="T8" s="1183" t="s">
        <v>326</v>
      </c>
      <c r="U8" s="1184"/>
      <c r="V8" s="1184"/>
      <c r="W8" s="1184"/>
      <c r="X8" s="1184"/>
      <c r="Y8" s="1184"/>
      <c r="Z8" s="1184"/>
      <c r="AA8" s="1184"/>
      <c r="AB8" s="1184"/>
      <c r="AC8" s="1185"/>
    </row>
    <row r="9" spans="2:29" x14ac:dyDescent="0.3">
      <c r="B9" s="1176"/>
      <c r="C9" s="1177"/>
      <c r="D9" s="152">
        <v>2018</v>
      </c>
      <c r="E9" s="1195">
        <v>2019</v>
      </c>
      <c r="F9" s="1196"/>
      <c r="G9" s="1196"/>
      <c r="H9" s="1203"/>
      <c r="I9" s="1195">
        <v>2020</v>
      </c>
      <c r="J9" s="1196"/>
      <c r="K9" s="1196"/>
      <c r="L9" s="1196"/>
      <c r="M9" s="1195">
        <v>2021</v>
      </c>
      <c r="N9" s="1196"/>
      <c r="O9" s="1196"/>
      <c r="P9" s="1196"/>
      <c r="Q9" s="1181">
        <v>2022</v>
      </c>
      <c r="R9" s="1182"/>
      <c r="S9" s="252"/>
      <c r="T9" s="287"/>
      <c r="U9" s="1178">
        <v>2023</v>
      </c>
      <c r="V9" s="1179"/>
      <c r="W9" s="1179"/>
      <c r="X9" s="1179"/>
      <c r="Y9" s="1178">
        <v>2024</v>
      </c>
      <c r="Z9" s="1179"/>
      <c r="AA9" s="1179"/>
      <c r="AB9" s="1180"/>
      <c r="AC9" s="258">
        <v>2025</v>
      </c>
    </row>
    <row r="10" spans="2:29" x14ac:dyDescent="0.3">
      <c r="B10" s="1187"/>
      <c r="C10" s="1188"/>
      <c r="D10" s="152" t="s">
        <v>327</v>
      </c>
      <c r="E10" s="152" t="s">
        <v>328</v>
      </c>
      <c r="F10" s="151" t="s">
        <v>329</v>
      </c>
      <c r="G10" s="151" t="s">
        <v>238</v>
      </c>
      <c r="H10" s="203" t="s">
        <v>327</v>
      </c>
      <c r="I10" s="151" t="s">
        <v>328</v>
      </c>
      <c r="J10" s="151" t="s">
        <v>329</v>
      </c>
      <c r="K10" s="151" t="s">
        <v>238</v>
      </c>
      <c r="L10" s="151" t="s">
        <v>327</v>
      </c>
      <c r="M10" s="152" t="s">
        <v>328</v>
      </c>
      <c r="N10" s="151" t="s">
        <v>329</v>
      </c>
      <c r="O10" s="151" t="s">
        <v>238</v>
      </c>
      <c r="P10" s="151" t="s">
        <v>327</v>
      </c>
      <c r="Q10" s="152" t="s">
        <v>328</v>
      </c>
      <c r="R10" s="151" t="s">
        <v>329</v>
      </c>
      <c r="S10" s="203" t="s">
        <v>238</v>
      </c>
      <c r="T10" s="368" t="s">
        <v>327</v>
      </c>
      <c r="U10" s="355" t="s">
        <v>328</v>
      </c>
      <c r="V10" s="356" t="s">
        <v>329</v>
      </c>
      <c r="W10" s="356" t="s">
        <v>238</v>
      </c>
      <c r="X10" s="356" t="s">
        <v>327</v>
      </c>
      <c r="Y10" s="355" t="s">
        <v>328</v>
      </c>
      <c r="Z10" s="249" t="s">
        <v>329</v>
      </c>
      <c r="AA10" s="356" t="s">
        <v>238</v>
      </c>
      <c r="AB10" s="368" t="s">
        <v>327</v>
      </c>
      <c r="AC10" s="383" t="s">
        <v>328</v>
      </c>
    </row>
    <row r="11" spans="2:29" x14ac:dyDescent="0.3">
      <c r="B11" s="418" t="s">
        <v>937</v>
      </c>
      <c r="C11" s="71" t="s">
        <v>586</v>
      </c>
      <c r="D11" s="478"/>
      <c r="E11" s="479"/>
      <c r="F11" s="483">
        <v>60.5</v>
      </c>
      <c r="G11" s="483">
        <v>81.400000000000006</v>
      </c>
      <c r="H11" s="483">
        <f>'Haver Pivoted'!GS42</f>
        <v>82.1</v>
      </c>
      <c r="I11" s="483">
        <f>'Haver Pivoted'!GT42</f>
        <v>80</v>
      </c>
      <c r="J11" s="483">
        <f>'Haver Pivoted'!GU42</f>
        <v>975.7</v>
      </c>
      <c r="K11" s="483">
        <f>'Haver Pivoted'!GV42</f>
        <v>1108.8</v>
      </c>
      <c r="L11" s="483">
        <f>'Haver Pivoted'!GW42</f>
        <v>462.2</v>
      </c>
      <c r="M11" s="483">
        <f>'Haver Pivoted'!GX42</f>
        <v>387.4</v>
      </c>
      <c r="N11" s="483">
        <f>'Haver Pivoted'!GY42</f>
        <v>693.9</v>
      </c>
      <c r="O11" s="483">
        <f>'Haver Pivoted'!GZ42</f>
        <v>545.6</v>
      </c>
      <c r="P11" s="483">
        <f>'Haver Pivoted'!HA42</f>
        <v>288.3</v>
      </c>
      <c r="Q11" s="483">
        <f>'Haver Pivoted'!HB42</f>
        <v>144.5</v>
      </c>
      <c r="R11" s="483">
        <f>'Haver Pivoted'!HC42</f>
        <v>122.9</v>
      </c>
      <c r="S11" s="481">
        <f>'Haver Pivoted'!HD42</f>
        <v>113.4</v>
      </c>
      <c r="T11" s="496">
        <f t="shared" ref="T11:AC11" si="0">T12+T13</f>
        <v>88.50800000000001</v>
      </c>
      <c r="U11" s="522">
        <f t="shared" si="0"/>
        <v>88.50800000000001</v>
      </c>
      <c r="V11" s="522">
        <f t="shared" si="0"/>
        <v>88.50800000000001</v>
      </c>
      <c r="W11" s="522">
        <f t="shared" si="0"/>
        <v>88.50800000000001</v>
      </c>
      <c r="X11" s="522">
        <f t="shared" si="0"/>
        <v>85.631</v>
      </c>
      <c r="Y11" s="522">
        <f t="shared" si="0"/>
        <v>85.631</v>
      </c>
      <c r="Z11" s="522">
        <f t="shared" si="0"/>
        <v>85.631</v>
      </c>
      <c r="AA11" s="522">
        <f t="shared" si="0"/>
        <v>85.631</v>
      </c>
      <c r="AB11" s="522">
        <f t="shared" si="0"/>
        <v>90.463999999999999</v>
      </c>
      <c r="AC11" s="517">
        <f t="shared" si="0"/>
        <v>90.463999999999999</v>
      </c>
    </row>
    <row r="12" spans="2:29" ht="16.5" customHeight="1" x14ac:dyDescent="0.3">
      <c r="B12" s="399" t="s">
        <v>466</v>
      </c>
      <c r="C12" s="71"/>
      <c r="D12" s="418"/>
      <c r="E12" s="71"/>
      <c r="F12" s="70">
        <f>F11</f>
        <v>60.5</v>
      </c>
      <c r="G12" s="70">
        <f>G11</f>
        <v>81.400000000000006</v>
      </c>
      <c r="H12" s="70">
        <f t="shared" ref="H12:M12" si="1">H11-H13</f>
        <v>82.1</v>
      </c>
      <c r="I12" s="70">
        <f t="shared" si="1"/>
        <v>80</v>
      </c>
      <c r="J12" s="70">
        <f>J11-J13</f>
        <v>-13.799999999999955</v>
      </c>
      <c r="K12" s="70">
        <f t="shared" si="1"/>
        <v>-17.799999999999955</v>
      </c>
      <c r="L12" s="70">
        <f>L11-L13</f>
        <v>-76.200000000000102</v>
      </c>
      <c r="M12" s="70">
        <f t="shared" si="1"/>
        <v>79.599999999999966</v>
      </c>
      <c r="N12" s="70">
        <f t="shared" ref="N12:S12" si="2">N11-N13</f>
        <v>90.299999999999955</v>
      </c>
      <c r="O12" s="70">
        <f t="shared" si="2"/>
        <v>89.583520000000021</v>
      </c>
      <c r="P12" s="70">
        <f t="shared" si="2"/>
        <v>83.4</v>
      </c>
      <c r="Q12" s="70">
        <f t="shared" si="2"/>
        <v>83.8</v>
      </c>
      <c r="R12" s="70">
        <f t="shared" si="2"/>
        <v>69.400000000000006</v>
      </c>
      <c r="S12" s="301">
        <f t="shared" si="2"/>
        <v>70.7</v>
      </c>
      <c r="T12" s="497">
        <f t="shared" ref="T12:AC12" si="3">AVERAGE($F$11:$I$11)</f>
        <v>76</v>
      </c>
      <c r="U12" s="311">
        <f t="shared" si="3"/>
        <v>76</v>
      </c>
      <c r="V12" s="311">
        <f t="shared" si="3"/>
        <v>76</v>
      </c>
      <c r="W12" s="311">
        <f t="shared" si="3"/>
        <v>76</v>
      </c>
      <c r="X12" s="311">
        <f t="shared" si="3"/>
        <v>76</v>
      </c>
      <c r="Y12" s="311">
        <f t="shared" si="3"/>
        <v>76</v>
      </c>
      <c r="Z12" s="311">
        <f t="shared" si="3"/>
        <v>76</v>
      </c>
      <c r="AA12" s="311">
        <f t="shared" si="3"/>
        <v>76</v>
      </c>
      <c r="AB12" s="311">
        <f t="shared" si="3"/>
        <v>76</v>
      </c>
      <c r="AC12" s="386">
        <f t="shared" si="3"/>
        <v>76</v>
      </c>
    </row>
    <row r="13" spans="2:29" x14ac:dyDescent="0.3">
      <c r="B13" s="398" t="s">
        <v>467</v>
      </c>
      <c r="C13" s="71"/>
      <c r="D13" s="418"/>
      <c r="E13" s="71"/>
      <c r="F13" s="490"/>
      <c r="G13" s="490"/>
      <c r="H13" s="70">
        <f>SUM(H16:H25)</f>
        <v>0</v>
      </c>
      <c r="I13" s="70">
        <f>SUM(I16:I25)</f>
        <v>0</v>
      </c>
      <c r="J13" s="70">
        <f t="shared" ref="J13:S13" si="4">SUM(J16:J25)+J14</f>
        <v>989.5</v>
      </c>
      <c r="K13" s="70">
        <f t="shared" si="4"/>
        <v>1126.5999999999999</v>
      </c>
      <c r="L13" s="70">
        <f t="shared" si="4"/>
        <v>538.40000000000009</v>
      </c>
      <c r="M13" s="70">
        <f t="shared" si="4"/>
        <v>307.8</v>
      </c>
      <c r="N13" s="73">
        <f t="shared" si="4"/>
        <v>603.6</v>
      </c>
      <c r="O13" s="73">
        <f>SUM(O16:O25)+O14</f>
        <v>456.01648</v>
      </c>
      <c r="P13" s="73">
        <f>SUM(P16:P25)+P14</f>
        <v>204.9</v>
      </c>
      <c r="Q13" s="73">
        <f t="shared" si="4"/>
        <v>60.7</v>
      </c>
      <c r="R13" s="73">
        <f t="shared" si="4"/>
        <v>53.5</v>
      </c>
      <c r="S13" s="329">
        <f t="shared" si="4"/>
        <v>42.7</v>
      </c>
      <c r="T13" s="497">
        <f t="shared" ref="T13:AC13" si="5">SUM(T16:T27)+T14</f>
        <v>12.508000000000003</v>
      </c>
      <c r="U13" s="311">
        <f t="shared" si="5"/>
        <v>12.508000000000003</v>
      </c>
      <c r="V13" s="311">
        <f t="shared" si="5"/>
        <v>12.508000000000003</v>
      </c>
      <c r="W13" s="311">
        <f t="shared" si="5"/>
        <v>12.508000000000003</v>
      </c>
      <c r="X13" s="311">
        <f t="shared" si="5"/>
        <v>9.6310000000000002</v>
      </c>
      <c r="Y13" s="311">
        <f t="shared" si="5"/>
        <v>9.6310000000000002</v>
      </c>
      <c r="Z13" s="311">
        <f t="shared" si="5"/>
        <v>9.6310000000000002</v>
      </c>
      <c r="AA13" s="311">
        <f t="shared" si="5"/>
        <v>9.6310000000000002</v>
      </c>
      <c r="AB13" s="311">
        <f t="shared" si="5"/>
        <v>14.464</v>
      </c>
      <c r="AC13" s="386">
        <f t="shared" si="5"/>
        <v>14.464</v>
      </c>
    </row>
    <row r="14" spans="2:29" x14ac:dyDescent="0.3">
      <c r="B14" s="396" t="s">
        <v>50</v>
      </c>
      <c r="C14" s="72" t="s">
        <v>377</v>
      </c>
      <c r="D14" s="338"/>
      <c r="E14" s="72"/>
      <c r="F14" s="70"/>
      <c r="G14" s="70"/>
      <c r="H14" s="70">
        <f>'Haver Pivoted'!GS49</f>
        <v>0</v>
      </c>
      <c r="I14" s="70">
        <f>'Haver Pivoted'!GT49</f>
        <v>0</v>
      </c>
      <c r="J14" s="70">
        <f>'Haver Pivoted'!GU49</f>
        <v>576.9</v>
      </c>
      <c r="K14" s="70">
        <f>'Haver Pivoted'!GV49</f>
        <v>819.5</v>
      </c>
      <c r="L14" s="70">
        <f>'Haver Pivoted'!GW49</f>
        <v>246.3</v>
      </c>
      <c r="M14" s="70">
        <f>'Haver Pivoted'!GX49</f>
        <v>197</v>
      </c>
      <c r="N14" s="70">
        <f>'Haver Pivoted'!GY49</f>
        <v>441.2</v>
      </c>
      <c r="O14" s="70">
        <f>'Haver Pivoted'!GZ49</f>
        <v>276.7</v>
      </c>
      <c r="P14" s="70">
        <f>'Haver Pivoted'!HA49</f>
        <v>28.2</v>
      </c>
      <c r="Q14" s="70">
        <f>'Haver Pivoted'!HB49</f>
        <v>0</v>
      </c>
      <c r="R14" s="70">
        <f>'Haver Pivoted'!HC49</f>
        <v>0</v>
      </c>
      <c r="S14" s="301">
        <f>'Haver Pivoted'!HD49</f>
        <v>0</v>
      </c>
      <c r="T14" s="497"/>
      <c r="U14" s="311"/>
      <c r="V14" s="311"/>
      <c r="W14" s="311"/>
      <c r="X14" s="311"/>
      <c r="Y14" s="311"/>
      <c r="Z14" s="498"/>
      <c r="AA14" s="498"/>
      <c r="AB14" s="498"/>
      <c r="AC14" s="518"/>
    </row>
    <row r="15" spans="2:29" x14ac:dyDescent="0.3">
      <c r="B15" s="398" t="s">
        <v>468</v>
      </c>
      <c r="C15" s="71"/>
      <c r="D15" s="418"/>
      <c r="E15" s="71"/>
      <c r="F15" s="490"/>
      <c r="G15" s="490"/>
      <c r="H15" s="70">
        <f t="shared" ref="H15:AC15" si="6">SUM(H16:H25)</f>
        <v>0</v>
      </c>
      <c r="I15" s="70">
        <f t="shared" si="6"/>
        <v>0</v>
      </c>
      <c r="J15" s="70">
        <f t="shared" si="6"/>
        <v>412.6</v>
      </c>
      <c r="K15" s="70">
        <f t="shared" si="6"/>
        <v>307.10000000000002</v>
      </c>
      <c r="L15" s="70">
        <f t="shared" si="6"/>
        <v>292.10000000000002</v>
      </c>
      <c r="M15" s="70">
        <f t="shared" si="6"/>
        <v>110.8</v>
      </c>
      <c r="N15" s="70">
        <f t="shared" si="6"/>
        <v>162.4</v>
      </c>
      <c r="O15" s="70">
        <f t="shared" si="6"/>
        <v>179.31648000000001</v>
      </c>
      <c r="P15" s="70">
        <f>SUM(P16:P25)</f>
        <v>176.70000000000002</v>
      </c>
      <c r="Q15" s="70">
        <f t="shared" si="6"/>
        <v>60.7</v>
      </c>
      <c r="R15" s="70">
        <f t="shared" si="6"/>
        <v>53.5</v>
      </c>
      <c r="S15" s="482">
        <f t="shared" si="6"/>
        <v>42.7</v>
      </c>
      <c r="T15" s="499">
        <f t="shared" si="6"/>
        <v>8.886000000000001</v>
      </c>
      <c r="U15" s="500">
        <f t="shared" si="6"/>
        <v>8.886000000000001</v>
      </c>
      <c r="V15" s="500">
        <f t="shared" si="6"/>
        <v>8.886000000000001</v>
      </c>
      <c r="W15" s="500">
        <f t="shared" si="6"/>
        <v>8.886000000000001</v>
      </c>
      <c r="X15" s="500">
        <f t="shared" si="6"/>
        <v>0.2</v>
      </c>
      <c r="Y15" s="500">
        <f t="shared" si="6"/>
        <v>0.2</v>
      </c>
      <c r="Z15" s="500">
        <f t="shared" si="6"/>
        <v>0.2</v>
      </c>
      <c r="AA15" s="500">
        <f t="shared" si="6"/>
        <v>0.2</v>
      </c>
      <c r="AB15" s="500">
        <f t="shared" si="6"/>
        <v>0</v>
      </c>
      <c r="AC15" s="524">
        <f t="shared" si="6"/>
        <v>0</v>
      </c>
    </row>
    <row r="16" spans="2:29" x14ac:dyDescent="0.3">
      <c r="B16" s="513" t="s">
        <v>145</v>
      </c>
      <c r="C16" s="53" t="s">
        <v>469</v>
      </c>
      <c r="D16" s="415"/>
      <c r="E16" s="53"/>
      <c r="F16" s="70"/>
      <c r="G16" s="70"/>
      <c r="H16" s="70">
        <f>'Haver Pivoted'!GS53</f>
        <v>0</v>
      </c>
      <c r="I16" s="70">
        <f>'Haver Pivoted'!GT53</f>
        <v>0</v>
      </c>
      <c r="J16" s="70">
        <f>'Haver Pivoted'!GU53</f>
        <v>16.899999999999999</v>
      </c>
      <c r="K16" s="70">
        <f>'Haver Pivoted'!GV53</f>
        <v>18.399999999999999</v>
      </c>
      <c r="L16" s="70">
        <f>'Haver Pivoted'!GW53</f>
        <v>46.2</v>
      </c>
      <c r="M16" s="70">
        <f>'Haver Pivoted'!GX53</f>
        <v>0.9</v>
      </c>
      <c r="N16" s="70">
        <f>'Haver Pivoted'!GY53</f>
        <v>14.1</v>
      </c>
      <c r="O16" s="70">
        <f>'Haver Pivoted'!GZ53</f>
        <v>8.6</v>
      </c>
      <c r="P16" s="70">
        <f>'Haver Pivoted'!HA53</f>
        <v>1.2</v>
      </c>
      <c r="Q16" s="70">
        <f>'Haver Pivoted'!HB53</f>
        <v>0.6</v>
      </c>
      <c r="R16" s="70">
        <f>'Haver Pivoted'!HC53</f>
        <v>0</v>
      </c>
      <c r="S16" s="301">
        <f>'Haver Pivoted'!HD53</f>
        <v>0</v>
      </c>
      <c r="T16" s="497"/>
      <c r="U16" s="311"/>
      <c r="V16" s="501"/>
      <c r="W16" s="501"/>
      <c r="X16" s="501"/>
      <c r="Y16" s="501"/>
      <c r="Z16" s="498"/>
      <c r="AA16" s="498"/>
      <c r="AB16" s="498"/>
      <c r="AC16" s="518"/>
    </row>
    <row r="17" spans="2:29" x14ac:dyDescent="0.3">
      <c r="B17" s="513" t="s">
        <v>143</v>
      </c>
      <c r="C17" s="53" t="s">
        <v>470</v>
      </c>
      <c r="D17" s="415"/>
      <c r="E17" s="53"/>
      <c r="F17" s="70"/>
      <c r="G17" s="70"/>
      <c r="H17" s="70">
        <f>'Haver Pivoted'!GS51</f>
        <v>0</v>
      </c>
      <c r="I17" s="70">
        <f>'Haver Pivoted'!GT51</f>
        <v>0</v>
      </c>
      <c r="J17" s="70">
        <f>'Haver Pivoted'!GU51</f>
        <v>73.3</v>
      </c>
      <c r="K17" s="70">
        <f>'Haver Pivoted'!GV51</f>
        <v>73.3</v>
      </c>
      <c r="L17" s="70">
        <f>'Haver Pivoted'!GW51</f>
        <v>73.3</v>
      </c>
      <c r="M17" s="70">
        <f>'Haver Pivoted'!GX51</f>
        <v>39.799999999999997</v>
      </c>
      <c r="N17" s="70">
        <f>'Haver Pivoted'!GY51</f>
        <v>43</v>
      </c>
      <c r="O17" s="70">
        <f>'Haver Pivoted'!GZ51</f>
        <v>45.7</v>
      </c>
      <c r="P17" s="70">
        <f>'Haver Pivoted'!HA51</f>
        <v>51.5</v>
      </c>
      <c r="Q17" s="70">
        <f>'Haver Pivoted'!HB51</f>
        <v>0</v>
      </c>
      <c r="R17" s="70">
        <f>'Haver Pivoted'!HC51</f>
        <v>0</v>
      </c>
      <c r="S17" s="301">
        <f>'Haver Pivoted'!HD51</f>
        <v>0</v>
      </c>
      <c r="T17" s="497">
        <f t="shared" ref="T17:AC17" si="7">S17</f>
        <v>0</v>
      </c>
      <c r="U17" s="311">
        <f t="shared" si="7"/>
        <v>0</v>
      </c>
      <c r="V17" s="311">
        <f t="shared" si="7"/>
        <v>0</v>
      </c>
      <c r="W17" s="311">
        <f t="shared" si="7"/>
        <v>0</v>
      </c>
      <c r="X17" s="311">
        <f t="shared" si="7"/>
        <v>0</v>
      </c>
      <c r="Y17" s="311">
        <f t="shared" si="7"/>
        <v>0</v>
      </c>
      <c r="Z17" s="311">
        <f t="shared" si="7"/>
        <v>0</v>
      </c>
      <c r="AA17" s="311">
        <f t="shared" si="7"/>
        <v>0</v>
      </c>
      <c r="AB17" s="311">
        <f t="shared" si="7"/>
        <v>0</v>
      </c>
      <c r="AC17" s="386">
        <f t="shared" si="7"/>
        <v>0</v>
      </c>
    </row>
    <row r="18" spans="2:29" x14ac:dyDescent="0.3">
      <c r="B18" s="513" t="s">
        <v>142</v>
      </c>
      <c r="C18" s="72" t="s">
        <v>471</v>
      </c>
      <c r="D18" s="338"/>
      <c r="E18" s="72"/>
      <c r="F18" s="70"/>
      <c r="G18" s="70"/>
      <c r="H18" s="70">
        <f>'Haver Pivoted'!GS50</f>
        <v>0</v>
      </c>
      <c r="I18" s="70">
        <f>'Haver Pivoted'!GT50</f>
        <v>0</v>
      </c>
      <c r="J18" s="70">
        <f>'Haver Pivoted'!GU50</f>
        <v>63.8</v>
      </c>
      <c r="K18" s="70">
        <f>'Haver Pivoted'!GV50</f>
        <v>15</v>
      </c>
      <c r="L18" s="70">
        <f>'Haver Pivoted'!GW50</f>
        <v>0.1</v>
      </c>
      <c r="M18" s="70">
        <f>'Haver Pivoted'!GX50</f>
        <v>38</v>
      </c>
      <c r="N18" s="70">
        <f>'Haver Pivoted'!GY50</f>
        <v>47.3</v>
      </c>
      <c r="O18" s="70">
        <f>'Haver Pivoted'!GZ50</f>
        <v>0.7</v>
      </c>
      <c r="P18" s="70">
        <f>'Haver Pivoted'!HA50</f>
        <v>0</v>
      </c>
      <c r="Q18" s="70">
        <f>'Haver Pivoted'!HB50</f>
        <v>0.3</v>
      </c>
      <c r="R18" s="70">
        <f>'Haver Pivoted'!HC50</f>
        <v>0.2</v>
      </c>
      <c r="S18" s="301">
        <f>'Haver Pivoted'!HD50</f>
        <v>0.3</v>
      </c>
      <c r="T18" s="497">
        <f t="shared" ref="T18:AC18" si="8">T30</f>
        <v>0</v>
      </c>
      <c r="U18" s="311">
        <f t="shared" si="8"/>
        <v>0</v>
      </c>
      <c r="V18" s="311">
        <f t="shared" si="8"/>
        <v>0</v>
      </c>
      <c r="W18" s="311">
        <f t="shared" si="8"/>
        <v>0</v>
      </c>
      <c r="X18" s="311">
        <f t="shared" si="8"/>
        <v>0</v>
      </c>
      <c r="Y18" s="311">
        <f t="shared" si="8"/>
        <v>0</v>
      </c>
      <c r="Z18" s="311">
        <f t="shared" si="8"/>
        <v>0</v>
      </c>
      <c r="AA18" s="311">
        <f t="shared" si="8"/>
        <v>0</v>
      </c>
      <c r="AB18" s="311">
        <f t="shared" si="8"/>
        <v>0</v>
      </c>
      <c r="AC18" s="386">
        <f t="shared" si="8"/>
        <v>0</v>
      </c>
    </row>
    <row r="19" spans="2:29" x14ac:dyDescent="0.3">
      <c r="B19" s="513" t="s">
        <v>472</v>
      </c>
      <c r="C19" s="72" t="s">
        <v>357</v>
      </c>
      <c r="D19" s="338"/>
      <c r="E19" s="72"/>
      <c r="F19" s="70"/>
      <c r="G19" s="70"/>
      <c r="H19" s="70">
        <f>'Haver Pivoted'!GS54</f>
        <v>0</v>
      </c>
      <c r="I19" s="70">
        <f>'Haver Pivoted'!GT54</f>
        <v>0</v>
      </c>
      <c r="J19" s="70">
        <f>'Haver Pivoted'!GU54</f>
        <v>96.6</v>
      </c>
      <c r="K19" s="70">
        <f>'Haver Pivoted'!GV54</f>
        <v>35.1</v>
      </c>
      <c r="L19" s="70">
        <f>'Haver Pivoted'!GW54</f>
        <v>20.7</v>
      </c>
      <c r="M19" s="70">
        <f>'Haver Pivoted'!GX54</f>
        <v>15.4</v>
      </c>
      <c r="N19" s="70">
        <f>'Haver Pivoted'!GY54</f>
        <v>9.6</v>
      </c>
      <c r="O19" s="70">
        <f>'Haver Pivoted'!GZ54</f>
        <v>13.5</v>
      </c>
      <c r="P19" s="70">
        <f>'Haver Pivoted'!HA54</f>
        <v>23.2</v>
      </c>
      <c r="Q19" s="70">
        <f>'Haver Pivoted'!HB54</f>
        <v>19.3</v>
      </c>
      <c r="R19" s="70">
        <f>'Haver Pivoted'!HC54</f>
        <v>14.4</v>
      </c>
      <c r="S19" s="301">
        <f>'Haver Pivoted'!HD54</f>
        <v>5.9</v>
      </c>
      <c r="T19" s="497">
        <f>'Provider Relief'!T13</f>
        <v>0</v>
      </c>
      <c r="U19" s="311"/>
      <c r="V19" s="311"/>
      <c r="W19" s="311"/>
      <c r="X19" s="311"/>
      <c r="Y19" s="311"/>
      <c r="Z19" s="498"/>
      <c r="AA19" s="498"/>
      <c r="AB19" s="498"/>
      <c r="AC19" s="518"/>
    </row>
    <row r="20" spans="2:29" x14ac:dyDescent="0.3">
      <c r="B20" s="513" t="s">
        <v>144</v>
      </c>
      <c r="C20" s="72" t="s">
        <v>473</v>
      </c>
      <c r="D20" s="338"/>
      <c r="E20" s="72"/>
      <c r="F20" s="70"/>
      <c r="G20" s="70"/>
      <c r="H20" s="70">
        <f>'Haver Pivoted'!GS52</f>
        <v>0</v>
      </c>
      <c r="I20" s="70">
        <f>'Haver Pivoted'!GT52</f>
        <v>0</v>
      </c>
      <c r="J20" s="70">
        <f>'Haver Pivoted'!GU52</f>
        <v>22</v>
      </c>
      <c r="K20" s="70">
        <f>'Haver Pivoted'!GV52</f>
        <v>25.3</v>
      </c>
      <c r="L20" s="70">
        <f>'Haver Pivoted'!GW52</f>
        <v>11.8</v>
      </c>
      <c r="M20" s="70">
        <f>'Haver Pivoted'!GX52</f>
        <v>11.9</v>
      </c>
      <c r="N20" s="70">
        <f>'Haver Pivoted'!GY52</f>
        <v>11.3</v>
      </c>
      <c r="O20" s="70">
        <f>'Haver Pivoted'!GZ52</f>
        <v>13.6</v>
      </c>
      <c r="P20" s="70">
        <f>'Haver Pivoted'!HA52</f>
        <v>19</v>
      </c>
      <c r="Q20" s="70">
        <f>'Haver Pivoted'!HB52</f>
        <v>21.8</v>
      </c>
      <c r="R20" s="70">
        <f>'Haver Pivoted'!HC52</f>
        <v>22.3</v>
      </c>
      <c r="S20" s="301">
        <f>'Haver Pivoted'!HD52</f>
        <v>20.2</v>
      </c>
      <c r="T20" s="497">
        <f t="shared" ref="T20:AC20" si="9">T37</f>
        <v>0.48599999999999993</v>
      </c>
      <c r="U20" s="311">
        <f t="shared" si="9"/>
        <v>0.48599999999999993</v>
      </c>
      <c r="V20" s="311">
        <f t="shared" si="9"/>
        <v>0.48599999999999993</v>
      </c>
      <c r="W20" s="311">
        <f t="shared" si="9"/>
        <v>0.48599999999999993</v>
      </c>
      <c r="X20" s="311">
        <f t="shared" si="9"/>
        <v>0</v>
      </c>
      <c r="Y20" s="311">
        <f t="shared" si="9"/>
        <v>0</v>
      </c>
      <c r="Z20" s="311">
        <f t="shared" si="9"/>
        <v>0</v>
      </c>
      <c r="AA20" s="311">
        <f t="shared" si="9"/>
        <v>0</v>
      </c>
      <c r="AB20" s="311">
        <f t="shared" si="9"/>
        <v>0</v>
      </c>
      <c r="AC20" s="386">
        <f t="shared" si="9"/>
        <v>0</v>
      </c>
    </row>
    <row r="21" spans="2:29" x14ac:dyDescent="0.3">
      <c r="B21" s="513" t="s">
        <v>148</v>
      </c>
      <c r="C21" s="72" t="s">
        <v>474</v>
      </c>
      <c r="D21" s="338"/>
      <c r="E21" s="72"/>
      <c r="F21" s="70"/>
      <c r="G21" s="70"/>
      <c r="H21" s="70">
        <f>'Haver Pivoted'!GS55</f>
        <v>0</v>
      </c>
      <c r="I21" s="70">
        <f>'Haver Pivoted'!GT55</f>
        <v>0</v>
      </c>
      <c r="J21" s="70">
        <f>'Haver Pivoted'!GU55</f>
        <v>140</v>
      </c>
      <c r="K21" s="70">
        <f>'Haver Pivoted'!GV55</f>
        <v>140</v>
      </c>
      <c r="L21" s="70">
        <f>'Haver Pivoted'!GW55</f>
        <v>140</v>
      </c>
      <c r="M21" s="70">
        <f>'Haver Pivoted'!GX55</f>
        <v>4.8</v>
      </c>
      <c r="N21" s="70">
        <f>'Haver Pivoted'!GY55</f>
        <v>4.4000000000000004</v>
      </c>
      <c r="O21" s="70">
        <f>'Haver Pivoted'!GZ55</f>
        <v>5.3</v>
      </c>
      <c r="P21" s="70">
        <f>'Haver Pivoted'!HA55</f>
        <v>4.7</v>
      </c>
      <c r="Q21" s="70">
        <f>'Haver Pivoted'!HB55</f>
        <v>0</v>
      </c>
      <c r="R21" s="70">
        <f>'Haver Pivoted'!HC55</f>
        <v>0</v>
      </c>
      <c r="S21" s="301">
        <f>'Haver Pivoted'!HD55</f>
        <v>0</v>
      </c>
      <c r="T21" s="497">
        <f t="shared" ref="T21:AC21" si="10">S21</f>
        <v>0</v>
      </c>
      <c r="U21" s="311">
        <f t="shared" si="10"/>
        <v>0</v>
      </c>
      <c r="V21" s="311">
        <f t="shared" si="10"/>
        <v>0</v>
      </c>
      <c r="W21" s="311">
        <f t="shared" si="10"/>
        <v>0</v>
      </c>
      <c r="X21" s="311">
        <f t="shared" si="10"/>
        <v>0</v>
      </c>
      <c r="Y21" s="311">
        <f t="shared" si="10"/>
        <v>0</v>
      </c>
      <c r="Z21" s="311">
        <f t="shared" si="10"/>
        <v>0</v>
      </c>
      <c r="AA21" s="311">
        <f t="shared" si="10"/>
        <v>0</v>
      </c>
      <c r="AB21" s="311">
        <f t="shared" si="10"/>
        <v>0</v>
      </c>
      <c r="AC21" s="386">
        <f t="shared" si="10"/>
        <v>0</v>
      </c>
    </row>
    <row r="22" spans="2:29" x14ac:dyDescent="0.3">
      <c r="B22" s="513" t="s">
        <v>475</v>
      </c>
      <c r="C22" s="72" t="s">
        <v>854</v>
      </c>
      <c r="D22" s="306"/>
      <c r="E22" s="70"/>
      <c r="F22" s="70"/>
      <c r="G22" s="70"/>
      <c r="H22" s="70"/>
      <c r="I22" s="70"/>
      <c r="J22" s="70"/>
      <c r="K22" s="70"/>
      <c r="L22" s="70"/>
      <c r="M22" s="70"/>
      <c r="N22" s="70">
        <f>'Haver Pivoted'!GY87</f>
        <v>11.3</v>
      </c>
      <c r="O22" s="70">
        <f>'Haver Pivoted'!GZ87</f>
        <v>10.4</v>
      </c>
      <c r="P22" s="70">
        <f>'Haver Pivoted'!HA87</f>
        <v>5.3</v>
      </c>
      <c r="Q22" s="70">
        <f>'Haver Pivoted'!HB87</f>
        <v>2.4</v>
      </c>
      <c r="R22" s="70">
        <f>'Haver Pivoted'!HC87</f>
        <v>0.3</v>
      </c>
      <c r="S22" s="301">
        <f>'Haver Pivoted'!HD87</f>
        <v>0</v>
      </c>
      <c r="T22" s="497">
        <v>0</v>
      </c>
      <c r="U22" s="311">
        <v>0</v>
      </c>
      <c r="V22" s="311">
        <v>0</v>
      </c>
      <c r="W22" s="311">
        <v>0</v>
      </c>
      <c r="X22" s="311">
        <v>0</v>
      </c>
      <c r="Y22" s="311">
        <v>0</v>
      </c>
      <c r="Z22" s="311">
        <v>0</v>
      </c>
      <c r="AA22" s="311">
        <v>0</v>
      </c>
      <c r="AB22" s="311">
        <v>0</v>
      </c>
      <c r="AC22" s="386">
        <v>0</v>
      </c>
    </row>
    <row r="23" spans="2:29" x14ac:dyDescent="0.3">
      <c r="B23" s="513" t="s">
        <v>476</v>
      </c>
      <c r="C23" s="72" t="s">
        <v>853</v>
      </c>
      <c r="D23" s="338"/>
      <c r="E23" s="72"/>
      <c r="F23" s="70"/>
      <c r="G23" s="491"/>
      <c r="H23" s="70"/>
      <c r="I23" s="70"/>
      <c r="J23" s="70"/>
      <c r="K23" s="70"/>
      <c r="L23" s="70"/>
      <c r="M23" s="70"/>
      <c r="N23" s="70">
        <f>'Haver Pivoted'!GY86</f>
        <v>21.4</v>
      </c>
      <c r="O23" s="70">
        <f>'Haver Pivoted'!GZ86</f>
        <v>57</v>
      </c>
      <c r="P23" s="70">
        <f>'Haver Pivoted'!HA86</f>
        <v>35.5</v>
      </c>
      <c r="Q23" s="70">
        <f>'Haver Pivoted'!HB86</f>
        <v>0</v>
      </c>
      <c r="R23" s="70">
        <f>'Haver Pivoted'!HC86</f>
        <v>0</v>
      </c>
      <c r="S23" s="301">
        <f>'Haver Pivoted'!HD86</f>
        <v>0</v>
      </c>
      <c r="T23" s="497">
        <f t="shared" ref="T23:AC23" si="11">S23</f>
        <v>0</v>
      </c>
      <c r="U23" s="311">
        <f t="shared" si="11"/>
        <v>0</v>
      </c>
      <c r="V23" s="311">
        <f t="shared" si="11"/>
        <v>0</v>
      </c>
      <c r="W23" s="311">
        <f t="shared" si="11"/>
        <v>0</v>
      </c>
      <c r="X23" s="311">
        <f t="shared" si="11"/>
        <v>0</v>
      </c>
      <c r="Y23" s="311">
        <f t="shared" si="11"/>
        <v>0</v>
      </c>
      <c r="Z23" s="311">
        <f t="shared" si="11"/>
        <v>0</v>
      </c>
      <c r="AA23" s="311">
        <f t="shared" si="11"/>
        <v>0</v>
      </c>
      <c r="AB23" s="311">
        <f t="shared" si="11"/>
        <v>0</v>
      </c>
      <c r="AC23" s="386">
        <f t="shared" si="11"/>
        <v>0</v>
      </c>
    </row>
    <row r="24" spans="2:29" x14ac:dyDescent="0.3">
      <c r="B24" s="513" t="s">
        <v>477</v>
      </c>
      <c r="C24" s="72"/>
      <c r="D24" s="338"/>
      <c r="E24" s="72"/>
      <c r="F24" s="70"/>
      <c r="G24" s="70"/>
      <c r="H24" s="70"/>
      <c r="I24" s="70"/>
      <c r="J24" s="70"/>
      <c r="K24" s="70"/>
      <c r="L24" s="70"/>
      <c r="M24" s="70"/>
      <c r="N24" s="70"/>
      <c r="O24" s="73">
        <f>O41+O42</f>
        <v>12.51648</v>
      </c>
      <c r="P24" s="73">
        <f>P41+P42</f>
        <v>11.3</v>
      </c>
      <c r="Q24" s="73">
        <f t="shared" ref="Q24:AC24" si="12">Q41+Q42</f>
        <v>11.3</v>
      </c>
      <c r="R24" s="73">
        <f t="shared" si="12"/>
        <v>11.3</v>
      </c>
      <c r="S24" s="329">
        <f t="shared" si="12"/>
        <v>11.3</v>
      </c>
      <c r="T24" s="497">
        <f t="shared" si="12"/>
        <v>8.4</v>
      </c>
      <c r="U24" s="311">
        <f t="shared" si="12"/>
        <v>8.4</v>
      </c>
      <c r="V24" s="311">
        <f t="shared" si="12"/>
        <v>8.4</v>
      </c>
      <c r="W24" s="311">
        <f t="shared" si="12"/>
        <v>8.4</v>
      </c>
      <c r="X24" s="311">
        <f t="shared" si="12"/>
        <v>0.2</v>
      </c>
      <c r="Y24" s="311">
        <f t="shared" si="12"/>
        <v>0.2</v>
      </c>
      <c r="Z24" s="311">
        <f t="shared" si="12"/>
        <v>0.2</v>
      </c>
      <c r="AA24" s="311">
        <f t="shared" si="12"/>
        <v>0.2</v>
      </c>
      <c r="AB24" s="311">
        <f t="shared" si="12"/>
        <v>0</v>
      </c>
      <c r="AC24" s="386">
        <f t="shared" si="12"/>
        <v>0</v>
      </c>
    </row>
    <row r="25" spans="2:29" x14ac:dyDescent="0.3">
      <c r="B25" s="513" t="s">
        <v>478</v>
      </c>
      <c r="C25" s="72"/>
      <c r="D25" s="338"/>
      <c r="E25" s="72"/>
      <c r="F25" s="73"/>
      <c r="G25" s="73"/>
      <c r="H25" s="149"/>
      <c r="I25" s="149"/>
      <c r="J25" s="149"/>
      <c r="K25" s="149"/>
      <c r="L25" s="149"/>
      <c r="M25" s="149"/>
      <c r="N25" s="73"/>
      <c r="O25" s="73">
        <f>O34</f>
        <v>12</v>
      </c>
      <c r="P25" s="73">
        <v>25</v>
      </c>
      <c r="Q25" s="73">
        <v>5</v>
      </c>
      <c r="R25" s="73">
        <v>5</v>
      </c>
      <c r="S25" s="329">
        <v>5</v>
      </c>
      <c r="T25" s="497">
        <f t="shared" ref="T25:AC25" si="13">T34</f>
        <v>0</v>
      </c>
      <c r="U25" s="311">
        <f t="shared" si="13"/>
        <v>0</v>
      </c>
      <c r="V25" s="311">
        <f t="shared" si="13"/>
        <v>0</v>
      </c>
      <c r="W25" s="311">
        <f t="shared" si="13"/>
        <v>0</v>
      </c>
      <c r="X25" s="311">
        <f t="shared" si="13"/>
        <v>0</v>
      </c>
      <c r="Y25" s="311">
        <f t="shared" si="13"/>
        <v>0</v>
      </c>
      <c r="Z25" s="311">
        <f t="shared" si="13"/>
        <v>0</v>
      </c>
      <c r="AA25" s="311">
        <f t="shared" si="13"/>
        <v>0</v>
      </c>
      <c r="AB25" s="311">
        <f t="shared" si="13"/>
        <v>0</v>
      </c>
      <c r="AC25" s="386">
        <f t="shared" si="13"/>
        <v>0</v>
      </c>
    </row>
    <row r="26" spans="2:29" x14ac:dyDescent="0.3">
      <c r="B26" s="511" t="s">
        <v>1475</v>
      </c>
      <c r="C26" s="72"/>
      <c r="D26" s="338"/>
      <c r="E26" s="72"/>
      <c r="F26" s="73"/>
      <c r="G26" s="73"/>
      <c r="H26" s="149"/>
      <c r="I26" s="149"/>
      <c r="J26" s="149"/>
      <c r="K26" s="149"/>
      <c r="L26" s="149"/>
      <c r="M26" s="149"/>
      <c r="N26" s="73"/>
      <c r="O26" s="73"/>
      <c r="P26" s="73"/>
      <c r="Q26" s="73"/>
      <c r="R26" s="73"/>
      <c r="S26" s="492">
        <f>'IRA and CHIPS'!E198</f>
        <v>0</v>
      </c>
      <c r="T26" s="502">
        <f>'IRA and CHIPS'!F198</f>
        <v>2.3250000000000002</v>
      </c>
      <c r="U26" s="503">
        <f>'IRA and CHIPS'!G198</f>
        <v>2.3250000000000002</v>
      </c>
      <c r="V26" s="503">
        <f>'IRA and CHIPS'!H198</f>
        <v>2.3250000000000002</v>
      </c>
      <c r="W26" s="503">
        <f>'IRA and CHIPS'!I198</f>
        <v>2.3250000000000002</v>
      </c>
      <c r="X26" s="503">
        <f>'IRA and CHIPS'!J198</f>
        <v>5.5830000000000002</v>
      </c>
      <c r="Y26" s="503">
        <f>'IRA and CHIPS'!K198</f>
        <v>5.5830000000000002</v>
      </c>
      <c r="Z26" s="503">
        <f>'IRA and CHIPS'!L198</f>
        <v>5.5830000000000002</v>
      </c>
      <c r="AA26" s="503">
        <f>'IRA and CHIPS'!M198</f>
        <v>5.5830000000000002</v>
      </c>
      <c r="AB26" s="503">
        <f>'IRA and CHIPS'!N198</f>
        <v>8.0220000000000002</v>
      </c>
      <c r="AC26" s="504">
        <f>'IRA and CHIPS'!O198</f>
        <v>8.0220000000000002</v>
      </c>
    </row>
    <row r="27" spans="2:29" x14ac:dyDescent="0.3">
      <c r="B27" s="511" t="s">
        <v>1282</v>
      </c>
      <c r="C27" s="342"/>
      <c r="D27" s="338"/>
      <c r="E27" s="72"/>
      <c r="F27" s="73"/>
      <c r="G27" s="73"/>
      <c r="H27" s="149"/>
      <c r="I27" s="149"/>
      <c r="J27" s="149"/>
      <c r="K27" s="149"/>
      <c r="L27" s="149"/>
      <c r="M27" s="149"/>
      <c r="N27" s="73"/>
      <c r="O27" s="73"/>
      <c r="P27" s="73"/>
      <c r="Q27" s="73"/>
      <c r="R27" s="73"/>
      <c r="S27" s="492">
        <f>'IRA and CHIPS'!E187</f>
        <v>0</v>
      </c>
      <c r="T27" s="505">
        <f>'IRA and CHIPS'!F187</f>
        <v>1.2969999999999999</v>
      </c>
      <c r="U27" s="512">
        <f>'IRA and CHIPS'!G187</f>
        <v>1.2969999999999999</v>
      </c>
      <c r="V27" s="512">
        <f>'IRA and CHIPS'!H187</f>
        <v>1.2969999999999999</v>
      </c>
      <c r="W27" s="512">
        <f>'IRA and CHIPS'!I187</f>
        <v>1.2969999999999999</v>
      </c>
      <c r="X27" s="512">
        <f>'IRA and CHIPS'!J187</f>
        <v>3.8479999999999999</v>
      </c>
      <c r="Y27" s="512">
        <f>'IRA and CHIPS'!K187</f>
        <v>3.8479999999999999</v>
      </c>
      <c r="Z27" s="512">
        <f>'IRA and CHIPS'!L187</f>
        <v>3.8479999999999999</v>
      </c>
      <c r="AA27" s="512">
        <f>'IRA and CHIPS'!M187</f>
        <v>3.8479999999999999</v>
      </c>
      <c r="AB27" s="512">
        <f>'IRA and CHIPS'!N187</f>
        <v>6.4420000000000002</v>
      </c>
      <c r="AC27" s="506">
        <f>'IRA and CHIPS'!O187</f>
        <v>6.4420000000000002</v>
      </c>
    </row>
    <row r="28" spans="2:29" ht="15" customHeight="1" x14ac:dyDescent="0.3">
      <c r="B28" s="1219" t="s">
        <v>479</v>
      </c>
      <c r="C28" s="1220"/>
      <c r="D28" s="480"/>
      <c r="E28" s="494"/>
      <c r="F28" s="494"/>
      <c r="G28" s="494"/>
      <c r="H28" s="380"/>
      <c r="I28" s="380"/>
      <c r="J28" s="380"/>
      <c r="K28" s="380"/>
      <c r="L28" s="380"/>
      <c r="M28" s="380"/>
      <c r="N28" s="380"/>
      <c r="O28" s="380"/>
      <c r="P28" s="495"/>
      <c r="Q28" s="380"/>
      <c r="R28" s="380"/>
      <c r="S28" s="485"/>
      <c r="T28" s="311"/>
      <c r="U28" s="311"/>
      <c r="V28" s="498"/>
      <c r="W28" s="498"/>
      <c r="X28" s="498"/>
      <c r="Y28" s="498"/>
      <c r="Z28" s="498"/>
      <c r="AA28" s="498"/>
      <c r="AB28" s="498"/>
      <c r="AC28" s="518"/>
    </row>
    <row r="29" spans="2:29" x14ac:dyDescent="0.3">
      <c r="B29" s="398" t="s">
        <v>480</v>
      </c>
      <c r="C29" s="176"/>
      <c r="D29" s="185"/>
      <c r="E29" s="176"/>
      <c r="F29" s="149"/>
      <c r="G29" s="149"/>
      <c r="H29" s="73"/>
      <c r="I29" s="73"/>
      <c r="J29" s="73"/>
      <c r="K29" s="73"/>
      <c r="L29" s="73"/>
      <c r="M29" s="73"/>
      <c r="N29" s="73">
        <f>SUM(N30:N34)</f>
        <v>23</v>
      </c>
      <c r="O29" s="73">
        <f>SUM(O30:O34)</f>
        <v>162</v>
      </c>
      <c r="P29" s="73"/>
      <c r="Q29" s="73"/>
      <c r="R29" s="73"/>
      <c r="S29" s="329"/>
      <c r="T29" s="311"/>
      <c r="U29" s="311"/>
      <c r="V29" s="498"/>
      <c r="W29" s="498"/>
      <c r="X29" s="498"/>
      <c r="Y29" s="498"/>
      <c r="Z29" s="498"/>
      <c r="AA29" s="498"/>
      <c r="AB29" s="498"/>
      <c r="AC29" s="518"/>
    </row>
    <row r="30" spans="2:29" x14ac:dyDescent="0.3">
      <c r="B30" s="396" t="s">
        <v>481</v>
      </c>
      <c r="C30" s="176"/>
      <c r="D30" s="185"/>
      <c r="E30" s="176"/>
      <c r="F30" s="149"/>
      <c r="G30" s="149"/>
      <c r="H30" s="73"/>
      <c r="I30" s="73"/>
      <c r="J30" s="73"/>
      <c r="K30" s="73"/>
      <c r="L30" s="493"/>
      <c r="M30" s="73"/>
      <c r="N30" s="73">
        <f>(4*'Response and Relief Act Score'!$F$15-$M$18)/2</f>
        <v>11</v>
      </c>
      <c r="O30" s="73">
        <f>(4*'Response and Relief Act Score'!$F$15-$M$18)/2</f>
        <v>11</v>
      </c>
      <c r="P30" s="73"/>
      <c r="Q30" s="73"/>
      <c r="R30" s="73"/>
      <c r="S30" s="329"/>
      <c r="T30" s="311"/>
      <c r="U30" s="311"/>
      <c r="V30" s="498"/>
      <c r="W30" s="498"/>
      <c r="X30" s="498"/>
      <c r="Y30" s="498"/>
      <c r="Z30" s="498"/>
      <c r="AA30" s="498"/>
      <c r="AB30" s="498"/>
      <c r="AC30" s="518"/>
    </row>
    <row r="31" spans="2:29" x14ac:dyDescent="0.3">
      <c r="B31" s="396" t="s">
        <v>478</v>
      </c>
      <c r="C31" s="176"/>
      <c r="D31" s="185"/>
      <c r="E31" s="176"/>
      <c r="F31" s="149"/>
      <c r="G31" s="149"/>
      <c r="H31" s="73"/>
      <c r="I31" s="73"/>
      <c r="J31" s="73"/>
      <c r="K31" s="73"/>
      <c r="L31" s="493"/>
      <c r="M31" s="73"/>
      <c r="N31" s="73"/>
      <c r="O31" s="73"/>
      <c r="P31" s="73"/>
      <c r="Q31" s="73"/>
      <c r="R31" s="73"/>
      <c r="S31" s="329"/>
      <c r="T31" s="311"/>
      <c r="U31" s="311"/>
      <c r="V31" s="498"/>
      <c r="W31" s="498"/>
      <c r="X31" s="498"/>
      <c r="Y31" s="498"/>
      <c r="Z31" s="498"/>
      <c r="AA31" s="498"/>
      <c r="AB31" s="498"/>
      <c r="AC31" s="518"/>
    </row>
    <row r="32" spans="2:29" x14ac:dyDescent="0.3">
      <c r="B32" s="519" t="s">
        <v>475</v>
      </c>
      <c r="C32" s="176"/>
      <c r="D32" s="185"/>
      <c r="E32" s="176"/>
      <c r="F32" s="149"/>
      <c r="G32" s="149"/>
      <c r="H32" s="73"/>
      <c r="I32" s="73"/>
      <c r="J32" s="73"/>
      <c r="K32" s="73"/>
      <c r="L32" s="73"/>
      <c r="M32" s="73"/>
      <c r="N32" s="73"/>
      <c r="O32" s="73">
        <v>79</v>
      </c>
      <c r="P32" s="73"/>
      <c r="Q32" s="358"/>
      <c r="R32" s="358"/>
      <c r="S32" s="403"/>
      <c r="T32" s="390"/>
      <c r="U32" s="390"/>
      <c r="V32" s="498"/>
      <c r="W32" s="498"/>
      <c r="X32" s="498"/>
      <c r="Y32" s="498"/>
      <c r="Z32" s="498"/>
      <c r="AA32" s="498"/>
      <c r="AB32" s="498"/>
      <c r="AC32" s="518"/>
    </row>
    <row r="33" spans="1:78" x14ac:dyDescent="0.3">
      <c r="B33" s="520" t="s">
        <v>482</v>
      </c>
      <c r="C33" s="176"/>
      <c r="D33" s="185"/>
      <c r="E33" s="176"/>
      <c r="F33" s="149"/>
      <c r="G33" s="149"/>
      <c r="H33" s="73"/>
      <c r="I33" s="73"/>
      <c r="J33" s="73"/>
      <c r="K33" s="73"/>
      <c r="L33" s="73"/>
      <c r="M33" s="73"/>
      <c r="N33" s="73"/>
      <c r="O33" s="73">
        <f>'Response and Relief Act Score'!F13*4</f>
        <v>60</v>
      </c>
      <c r="P33" s="73"/>
      <c r="Q33" s="358"/>
      <c r="R33" s="358"/>
      <c r="S33" s="403"/>
      <c r="T33" s="390"/>
      <c r="U33" s="390"/>
      <c r="V33" s="498"/>
      <c r="W33" s="498"/>
      <c r="X33" s="498"/>
      <c r="Y33" s="498"/>
      <c r="Z33" s="498"/>
      <c r="AA33" s="498"/>
      <c r="AB33" s="498"/>
      <c r="AC33" s="518"/>
    </row>
    <row r="34" spans="1:78" ht="27.6" customHeight="1" x14ac:dyDescent="0.3">
      <c r="B34" s="520" t="s">
        <v>483</v>
      </c>
      <c r="C34" s="176"/>
      <c r="D34" s="185"/>
      <c r="E34" s="176"/>
      <c r="F34" s="149"/>
      <c r="G34" s="149"/>
      <c r="H34" s="73"/>
      <c r="I34" s="73"/>
      <c r="J34" s="73"/>
      <c r="K34" s="73"/>
      <c r="L34" s="493"/>
      <c r="M34" s="73"/>
      <c r="N34" s="73">
        <f>'Response and Relief Act Score'!F14*4/2</f>
        <v>12</v>
      </c>
      <c r="O34" s="73">
        <f>'Response and Relief Act Score'!F14*4/2</f>
        <v>12</v>
      </c>
      <c r="P34" s="73"/>
      <c r="Q34" s="73"/>
      <c r="R34" s="73"/>
      <c r="S34" s="329"/>
      <c r="T34" s="311"/>
      <c r="U34" s="311"/>
      <c r="V34" s="498"/>
      <c r="W34" s="498"/>
      <c r="X34" s="498"/>
      <c r="Y34" s="498"/>
      <c r="Z34" s="498"/>
      <c r="AA34" s="498"/>
      <c r="AB34" s="498"/>
      <c r="AC34" s="518"/>
    </row>
    <row r="35" spans="1:78" ht="15" customHeight="1" x14ac:dyDescent="0.3">
      <c r="B35" s="1217" t="s">
        <v>484</v>
      </c>
      <c r="C35" s="1218"/>
      <c r="D35" s="185"/>
      <c r="E35" s="176"/>
      <c r="F35" s="149"/>
      <c r="G35" s="149"/>
      <c r="H35" s="73"/>
      <c r="I35" s="73"/>
      <c r="J35" s="73"/>
      <c r="K35" s="73"/>
      <c r="L35" s="493"/>
      <c r="M35" s="73"/>
      <c r="N35" s="73"/>
      <c r="O35" s="73"/>
      <c r="P35" s="73"/>
      <c r="Q35" s="73"/>
      <c r="R35" s="73"/>
      <c r="S35" s="329"/>
      <c r="T35" s="522"/>
      <c r="U35" s="522"/>
      <c r="V35" s="523"/>
      <c r="W35" s="523"/>
      <c r="X35" s="523"/>
      <c r="Y35" s="523"/>
      <c r="Z35" s="523"/>
      <c r="AA35" s="523"/>
      <c r="AB35" s="523"/>
      <c r="AC35" s="199"/>
    </row>
    <row r="36" spans="1:78" ht="13.5" customHeight="1" x14ac:dyDescent="0.3">
      <c r="B36" s="520" t="s">
        <v>143</v>
      </c>
      <c r="C36" s="176"/>
      <c r="D36" s="185"/>
      <c r="E36" s="176"/>
      <c r="F36" s="149"/>
      <c r="G36" s="149"/>
      <c r="H36" s="73"/>
      <c r="I36" s="73"/>
      <c r="J36" s="73"/>
      <c r="K36" s="73"/>
      <c r="L36" s="493"/>
      <c r="M36" s="73">
        <f>'ARP Quarterly'!C18</f>
        <v>0</v>
      </c>
      <c r="N36" s="73">
        <f>'ARP Quarterly'!D18</f>
        <v>2.2132800000000001</v>
      </c>
      <c r="O36" s="73">
        <f>'ARP Quarterly'!E18</f>
        <v>10.082720000000002</v>
      </c>
      <c r="P36" s="73">
        <f>'ARP Quarterly'!F18</f>
        <v>7.1439999999999992</v>
      </c>
      <c r="Q36" s="73">
        <f>'ARP Quarterly'!G18</f>
        <v>7.1439999999999992</v>
      </c>
      <c r="R36" s="73">
        <f>'ARP Quarterly'!H18</f>
        <v>7.1439999999999992</v>
      </c>
      <c r="S36" s="329">
        <f>'ARP Quarterly'!I18</f>
        <v>7.1439999999999992</v>
      </c>
      <c r="T36" s="311">
        <f>'ARP Quarterly'!J18</f>
        <v>0</v>
      </c>
      <c r="U36" s="311">
        <f>'ARP Quarterly'!K18</f>
        <v>0</v>
      </c>
      <c r="V36" s="311">
        <f>'ARP Quarterly'!L18</f>
        <v>0</v>
      </c>
      <c r="W36" s="311">
        <f>'ARP Quarterly'!M18</f>
        <v>0</v>
      </c>
      <c r="X36" s="311">
        <f>'ARP Quarterly'!N18</f>
        <v>0</v>
      </c>
      <c r="Y36" s="311">
        <f>'ARP Quarterly'!O18</f>
        <v>0</v>
      </c>
      <c r="Z36" s="311">
        <f>'ARP Quarterly'!P18</f>
        <v>0</v>
      </c>
      <c r="AA36" s="311">
        <f>'ARP Quarterly'!Q18</f>
        <v>0</v>
      </c>
      <c r="AB36" s="311">
        <f>'ARP Quarterly'!R18</f>
        <v>0</v>
      </c>
      <c r="AC36" s="386">
        <f>'ARP Quarterly'!S18</f>
        <v>0</v>
      </c>
    </row>
    <row r="37" spans="1:78" x14ac:dyDescent="0.3">
      <c r="B37" s="520" t="s">
        <v>485</v>
      </c>
      <c r="C37" s="176"/>
      <c r="D37" s="185"/>
      <c r="E37" s="176"/>
      <c r="F37" s="149"/>
      <c r="G37" s="149"/>
      <c r="H37" s="73"/>
      <c r="I37" s="73"/>
      <c r="J37" s="73"/>
      <c r="K37" s="73"/>
      <c r="L37" s="493"/>
      <c r="M37" s="73">
        <f>'ARP Quarterly'!C19</f>
        <v>0</v>
      </c>
      <c r="N37" s="73">
        <f>'ARP Quarterly'!D19</f>
        <v>15.128640000000001</v>
      </c>
      <c r="O37" s="73">
        <f>'ARP Quarterly'!E19</f>
        <v>68.919360000000012</v>
      </c>
      <c r="P37" s="73">
        <f>'ARP Quarterly'!F19</f>
        <v>5.6120000000000001</v>
      </c>
      <c r="Q37" s="73">
        <f>'ARP Quarterly'!G19</f>
        <v>5.6120000000000001</v>
      </c>
      <c r="R37" s="73">
        <f>'ARP Quarterly'!H19</f>
        <v>5.6120000000000001</v>
      </c>
      <c r="S37" s="329">
        <f>'ARP Quarterly'!I19</f>
        <v>5.6120000000000001</v>
      </c>
      <c r="T37" s="311">
        <f>'ARP Quarterly'!J19</f>
        <v>0.48599999999999993</v>
      </c>
      <c r="U37" s="311">
        <f>'ARP Quarterly'!K19</f>
        <v>0.48599999999999993</v>
      </c>
      <c r="V37" s="311">
        <f>'ARP Quarterly'!L19</f>
        <v>0.48599999999999993</v>
      </c>
      <c r="W37" s="311">
        <f>'ARP Quarterly'!M19</f>
        <v>0.48599999999999993</v>
      </c>
      <c r="X37" s="311">
        <f>'ARP Quarterly'!N19</f>
        <v>0</v>
      </c>
      <c r="Y37" s="311">
        <f>'ARP Quarterly'!O19</f>
        <v>0</v>
      </c>
      <c r="Z37" s="311">
        <f>'ARP Quarterly'!P19</f>
        <v>0</v>
      </c>
      <c r="AA37" s="311">
        <f>'ARP Quarterly'!Q19</f>
        <v>0</v>
      </c>
      <c r="AB37" s="311">
        <f>'ARP Quarterly'!R19</f>
        <v>0</v>
      </c>
      <c r="AC37" s="386">
        <f>'ARP Quarterly'!S19</f>
        <v>0</v>
      </c>
    </row>
    <row r="38" spans="1:78" x14ac:dyDescent="0.3">
      <c r="B38" s="520" t="s">
        <v>148</v>
      </c>
      <c r="C38" s="176"/>
      <c r="D38" s="185"/>
      <c r="E38" s="176"/>
      <c r="F38" s="149"/>
      <c r="G38" s="149"/>
      <c r="H38" s="73"/>
      <c r="I38" s="73"/>
      <c r="J38" s="73"/>
      <c r="K38" s="73"/>
      <c r="L38" s="493"/>
      <c r="M38" s="73">
        <f>'ARP Quarterly'!C20</f>
        <v>0</v>
      </c>
      <c r="N38" s="73">
        <f>'ARP Quarterly'!D20</f>
        <v>3.2479199999999997</v>
      </c>
      <c r="O38" s="73">
        <f>'ARP Quarterly'!E20</f>
        <v>14.796080000000002</v>
      </c>
      <c r="P38" s="73">
        <f>'ARP Quarterly'!F20</f>
        <v>1.7329999999999999</v>
      </c>
      <c r="Q38" s="73">
        <f>'ARP Quarterly'!G20</f>
        <v>1.7329999999999999</v>
      </c>
      <c r="R38" s="73">
        <f>'ARP Quarterly'!H20</f>
        <v>1.7329999999999999</v>
      </c>
      <c r="S38" s="329">
        <f>'ARP Quarterly'!I20</f>
        <v>1.7329999999999999</v>
      </c>
      <c r="T38" s="311">
        <f>'ARP Quarterly'!J20</f>
        <v>0</v>
      </c>
      <c r="U38" s="311">
        <f>'ARP Quarterly'!K20</f>
        <v>0</v>
      </c>
      <c r="V38" s="311">
        <f>'ARP Quarterly'!L20</f>
        <v>0</v>
      </c>
      <c r="W38" s="311">
        <f>'ARP Quarterly'!M20</f>
        <v>0</v>
      </c>
      <c r="X38" s="311">
        <f>'ARP Quarterly'!N20</f>
        <v>0</v>
      </c>
      <c r="Y38" s="311">
        <f>'ARP Quarterly'!O20</f>
        <v>0</v>
      </c>
      <c r="Z38" s="311">
        <f>'ARP Quarterly'!P20</f>
        <v>0</v>
      </c>
      <c r="AA38" s="311">
        <f>'ARP Quarterly'!Q20</f>
        <v>0</v>
      </c>
      <c r="AB38" s="311">
        <f>'ARP Quarterly'!R20</f>
        <v>0</v>
      </c>
      <c r="AC38" s="386">
        <f>'ARP Quarterly'!S20</f>
        <v>0</v>
      </c>
    </row>
    <row r="39" spans="1:78" x14ac:dyDescent="0.3">
      <c r="B39" s="520" t="s">
        <v>475</v>
      </c>
      <c r="C39" s="176"/>
      <c r="D39" s="185"/>
      <c r="E39" s="176"/>
      <c r="F39" s="149"/>
      <c r="G39" s="149"/>
      <c r="H39" s="73"/>
      <c r="I39" s="73"/>
      <c r="J39" s="73"/>
      <c r="K39" s="73"/>
      <c r="L39" s="493"/>
      <c r="M39" s="73">
        <f>'ARP Quarterly'!C21</f>
        <v>0</v>
      </c>
      <c r="N39" s="73">
        <f>'ARP Quarterly'!D21</f>
        <v>13.2921</v>
      </c>
      <c r="O39" s="73">
        <f>'ARP Quarterly'!E21</f>
        <v>60.552900000000008</v>
      </c>
      <c r="P39" s="73">
        <f>'ARP Quarterly'!F21</f>
        <v>1.0687500000000001</v>
      </c>
      <c r="Q39" s="73">
        <f>'ARP Quarterly'!G21</f>
        <v>1.0687500000000001</v>
      </c>
      <c r="R39" s="73">
        <f>'ARP Quarterly'!H21</f>
        <v>1.0687500000000001</v>
      </c>
      <c r="S39" s="329">
        <f>'ARP Quarterly'!I21</f>
        <v>1.0687500000000001</v>
      </c>
      <c r="T39" s="311">
        <f>'ARP Quarterly'!J21</f>
        <v>0.78750000000000009</v>
      </c>
      <c r="U39" s="311">
        <f>'ARP Quarterly'!K21</f>
        <v>0.78750000000000009</v>
      </c>
      <c r="V39" s="311">
        <f>'ARP Quarterly'!L21</f>
        <v>0.78750000000000009</v>
      </c>
      <c r="W39" s="311">
        <f>'ARP Quarterly'!M21</f>
        <v>0.78750000000000009</v>
      </c>
      <c r="X39" s="311">
        <f>'ARP Quarterly'!N21</f>
        <v>0</v>
      </c>
      <c r="Y39" s="311">
        <f>'ARP Quarterly'!O21</f>
        <v>0</v>
      </c>
      <c r="Z39" s="311">
        <f>'ARP Quarterly'!P21</f>
        <v>0</v>
      </c>
      <c r="AA39" s="311">
        <f>'ARP Quarterly'!Q21</f>
        <v>0</v>
      </c>
      <c r="AB39" s="311">
        <f>'ARP Quarterly'!R21</f>
        <v>0</v>
      </c>
      <c r="AC39" s="386">
        <f>'ARP Quarterly'!S21</f>
        <v>0</v>
      </c>
    </row>
    <row r="40" spans="1:78" ht="30" customHeight="1" x14ac:dyDescent="0.3">
      <c r="B40" s="520" t="s">
        <v>486</v>
      </c>
      <c r="C40" s="176"/>
      <c r="D40" s="185"/>
      <c r="E40" s="176"/>
      <c r="F40" s="149"/>
      <c r="G40" s="149"/>
      <c r="H40" s="73"/>
      <c r="I40" s="73"/>
      <c r="J40" s="73"/>
      <c r="K40" s="73"/>
      <c r="L40" s="493"/>
      <c r="M40" s="73">
        <f>'ARP Quarterly'!C22</f>
        <v>0</v>
      </c>
      <c r="N40" s="73">
        <f>'ARP Quarterly'!D22</f>
        <v>22.153499999999998</v>
      </c>
      <c r="O40" s="73">
        <f>'ARP Quarterly'!E22</f>
        <v>100.92150000000002</v>
      </c>
      <c r="P40" s="73">
        <f>'ARP Quarterly'!F22</f>
        <v>1.7812500000000002</v>
      </c>
      <c r="Q40" s="73">
        <f>'ARP Quarterly'!G22</f>
        <v>1.7812500000000002</v>
      </c>
      <c r="R40" s="73">
        <f>'ARP Quarterly'!H22</f>
        <v>1.7812500000000002</v>
      </c>
      <c r="S40" s="329">
        <f>'ARP Quarterly'!I22</f>
        <v>1.7812500000000002</v>
      </c>
      <c r="T40" s="311">
        <f>'ARP Quarterly'!J22</f>
        <v>1.3125000000000002</v>
      </c>
      <c r="U40" s="311">
        <f>'ARP Quarterly'!K22</f>
        <v>1.3125000000000002</v>
      </c>
      <c r="V40" s="311">
        <f>'ARP Quarterly'!L22</f>
        <v>1.3125000000000002</v>
      </c>
      <c r="W40" s="311">
        <f>'ARP Quarterly'!M22</f>
        <v>1.3125000000000002</v>
      </c>
      <c r="X40" s="311">
        <f>'ARP Quarterly'!N22</f>
        <v>0</v>
      </c>
      <c r="Y40" s="311">
        <f>'ARP Quarterly'!O22</f>
        <v>0</v>
      </c>
      <c r="Z40" s="311">
        <f>'ARP Quarterly'!P22</f>
        <v>0</v>
      </c>
      <c r="AA40" s="311">
        <f>'ARP Quarterly'!Q22</f>
        <v>0</v>
      </c>
      <c r="AB40" s="311">
        <f>'ARP Quarterly'!R22</f>
        <v>0</v>
      </c>
      <c r="AC40" s="386">
        <f>'ARP Quarterly'!S22</f>
        <v>0</v>
      </c>
    </row>
    <row r="41" spans="1:78" x14ac:dyDescent="0.3">
      <c r="B41" s="520" t="s">
        <v>487</v>
      </c>
      <c r="C41" s="176"/>
      <c r="D41" s="185"/>
      <c r="E41" s="176"/>
      <c r="F41" s="149"/>
      <c r="G41" s="149"/>
      <c r="H41" s="73"/>
      <c r="I41" s="73"/>
      <c r="J41" s="73"/>
      <c r="K41" s="73"/>
      <c r="L41" s="493"/>
      <c r="M41" s="73">
        <f>'ARP Quarterly'!C23</f>
        <v>0</v>
      </c>
      <c r="N41" s="73">
        <f>'ARP Quarterly'!D23</f>
        <v>2.9519999999999995</v>
      </c>
      <c r="O41" s="73">
        <f>'ARP Quarterly'!E23</f>
        <v>13.448</v>
      </c>
      <c r="P41" s="73">
        <f>'ARP Quarterly'!F23</f>
        <v>11.3</v>
      </c>
      <c r="Q41" s="73">
        <f>'ARP Quarterly'!G23</f>
        <v>11.3</v>
      </c>
      <c r="R41" s="73">
        <f>'ARP Quarterly'!H23</f>
        <v>11.3</v>
      </c>
      <c r="S41" s="329">
        <f>'ARP Quarterly'!I23</f>
        <v>11.3</v>
      </c>
      <c r="T41" s="311">
        <f>'ARP Quarterly'!J23</f>
        <v>8.4</v>
      </c>
      <c r="U41" s="311">
        <f>'ARP Quarterly'!K23</f>
        <v>8.4</v>
      </c>
      <c r="V41" s="311">
        <f>'ARP Quarterly'!L23</f>
        <v>8.4</v>
      </c>
      <c r="W41" s="311">
        <f>'ARP Quarterly'!M23</f>
        <v>8.4</v>
      </c>
      <c r="X41" s="311">
        <f>'ARP Quarterly'!N23</f>
        <v>0.2</v>
      </c>
      <c r="Y41" s="311">
        <f>'ARP Quarterly'!O23</f>
        <v>0.2</v>
      </c>
      <c r="Z41" s="311">
        <f>'ARP Quarterly'!P23</f>
        <v>0.2</v>
      </c>
      <c r="AA41" s="311">
        <f>'ARP Quarterly'!Q23</f>
        <v>0.2</v>
      </c>
      <c r="AB41" s="311">
        <f>'ARP Quarterly'!R23</f>
        <v>0</v>
      </c>
      <c r="AC41" s="386">
        <f>'ARP Quarterly'!S23</f>
        <v>0</v>
      </c>
    </row>
    <row r="42" spans="1:78" x14ac:dyDescent="0.3">
      <c r="B42" s="520" t="s">
        <v>488</v>
      </c>
      <c r="C42" s="176"/>
      <c r="D42" s="185"/>
      <c r="E42" s="176"/>
      <c r="F42" s="149"/>
      <c r="G42" s="149"/>
      <c r="H42" s="73"/>
      <c r="I42" s="73"/>
      <c r="J42" s="73"/>
      <c r="K42" s="73"/>
      <c r="L42" s="493"/>
      <c r="M42" s="73">
        <f>'ARP Quarterly'!C24</f>
        <v>0</v>
      </c>
      <c r="N42" s="73">
        <f>'ARP Quarterly'!D24</f>
        <v>-0.20447999999999997</v>
      </c>
      <c r="O42" s="73">
        <f>'ARP Quarterly'!E24</f>
        <v>-0.93152000000000001</v>
      </c>
      <c r="P42" s="73">
        <v>0</v>
      </c>
      <c r="Q42" s="73">
        <v>0</v>
      </c>
      <c r="R42" s="73">
        <v>0</v>
      </c>
      <c r="S42" s="329">
        <v>0</v>
      </c>
      <c r="T42" s="311">
        <v>0</v>
      </c>
      <c r="U42" s="311">
        <v>0</v>
      </c>
      <c r="V42" s="311">
        <v>0</v>
      </c>
      <c r="W42" s="311">
        <v>0</v>
      </c>
      <c r="X42" s="311">
        <v>0</v>
      </c>
      <c r="Y42" s="311">
        <v>0</v>
      </c>
      <c r="Z42" s="311">
        <v>0</v>
      </c>
      <c r="AA42" s="311">
        <v>0</v>
      </c>
      <c r="AB42" s="311">
        <v>0</v>
      </c>
      <c r="AC42" s="386">
        <v>0</v>
      </c>
    </row>
    <row r="43" spans="1:78" x14ac:dyDescent="0.3">
      <c r="B43" s="520" t="s">
        <v>360</v>
      </c>
      <c r="C43" s="176"/>
      <c r="D43" s="185"/>
      <c r="E43" s="176"/>
      <c r="F43" s="149"/>
      <c r="G43" s="149"/>
      <c r="H43" s="73"/>
      <c r="I43" s="73"/>
      <c r="J43" s="73"/>
      <c r="K43" s="73"/>
      <c r="L43" s="493"/>
      <c r="M43" s="73">
        <f>'ARP Quarterly'!C25</f>
        <v>0</v>
      </c>
      <c r="N43" s="73">
        <f>'ARP Quarterly'!D25</f>
        <v>58.782959999999996</v>
      </c>
      <c r="O43" s="73">
        <f>'ARP Quarterly'!E25</f>
        <v>267.78904000000006</v>
      </c>
      <c r="P43" s="73">
        <f>'ARP Quarterly'!F25</f>
        <v>110.24799999999999</v>
      </c>
      <c r="Q43" s="73">
        <f>'ARP Quarterly'!G25</f>
        <v>110.24799999999999</v>
      </c>
      <c r="R43" s="73">
        <f>'ARP Quarterly'!H25</f>
        <v>110.24799999999999</v>
      </c>
      <c r="S43" s="329">
        <f>'ARP Quarterly'!I25</f>
        <v>110.24799999999999</v>
      </c>
      <c r="T43" s="311">
        <f>'ARP Quarterly'!J25</f>
        <v>12.362</v>
      </c>
      <c r="U43" s="311">
        <f>'ARP Quarterly'!K25</f>
        <v>12.362</v>
      </c>
      <c r="V43" s="311">
        <f>'ARP Quarterly'!L25</f>
        <v>12.362</v>
      </c>
      <c r="W43" s="311">
        <f>'ARP Quarterly'!M25</f>
        <v>12.362</v>
      </c>
      <c r="X43" s="311">
        <f>'ARP Quarterly'!N25</f>
        <v>-0.67500000000000004</v>
      </c>
      <c r="Y43" s="311">
        <f>'ARP Quarterly'!O25</f>
        <v>-0.67500000000000004</v>
      </c>
      <c r="Z43" s="311">
        <f>'ARP Quarterly'!P25</f>
        <v>-0.67500000000000004</v>
      </c>
      <c r="AA43" s="311">
        <f>'ARP Quarterly'!Q25</f>
        <v>-0.67500000000000004</v>
      </c>
      <c r="AB43" s="311">
        <f>'ARP Quarterly'!R25</f>
        <v>0</v>
      </c>
      <c r="AC43" s="386">
        <f>'ARP Quarterly'!S25</f>
        <v>0</v>
      </c>
    </row>
    <row r="44" spans="1:78" ht="15" customHeight="1" x14ac:dyDescent="0.3">
      <c r="B44" s="1217" t="s">
        <v>489</v>
      </c>
      <c r="C44" s="1218"/>
      <c r="D44" s="478"/>
      <c r="E44" s="479"/>
      <c r="F44" s="388"/>
      <c r="G44" s="388"/>
      <c r="H44" s="380"/>
      <c r="I44" s="380"/>
      <c r="J44" s="380"/>
      <c r="K44" s="380"/>
      <c r="L44" s="484"/>
      <c r="M44" s="380"/>
      <c r="N44" s="380"/>
      <c r="O44" s="380"/>
      <c r="P44" s="380"/>
      <c r="Q44" s="380"/>
      <c r="R44" s="380"/>
      <c r="S44" s="485"/>
      <c r="T44" s="522"/>
      <c r="U44" s="522"/>
      <c r="V44" s="523"/>
      <c r="W44" s="523"/>
      <c r="X44" s="523"/>
      <c r="Y44" s="523"/>
      <c r="Z44" s="523"/>
      <c r="AA44" s="523"/>
      <c r="AB44" s="523"/>
      <c r="AC44" s="199"/>
    </row>
    <row r="45" spans="1:78" ht="21" customHeight="1" x14ac:dyDescent="0.3">
      <c r="B45" s="406" t="s">
        <v>490</v>
      </c>
      <c r="C45" s="507"/>
      <c r="D45" s="406"/>
      <c r="E45" s="507"/>
      <c r="F45" s="313"/>
      <c r="G45" s="313"/>
      <c r="H45" s="508"/>
      <c r="I45" s="508"/>
      <c r="J45" s="508"/>
      <c r="K45" s="508"/>
      <c r="L45" s="509"/>
      <c r="M45" s="508">
        <f>'ARP Quarterly'!C6</f>
        <v>0</v>
      </c>
      <c r="N45" s="508">
        <f>'ARP Quarterly'!D6</f>
        <v>58.782959999999989</v>
      </c>
      <c r="O45" s="508">
        <f>'ARP Quarterly'!E6</f>
        <v>267.78904</v>
      </c>
      <c r="P45" s="508">
        <f>'ARP Quarterly'!F6</f>
        <v>110.24799999999999</v>
      </c>
      <c r="Q45" s="508">
        <f>'ARP Quarterly'!G6</f>
        <v>110.24799999999999</v>
      </c>
      <c r="R45" s="508">
        <f>'ARP Quarterly'!H6</f>
        <v>110.24799999999999</v>
      </c>
      <c r="S45" s="486">
        <f>'ARP Quarterly'!I6</f>
        <v>110.24799999999999</v>
      </c>
      <c r="T45" s="514">
        <f>'ARP Quarterly'!J6</f>
        <v>12.726000000000001</v>
      </c>
      <c r="U45" s="514">
        <f>'ARP Quarterly'!K6</f>
        <v>12.726000000000001</v>
      </c>
      <c r="V45" s="514">
        <f>'ARP Quarterly'!L6</f>
        <v>12.726000000000001</v>
      </c>
      <c r="W45" s="514">
        <f>'ARP Quarterly'!M6</f>
        <v>12.726000000000001</v>
      </c>
      <c r="X45" s="514">
        <f>'ARP Quarterly'!N6</f>
        <v>1.365</v>
      </c>
      <c r="Y45" s="514">
        <f>'ARP Quarterly'!O6</f>
        <v>1.365</v>
      </c>
      <c r="Z45" s="514">
        <f>'ARP Quarterly'!P6</f>
        <v>1.365</v>
      </c>
      <c r="AA45" s="514">
        <f>'ARP Quarterly'!Q6</f>
        <v>1.365</v>
      </c>
      <c r="AB45" s="514">
        <f>'ARP Quarterly'!R6</f>
        <v>-0.90100000000000025</v>
      </c>
      <c r="AC45" s="525">
        <f>'ARP Quarterly'!S6</f>
        <v>-0.90100000000000025</v>
      </c>
    </row>
    <row r="46" spans="1:78" ht="19.5" customHeight="1" x14ac:dyDescent="0.3">
      <c r="A46" s="521"/>
      <c r="B46" s="487" t="s">
        <v>199</v>
      </c>
      <c r="C46" s="488"/>
      <c r="D46" s="487"/>
      <c r="E46" s="488"/>
      <c r="F46" s="526">
        <f>F11-F45</f>
        <v>60.5</v>
      </c>
      <c r="G46" s="526">
        <f>G11-G45</f>
        <v>81.400000000000006</v>
      </c>
      <c r="H46" s="526">
        <f t="shared" ref="H46:AC46" si="14">H11-H45</f>
        <v>82.1</v>
      </c>
      <c r="I46" s="526">
        <f>I11-I45</f>
        <v>80</v>
      </c>
      <c r="J46" s="526">
        <f t="shared" si="14"/>
        <v>975.7</v>
      </c>
      <c r="K46" s="526">
        <f t="shared" si="14"/>
        <v>1108.8</v>
      </c>
      <c r="L46" s="526">
        <f>L11-L45</f>
        <v>462.2</v>
      </c>
      <c r="M46" s="526">
        <f>M11-M45</f>
        <v>387.4</v>
      </c>
      <c r="N46" s="526">
        <f t="shared" si="14"/>
        <v>635.11703999999997</v>
      </c>
      <c r="O46" s="526">
        <f>O11-O45</f>
        <v>277.81096000000002</v>
      </c>
      <c r="P46" s="526">
        <f>P11-P45</f>
        <v>178.05200000000002</v>
      </c>
      <c r="Q46" s="526">
        <f t="shared" si="14"/>
        <v>34.25200000000001</v>
      </c>
      <c r="R46" s="526">
        <f t="shared" si="14"/>
        <v>12.652000000000015</v>
      </c>
      <c r="S46" s="489">
        <f t="shared" si="14"/>
        <v>3.1520000000000152</v>
      </c>
      <c r="T46" s="515">
        <f t="shared" si="14"/>
        <v>75.782000000000011</v>
      </c>
      <c r="U46" s="515">
        <f t="shared" si="14"/>
        <v>75.782000000000011</v>
      </c>
      <c r="V46" s="515">
        <f t="shared" si="14"/>
        <v>75.782000000000011</v>
      </c>
      <c r="W46" s="515">
        <f t="shared" si="14"/>
        <v>75.782000000000011</v>
      </c>
      <c r="X46" s="515">
        <f t="shared" si="14"/>
        <v>84.266000000000005</v>
      </c>
      <c r="Y46" s="515">
        <f t="shared" si="14"/>
        <v>84.266000000000005</v>
      </c>
      <c r="Z46" s="515">
        <f t="shared" si="14"/>
        <v>84.266000000000005</v>
      </c>
      <c r="AA46" s="515">
        <f t="shared" si="14"/>
        <v>84.266000000000005</v>
      </c>
      <c r="AB46" s="515">
        <f t="shared" si="14"/>
        <v>91.364999999999995</v>
      </c>
      <c r="AC46" s="516">
        <f t="shared" si="14"/>
        <v>91.364999999999995</v>
      </c>
      <c r="AF46" s="521"/>
      <c r="AG46" s="521"/>
      <c r="AH46" s="521"/>
      <c r="AI46" s="521"/>
      <c r="AJ46" s="521"/>
      <c r="AK46" s="521"/>
      <c r="AL46" s="521"/>
      <c r="AM46" s="521"/>
      <c r="AN46" s="521"/>
      <c r="AO46" s="521"/>
      <c r="AP46" s="521"/>
      <c r="AQ46" s="521"/>
      <c r="AR46" s="521"/>
      <c r="AS46" s="521"/>
      <c r="AT46" s="521"/>
      <c r="AU46" s="521"/>
      <c r="AV46" s="521"/>
      <c r="AW46" s="521"/>
      <c r="AX46" s="521"/>
      <c r="AY46" s="521"/>
      <c r="AZ46" s="521"/>
      <c r="BA46" s="521"/>
      <c r="BB46" s="521"/>
      <c r="BC46" s="521"/>
      <c r="BD46" s="521"/>
      <c r="BE46" s="521"/>
      <c r="BF46" s="521"/>
      <c r="BG46" s="521"/>
      <c r="BH46" s="521"/>
      <c r="BI46" s="521"/>
      <c r="BJ46" s="521"/>
      <c r="BK46" s="521"/>
      <c r="BL46" s="521"/>
      <c r="BM46" s="521"/>
      <c r="BN46" s="521"/>
      <c r="BO46" s="521"/>
      <c r="BP46" s="521"/>
      <c r="BQ46" s="521"/>
      <c r="BR46" s="521"/>
      <c r="BS46" s="521"/>
      <c r="BT46" s="521"/>
      <c r="BU46" s="521"/>
      <c r="BV46" s="521"/>
      <c r="BW46" s="521"/>
      <c r="BX46" s="521"/>
      <c r="BY46" s="521"/>
      <c r="BZ46" s="521"/>
    </row>
    <row r="47" spans="1:78" ht="19.5" customHeight="1" x14ac:dyDescent="0.3">
      <c r="A47" s="521"/>
      <c r="B47" s="257"/>
      <c r="C47" s="257"/>
      <c r="D47" s="257"/>
      <c r="E47" s="257"/>
      <c r="F47" s="510"/>
      <c r="G47" s="510"/>
      <c r="H47" s="510"/>
      <c r="I47" s="510"/>
      <c r="J47" s="510"/>
      <c r="K47" s="510"/>
      <c r="L47" s="510"/>
      <c r="M47" s="510"/>
      <c r="N47" s="510"/>
      <c r="O47" s="510"/>
      <c r="P47" s="510"/>
      <c r="Q47" s="510"/>
      <c r="R47" s="510"/>
      <c r="S47" s="510"/>
      <c r="T47" s="510"/>
      <c r="U47" s="510"/>
      <c r="V47" s="510"/>
      <c r="W47" s="510"/>
      <c r="X47" s="510"/>
      <c r="Y47" s="510"/>
      <c r="Z47" s="510"/>
      <c r="AA47" s="510"/>
      <c r="AB47" s="510"/>
      <c r="AC47" s="510"/>
      <c r="AF47" s="521"/>
      <c r="AG47" s="521"/>
      <c r="AH47" s="521"/>
      <c r="AI47" s="521"/>
      <c r="AJ47" s="521"/>
      <c r="AK47" s="521"/>
      <c r="AL47" s="521"/>
      <c r="AM47" s="521"/>
      <c r="AN47" s="521"/>
      <c r="AO47" s="521"/>
      <c r="AP47" s="521"/>
      <c r="AQ47" s="521"/>
      <c r="AR47" s="521"/>
      <c r="AS47" s="521"/>
      <c r="AT47" s="521"/>
      <c r="AU47" s="521"/>
      <c r="AV47" s="521"/>
      <c r="AW47" s="521"/>
      <c r="AX47" s="521"/>
      <c r="AY47" s="521"/>
      <c r="AZ47" s="521"/>
      <c r="BA47" s="521"/>
      <c r="BB47" s="521"/>
      <c r="BC47" s="521"/>
      <c r="BD47" s="521"/>
      <c r="BE47" s="521"/>
      <c r="BF47" s="521"/>
      <c r="BG47" s="521"/>
      <c r="BH47" s="521"/>
      <c r="BI47" s="521"/>
      <c r="BJ47" s="521"/>
      <c r="BK47" s="521"/>
      <c r="BL47" s="521"/>
      <c r="BM47" s="521"/>
      <c r="BN47" s="521"/>
      <c r="BO47" s="521"/>
      <c r="BP47" s="521"/>
      <c r="BQ47" s="521"/>
      <c r="BR47" s="521"/>
      <c r="BS47" s="521"/>
      <c r="BT47" s="521"/>
      <c r="BU47" s="521"/>
      <c r="BV47" s="521"/>
      <c r="BW47" s="521"/>
      <c r="BX47" s="521"/>
      <c r="BY47" s="521"/>
      <c r="BZ47" s="521"/>
    </row>
    <row r="48" spans="1:78" ht="19.5" customHeight="1" x14ac:dyDescent="0.3">
      <c r="A48" s="521"/>
      <c r="B48" s="257"/>
      <c r="C48" s="257"/>
      <c r="D48" s="257"/>
      <c r="E48" s="257"/>
      <c r="F48" s="510"/>
      <c r="G48" s="510"/>
      <c r="H48" s="510"/>
      <c r="I48" s="510"/>
      <c r="J48" s="510"/>
      <c r="K48" s="510"/>
      <c r="L48" s="510"/>
      <c r="M48" s="510"/>
      <c r="N48" s="510"/>
      <c r="O48" s="510"/>
      <c r="P48" s="510"/>
      <c r="Q48" s="510"/>
      <c r="R48" s="510"/>
      <c r="S48" s="510"/>
      <c r="T48" s="510"/>
      <c r="U48" s="510"/>
      <c r="V48" s="510"/>
      <c r="W48" s="510"/>
      <c r="X48" s="510"/>
      <c r="Y48" s="510"/>
      <c r="Z48" s="510"/>
      <c r="AA48" s="510"/>
      <c r="AB48" s="510"/>
      <c r="AC48" s="510"/>
      <c r="AE48" s="521"/>
      <c r="AF48" s="521"/>
      <c r="AG48" s="521"/>
      <c r="AH48" s="521"/>
      <c r="AI48" s="521"/>
      <c r="AJ48" s="521"/>
      <c r="AK48" s="521"/>
      <c r="AL48" s="521"/>
      <c r="AM48" s="521"/>
      <c r="AN48" s="521"/>
      <c r="AO48" s="521"/>
      <c r="AP48" s="521"/>
      <c r="AQ48" s="521"/>
      <c r="AR48" s="521"/>
      <c r="AS48" s="521"/>
      <c r="AT48" s="521"/>
      <c r="AU48" s="521"/>
      <c r="AV48" s="521"/>
      <c r="AW48" s="521"/>
      <c r="AX48" s="521"/>
      <c r="AY48" s="521"/>
      <c r="AZ48" s="521"/>
      <c r="BA48" s="521"/>
      <c r="BB48" s="521"/>
      <c r="BC48" s="521"/>
      <c r="BD48" s="521"/>
      <c r="BE48" s="521"/>
      <c r="BF48" s="521"/>
      <c r="BG48" s="521"/>
      <c r="BH48" s="521"/>
      <c r="BI48" s="521"/>
      <c r="BJ48" s="521"/>
      <c r="BK48" s="521"/>
      <c r="BL48" s="521"/>
      <c r="BM48" s="521"/>
      <c r="BN48" s="521"/>
      <c r="BO48" s="521"/>
      <c r="BP48" s="521"/>
      <c r="BQ48" s="521"/>
      <c r="BR48" s="521"/>
      <c r="BS48" s="521"/>
      <c r="BT48" s="521"/>
      <c r="BU48" s="521"/>
      <c r="BV48" s="521"/>
      <c r="BW48" s="521"/>
      <c r="BX48" s="521"/>
      <c r="BY48" s="521"/>
      <c r="BZ48" s="521"/>
    </row>
    <row r="49" spans="2:29" x14ac:dyDescent="0.3">
      <c r="B49" s="179"/>
      <c r="C49" s="154"/>
      <c r="D49" s="154"/>
      <c r="E49" s="154"/>
      <c r="F49" s="154"/>
      <c r="G49" s="154"/>
      <c r="H49" s="154"/>
      <c r="I49" s="154"/>
      <c r="J49" s="154"/>
      <c r="K49" s="154"/>
      <c r="L49" s="154"/>
      <c r="M49" s="154"/>
      <c r="N49" s="154"/>
      <c r="O49" s="154"/>
      <c r="P49" s="438"/>
      <c r="Q49" s="438"/>
      <c r="R49" s="438"/>
      <c r="S49" s="438"/>
      <c r="T49" s="438"/>
      <c r="U49" s="438"/>
      <c r="V49" s="438"/>
      <c r="W49" s="438"/>
      <c r="X49" s="438"/>
      <c r="Y49" s="438"/>
      <c r="Z49" s="438"/>
      <c r="AA49" s="438"/>
      <c r="AB49" s="438"/>
      <c r="AC49" s="438"/>
    </row>
    <row r="51" spans="2:29" x14ac:dyDescent="0.3">
      <c r="S51" s="37"/>
    </row>
  </sheetData>
  <mergeCells count="14">
    <mergeCell ref="B1:AC1"/>
    <mergeCell ref="B44:C44"/>
    <mergeCell ref="U9:X9"/>
    <mergeCell ref="B28:C28"/>
    <mergeCell ref="B8:C10"/>
    <mergeCell ref="I9:L9"/>
    <mergeCell ref="E9:H9"/>
    <mergeCell ref="B35:C35"/>
    <mergeCell ref="Y9:AB9"/>
    <mergeCell ref="M9:P9"/>
    <mergeCell ref="B2:AC6"/>
    <mergeCell ref="Q9:R9"/>
    <mergeCell ref="D8:R8"/>
    <mergeCell ref="T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sheetPr>
  <dimension ref="B1:AC54"/>
  <sheetViews>
    <sheetView topLeftCell="A19" zoomScale="90" zoomScaleNormal="90" workbookViewId="0">
      <selection activeCell="J25" sqref="J25"/>
    </sheetView>
  </sheetViews>
  <sheetFormatPr defaultColWidth="11.5546875" defaultRowHeight="14.4" x14ac:dyDescent="0.3"/>
  <cols>
    <col min="2" max="2" width="31.77734375" customWidth="1"/>
    <col min="6" max="6" width="9" customWidth="1"/>
    <col min="7" max="7" width="10.21875" customWidth="1"/>
    <col min="8" max="11" width="7.44140625" customWidth="1"/>
    <col min="13" max="13" width="8.44140625" customWidth="1"/>
    <col min="14" max="27" width="9.21875" customWidth="1"/>
    <col min="28" max="28" width="13" customWidth="1"/>
  </cols>
  <sheetData>
    <row r="1" spans="2:29" x14ac:dyDescent="0.3">
      <c r="B1" s="1146" t="s">
        <v>54</v>
      </c>
      <c r="C1" s="1146"/>
      <c r="D1" s="1146"/>
      <c r="E1" s="1146"/>
      <c r="F1" s="1146"/>
      <c r="G1" s="1146"/>
      <c r="H1" s="1146"/>
      <c r="I1" s="1146"/>
      <c r="J1" s="1146"/>
      <c r="K1" s="1146"/>
      <c r="L1" s="1146"/>
      <c r="M1" s="1146"/>
      <c r="N1" s="1146"/>
      <c r="O1" s="1146"/>
      <c r="P1" s="1146"/>
      <c r="Q1" s="1146"/>
      <c r="R1" s="1146"/>
      <c r="S1" s="1146"/>
      <c r="T1" s="1146"/>
      <c r="U1" s="1146"/>
      <c r="V1" s="1146"/>
      <c r="W1" s="1146"/>
      <c r="X1" s="1146"/>
      <c r="Y1" s="1146"/>
      <c r="Z1" s="1146"/>
      <c r="AA1" s="1146"/>
      <c r="AB1" s="1146"/>
      <c r="AC1" s="1146"/>
    </row>
    <row r="2" spans="2:29" ht="14.25" customHeight="1" x14ac:dyDescent="0.3">
      <c r="B2" s="1211" t="s">
        <v>932</v>
      </c>
      <c r="C2" s="1211"/>
      <c r="D2" s="1211"/>
      <c r="E2" s="1211"/>
      <c r="F2" s="1211"/>
      <c r="G2" s="1211"/>
      <c r="H2" s="1211"/>
      <c r="I2" s="1211"/>
      <c r="J2" s="1211"/>
      <c r="K2" s="1211"/>
      <c r="L2" s="1211"/>
      <c r="M2" s="1211"/>
      <c r="N2" s="1211"/>
      <c r="O2" s="1211"/>
      <c r="P2" s="1211"/>
      <c r="Q2" s="1211"/>
      <c r="R2" s="1211"/>
      <c r="S2" s="1211"/>
      <c r="T2" s="1211"/>
      <c r="U2" s="1211"/>
      <c r="V2" s="1239" t="s">
        <v>1003</v>
      </c>
      <c r="W2" s="1239"/>
      <c r="X2" s="1239"/>
      <c r="Y2" s="1239"/>
      <c r="Z2" s="1239"/>
      <c r="AA2" s="1239"/>
      <c r="AB2" s="1239"/>
      <c r="AC2" s="573"/>
    </row>
    <row r="3" spans="2:29" ht="59.7" customHeight="1" x14ac:dyDescent="0.3">
      <c r="B3" s="1211"/>
      <c r="C3" s="1211"/>
      <c r="D3" s="1211"/>
      <c r="E3" s="1211"/>
      <c r="F3" s="1211"/>
      <c r="G3" s="1211"/>
      <c r="H3" s="1211"/>
      <c r="I3" s="1211"/>
      <c r="J3" s="1211"/>
      <c r="K3" s="1211"/>
      <c r="L3" s="1211"/>
      <c r="M3" s="1211"/>
      <c r="N3" s="1211"/>
      <c r="O3" s="1211"/>
      <c r="P3" s="1211"/>
      <c r="Q3" s="1211"/>
      <c r="R3" s="1211"/>
      <c r="S3" s="1211"/>
      <c r="T3" s="1211"/>
      <c r="U3" s="1211"/>
      <c r="V3" s="1239"/>
      <c r="W3" s="1239"/>
      <c r="X3" s="1239"/>
      <c r="Y3" s="1239"/>
      <c r="Z3" s="1239"/>
      <c r="AA3" s="1239"/>
      <c r="AB3" s="1239"/>
      <c r="AC3" s="573"/>
    </row>
    <row r="4" spans="2:29" ht="88.5" customHeight="1" x14ac:dyDescent="0.3">
      <c r="B4" s="1211"/>
      <c r="C4" s="1211"/>
      <c r="D4" s="1211"/>
      <c r="E4" s="1211"/>
      <c r="F4" s="1211"/>
      <c r="G4" s="1211"/>
      <c r="H4" s="1211"/>
      <c r="I4" s="1211"/>
      <c r="J4" s="1211"/>
      <c r="K4" s="1211"/>
      <c r="L4" s="1211"/>
      <c r="M4" s="1211"/>
      <c r="N4" s="1211"/>
      <c r="O4" s="1211"/>
      <c r="P4" s="1211"/>
      <c r="Q4" s="1211"/>
      <c r="R4" s="1211"/>
      <c r="S4" s="1211"/>
      <c r="T4" s="1211"/>
      <c r="U4" s="1211"/>
      <c r="V4" s="1239"/>
      <c r="W4" s="1239"/>
      <c r="X4" s="1239"/>
      <c r="Y4" s="1239"/>
      <c r="Z4" s="1239"/>
      <c r="AA4" s="1239"/>
      <c r="AB4" s="1239"/>
      <c r="AC4" s="573"/>
    </row>
    <row r="5" spans="2:29" ht="33" customHeight="1" x14ac:dyDescent="0.3">
      <c r="B5" s="573"/>
      <c r="C5" s="573"/>
      <c r="D5" s="573"/>
      <c r="E5" s="573"/>
      <c r="F5" s="573"/>
      <c r="G5" s="573"/>
      <c r="H5" s="573"/>
      <c r="I5" s="573"/>
      <c r="J5" s="573"/>
      <c r="K5" s="573"/>
      <c r="L5" s="573"/>
      <c r="M5" s="573"/>
      <c r="N5" s="573"/>
      <c r="O5" s="573"/>
      <c r="P5" s="573"/>
      <c r="Q5" s="573"/>
      <c r="R5" s="573"/>
      <c r="S5" s="573"/>
      <c r="T5" s="573"/>
      <c r="U5" s="573"/>
      <c r="V5" s="573"/>
      <c r="W5" s="573"/>
      <c r="X5" s="573"/>
      <c r="Y5" s="573"/>
      <c r="Z5" s="573"/>
      <c r="AA5" s="573"/>
      <c r="AB5" s="573"/>
      <c r="AC5" s="573"/>
    </row>
    <row r="6" spans="2:29" x14ac:dyDescent="0.3">
      <c r="B6" s="573"/>
      <c r="C6" s="573"/>
      <c r="D6" s="573"/>
      <c r="E6" s="573"/>
      <c r="F6" s="573"/>
      <c r="G6" s="573"/>
      <c r="H6" s="573"/>
      <c r="I6" s="573"/>
      <c r="J6" s="573"/>
      <c r="K6" s="573"/>
      <c r="L6" s="573"/>
      <c r="M6" s="573"/>
      <c r="N6" s="573"/>
      <c r="O6" s="573"/>
      <c r="P6" s="573"/>
      <c r="Q6" s="573"/>
      <c r="R6" s="573"/>
      <c r="S6" s="573"/>
      <c r="T6" s="573"/>
      <c r="U6" s="573"/>
      <c r="V6" s="573"/>
      <c r="W6" s="573"/>
      <c r="X6" s="573"/>
      <c r="Y6" s="573"/>
      <c r="Z6" s="573"/>
      <c r="AA6" s="573"/>
      <c r="AB6" s="573"/>
      <c r="AC6" s="573"/>
    </row>
    <row r="7" spans="2:29" ht="14.7" customHeight="1" x14ac:dyDescent="0.3">
      <c r="B7" s="1175" t="s">
        <v>465</v>
      </c>
      <c r="C7" s="1159"/>
      <c r="D7" s="1156" t="s">
        <v>325</v>
      </c>
      <c r="E7" s="1157"/>
      <c r="F7" s="1157"/>
      <c r="G7" s="1157"/>
      <c r="H7" s="1157"/>
      <c r="I7" s="1157"/>
      <c r="J7" s="1157"/>
      <c r="K7" s="1157"/>
      <c r="L7" s="1157"/>
      <c r="M7" s="1157"/>
      <c r="N7" s="1157"/>
      <c r="O7" s="1157"/>
      <c r="P7" s="1157"/>
      <c r="Q7" s="1158"/>
      <c r="R7" s="1158"/>
      <c r="S7" s="1158"/>
      <c r="T7" s="1184" t="s">
        <v>326</v>
      </c>
      <c r="U7" s="1184"/>
      <c r="V7" s="1184"/>
      <c r="W7" s="1184"/>
      <c r="X7" s="1184"/>
      <c r="Y7" s="1184"/>
      <c r="Z7" s="1184"/>
      <c r="AA7" s="1184"/>
      <c r="AB7" s="1184"/>
      <c r="AC7" s="1185"/>
    </row>
    <row r="8" spans="2:29" x14ac:dyDescent="0.3">
      <c r="B8" s="1176"/>
      <c r="C8" s="1213"/>
      <c r="D8" s="141">
        <v>2018</v>
      </c>
      <c r="E8" s="1147">
        <v>2019</v>
      </c>
      <c r="F8" s="1148"/>
      <c r="G8" s="1148"/>
      <c r="H8" s="1155"/>
      <c r="I8" s="1147">
        <v>2020</v>
      </c>
      <c r="J8" s="1148"/>
      <c r="K8" s="1148"/>
      <c r="L8" s="1148"/>
      <c r="M8" s="1147">
        <v>2021</v>
      </c>
      <c r="N8" s="1148"/>
      <c r="O8" s="1148"/>
      <c r="P8" s="1148"/>
      <c r="Q8" s="1181">
        <v>2022</v>
      </c>
      <c r="R8" s="1182"/>
      <c r="S8" s="252"/>
      <c r="T8" s="287"/>
      <c r="U8" s="1178">
        <v>2023</v>
      </c>
      <c r="V8" s="1179"/>
      <c r="W8" s="1179"/>
      <c r="X8" s="1179"/>
      <c r="Y8" s="1178">
        <v>2024</v>
      </c>
      <c r="Z8" s="1179"/>
      <c r="AA8" s="1179"/>
      <c r="AB8" s="1180"/>
      <c r="AC8" s="258">
        <v>2025</v>
      </c>
    </row>
    <row r="9" spans="2:29" x14ac:dyDescent="0.3">
      <c r="B9" s="1176"/>
      <c r="C9" s="1213"/>
      <c r="D9" s="152" t="s">
        <v>327</v>
      </c>
      <c r="E9" s="152" t="s">
        <v>328</v>
      </c>
      <c r="F9" s="151" t="s">
        <v>329</v>
      </c>
      <c r="G9" s="151" t="s">
        <v>238</v>
      </c>
      <c r="H9" s="203" t="s">
        <v>327</v>
      </c>
      <c r="I9" s="151" t="s">
        <v>328</v>
      </c>
      <c r="J9" s="151" t="s">
        <v>329</v>
      </c>
      <c r="K9" s="151" t="s">
        <v>238</v>
      </c>
      <c r="L9" s="151" t="s">
        <v>327</v>
      </c>
      <c r="M9" s="152" t="s">
        <v>328</v>
      </c>
      <c r="N9" s="151" t="s">
        <v>329</v>
      </c>
      <c r="O9" s="151" t="s">
        <v>238</v>
      </c>
      <c r="P9" s="151" t="s">
        <v>327</v>
      </c>
      <c r="Q9" s="152" t="s">
        <v>328</v>
      </c>
      <c r="R9" s="151" t="s">
        <v>329</v>
      </c>
      <c r="S9" s="203" t="s">
        <v>238</v>
      </c>
      <c r="T9" s="368" t="s">
        <v>327</v>
      </c>
      <c r="U9" s="355" t="s">
        <v>328</v>
      </c>
      <c r="V9" s="356" t="s">
        <v>329</v>
      </c>
      <c r="W9" s="356" t="s">
        <v>238</v>
      </c>
      <c r="X9" s="356" t="s">
        <v>327</v>
      </c>
      <c r="Y9" s="355" t="s">
        <v>328</v>
      </c>
      <c r="Z9" s="249" t="s">
        <v>329</v>
      </c>
      <c r="AA9" s="356" t="s">
        <v>238</v>
      </c>
      <c r="AB9" s="368" t="s">
        <v>327</v>
      </c>
      <c r="AC9" s="383" t="s">
        <v>328</v>
      </c>
    </row>
    <row r="10" spans="2:29" x14ac:dyDescent="0.3">
      <c r="B10" s="542" t="s">
        <v>101</v>
      </c>
      <c r="C10" s="437" t="s">
        <v>491</v>
      </c>
      <c r="D10" s="570">
        <f>'Haver Pivoted'!GO13</f>
        <v>589.5</v>
      </c>
      <c r="E10" s="548">
        <f>'Haver Pivoted'!GP13</f>
        <v>598.70000000000005</v>
      </c>
      <c r="F10" s="548">
        <f>'Haver Pivoted'!GQ13</f>
        <v>614.4</v>
      </c>
      <c r="G10" s="548">
        <f>'Haver Pivoted'!GR13</f>
        <v>622.4</v>
      </c>
      <c r="H10" s="548">
        <f>'Haver Pivoted'!GS13</f>
        <v>620.70000000000005</v>
      </c>
      <c r="I10" s="548">
        <f>'Haver Pivoted'!GT13</f>
        <v>606.6</v>
      </c>
      <c r="J10" s="548">
        <f>'Haver Pivoted'!GU13</f>
        <v>654.70000000000005</v>
      </c>
      <c r="K10" s="548">
        <f>'Haver Pivoted'!GV13</f>
        <v>690.7</v>
      </c>
      <c r="L10" s="548">
        <f>'Haver Pivoted'!GW13</f>
        <v>678.3</v>
      </c>
      <c r="M10" s="548">
        <f>'Haver Pivoted'!GX13</f>
        <v>704.4</v>
      </c>
      <c r="N10" s="548">
        <f>'Haver Pivoted'!GY13</f>
        <v>744.8</v>
      </c>
      <c r="O10" s="548">
        <f>'Haver Pivoted'!GZ13</f>
        <v>748.2</v>
      </c>
      <c r="P10" s="548">
        <f>'Haver Pivoted'!HA13</f>
        <v>745</v>
      </c>
      <c r="Q10" s="548">
        <f>'Haver Pivoted'!HB13</f>
        <v>763.1</v>
      </c>
      <c r="R10" s="548">
        <f>'Haver Pivoted'!HC13</f>
        <v>789.5</v>
      </c>
      <c r="S10" s="530">
        <f>'Haver Pivoted'!HD13</f>
        <v>790</v>
      </c>
      <c r="T10" s="242"/>
      <c r="U10" s="242"/>
      <c r="V10" s="242"/>
      <c r="W10" s="242"/>
      <c r="X10" s="242"/>
      <c r="Y10" s="242"/>
      <c r="Z10" s="242"/>
      <c r="AA10" s="242"/>
      <c r="AB10" s="242"/>
      <c r="AC10" s="243"/>
    </row>
    <row r="11" spans="2:29" x14ac:dyDescent="0.3">
      <c r="B11" s="177" t="s">
        <v>492</v>
      </c>
      <c r="C11" s="154" t="s">
        <v>387</v>
      </c>
      <c r="D11" s="566">
        <f>'Haver Pivoted'!GO40</f>
        <v>390.53500000000003</v>
      </c>
      <c r="E11" s="477">
        <f>'Haver Pivoted'!GP40</f>
        <v>407.62099999999998</v>
      </c>
      <c r="F11" s="477">
        <f>'Haver Pivoted'!GQ40</f>
        <v>416.459</v>
      </c>
      <c r="G11" s="477">
        <f>'Haver Pivoted'!GR40</f>
        <v>418.661</v>
      </c>
      <c r="H11" s="477">
        <f>'Haver Pivoted'!GS40</f>
        <v>411.69499999999999</v>
      </c>
      <c r="I11" s="477">
        <f>'Haver Pivoted'!GT40</f>
        <v>428.30799999999999</v>
      </c>
      <c r="J11" s="477">
        <f>'Haver Pivoted'!GU40</f>
        <v>506.81599999999997</v>
      </c>
      <c r="K11" s="477">
        <f>'Haver Pivoted'!GV40</f>
        <v>484.78</v>
      </c>
      <c r="L11" s="477">
        <f>'Haver Pivoted'!GW40</f>
        <v>500.25799999999998</v>
      </c>
      <c r="M11" s="477">
        <f>'Haver Pivoted'!GX40</f>
        <v>509.42099999999999</v>
      </c>
      <c r="N11" s="477">
        <f>'Haver Pivoted'!GY40</f>
        <v>527.01700000000005</v>
      </c>
      <c r="O11" s="477">
        <f>'Haver Pivoted'!GZ40</f>
        <v>542.85299999999995</v>
      </c>
      <c r="P11" s="477">
        <f>'Haver Pivoted'!HA40</f>
        <v>553.86500000000001</v>
      </c>
      <c r="Q11" s="477">
        <f>'Haver Pivoted'!HB40</f>
        <v>592.26700000000005</v>
      </c>
      <c r="R11" s="477">
        <f>'Haver Pivoted'!HC40</f>
        <v>590.13</v>
      </c>
      <c r="S11" s="421">
        <f>'Haver Pivoted'!HD40</f>
        <v>605.63699999999994</v>
      </c>
      <c r="T11" s="356"/>
      <c r="U11" s="356"/>
      <c r="V11" s="356"/>
      <c r="W11" s="356"/>
      <c r="X11" s="356"/>
      <c r="Y11" s="356"/>
      <c r="Z11" s="356"/>
      <c r="AA11" s="356"/>
      <c r="AB11" s="356"/>
      <c r="AC11" s="368"/>
    </row>
    <row r="12" spans="2:29" ht="27.6" customHeight="1" x14ac:dyDescent="0.3">
      <c r="B12" s="446" t="s">
        <v>972</v>
      </c>
      <c r="C12" s="38"/>
      <c r="D12" s="572">
        <f t="shared" ref="D12:N12" si="0">D11/D10</f>
        <v>0.66248515691263787</v>
      </c>
      <c r="E12" s="541">
        <f t="shared" si="0"/>
        <v>0.68084349423751456</v>
      </c>
      <c r="F12" s="541">
        <f t="shared" si="0"/>
        <v>0.67783040364583336</v>
      </c>
      <c r="G12" s="541">
        <f t="shared" si="0"/>
        <v>0.6726558483290489</v>
      </c>
      <c r="H12" s="541">
        <f t="shared" si="0"/>
        <v>0.66327533429998387</v>
      </c>
      <c r="I12" s="541">
        <f t="shared" si="0"/>
        <v>0.70607978898780077</v>
      </c>
      <c r="J12" s="541">
        <f t="shared" si="0"/>
        <v>0.77411944402016186</v>
      </c>
      <c r="K12" s="541">
        <f t="shared" si="0"/>
        <v>0.70186767047922394</v>
      </c>
      <c r="L12" s="541">
        <f t="shared" si="0"/>
        <v>0.73751732271856119</v>
      </c>
      <c r="M12" s="541">
        <f t="shared" si="0"/>
        <v>0.72319846678023847</v>
      </c>
      <c r="N12" s="541">
        <f t="shared" si="0"/>
        <v>0.70759532760472621</v>
      </c>
      <c r="O12" s="541">
        <f>O11/O10</f>
        <v>0.72554530874097822</v>
      </c>
      <c r="P12" s="541">
        <f>P11/P10</f>
        <v>0.74344295302013419</v>
      </c>
      <c r="Q12" s="541">
        <f>Q11/Q10</f>
        <v>0.77613287904599659</v>
      </c>
      <c r="R12" s="541">
        <f>R11/R10</f>
        <v>0.74747308423052561</v>
      </c>
      <c r="S12" s="531">
        <f>S11/S10</f>
        <v>0.76662911392405053</v>
      </c>
      <c r="T12" s="576">
        <f>S12+(H52-G52)</f>
        <v>0.76320350347544175</v>
      </c>
      <c r="U12" s="576">
        <f t="shared" ref="U12:Y12" si="1">T12</f>
        <v>0.76320350347544175</v>
      </c>
      <c r="V12" s="576">
        <f t="shared" si="1"/>
        <v>0.76320350347544175</v>
      </c>
      <c r="W12" s="576">
        <f>V12-0.05</f>
        <v>0.7132035034754417</v>
      </c>
      <c r="X12" s="576">
        <f>W12++(I52-H52)</f>
        <v>0.7126597783192804</v>
      </c>
      <c r="Y12" s="576">
        <f t="shared" si="1"/>
        <v>0.7126597783192804</v>
      </c>
      <c r="Z12" s="576">
        <f t="shared" ref="Z12" si="2">Y12</f>
        <v>0.7126597783192804</v>
      </c>
      <c r="AA12" s="576">
        <f t="shared" ref="AA12" si="3">Z12</f>
        <v>0.7126597783192804</v>
      </c>
      <c r="AB12" s="576">
        <f>AA12+(J52-I52)</f>
        <v>0.70779322522444788</v>
      </c>
      <c r="AC12" s="577">
        <f t="shared" ref="AC12" si="4">AB12</f>
        <v>0.70779322522444788</v>
      </c>
    </row>
    <row r="13" spans="2:29" ht="27.6" customHeight="1" x14ac:dyDescent="0.3"/>
    <row r="14" spans="2:29" ht="27.6" customHeight="1" x14ac:dyDescent="0.3"/>
    <row r="15" spans="2:29" ht="27.6" customHeight="1" x14ac:dyDescent="0.3">
      <c r="B15" s="154"/>
      <c r="C15" s="154"/>
      <c r="D15" s="537"/>
      <c r="E15" s="537"/>
      <c r="F15" s="537"/>
      <c r="G15" s="537"/>
      <c r="H15" s="537"/>
      <c r="I15" s="537"/>
      <c r="J15" s="537"/>
      <c r="K15" s="537"/>
      <c r="L15" s="537"/>
      <c r="M15" s="537"/>
      <c r="N15" s="537"/>
      <c r="O15" s="537"/>
    </row>
    <row r="16" spans="2:29" ht="27.6" customHeight="1" x14ac:dyDescent="0.3"/>
    <row r="17" spans="2:29" ht="27.6" customHeight="1" x14ac:dyDescent="0.3"/>
    <row r="18" spans="2:29" x14ac:dyDescent="0.3">
      <c r="B18" s="154"/>
      <c r="C18" s="154"/>
      <c r="D18" s="537"/>
      <c r="E18" s="537"/>
      <c r="F18" s="537"/>
      <c r="G18" s="537"/>
      <c r="H18" s="537"/>
      <c r="I18" s="537"/>
      <c r="J18" s="537"/>
      <c r="K18" s="537"/>
      <c r="L18" s="537"/>
      <c r="M18" s="537"/>
      <c r="N18" s="537"/>
      <c r="O18" s="537"/>
    </row>
    <row r="20" spans="2:29" x14ac:dyDescent="0.3">
      <c r="B20" s="179" t="s">
        <v>400</v>
      </c>
    </row>
    <row r="21" spans="2:29" ht="25.2" customHeight="1" x14ac:dyDescent="0.3">
      <c r="B21" s="549" t="s">
        <v>493</v>
      </c>
      <c r="C21" s="557">
        <v>2020</v>
      </c>
      <c r="D21" s="558">
        <v>2021</v>
      </c>
      <c r="E21" s="558">
        <v>2022</v>
      </c>
      <c r="F21" s="558">
        <v>2023</v>
      </c>
      <c r="G21" s="559">
        <v>2024</v>
      </c>
      <c r="H21" s="138"/>
      <c r="I21" s="138"/>
      <c r="J21" s="138"/>
    </row>
    <row r="22" spans="2:29" ht="31.5" customHeight="1" x14ac:dyDescent="0.3">
      <c r="B22" s="571" t="s">
        <v>1283</v>
      </c>
      <c r="C22" s="556">
        <v>458.46800000000002</v>
      </c>
      <c r="D22" s="268">
        <v>520.58799999999997</v>
      </c>
      <c r="E22" s="268">
        <v>589.25400000000002</v>
      </c>
      <c r="F22" s="268">
        <f>601.348+F23</f>
        <v>601.45799999999997</v>
      </c>
      <c r="G22" s="578">
        <f>545.425+G23</f>
        <v>546.16399999999999</v>
      </c>
    </row>
    <row r="23" spans="2:29" ht="31.5" customHeight="1" x14ac:dyDescent="0.3">
      <c r="B23" s="540" t="s">
        <v>1282</v>
      </c>
      <c r="C23" s="556"/>
      <c r="D23" s="268"/>
      <c r="E23" s="534"/>
      <c r="F23" s="535">
        <f>'IRA and CHIPS'!E174</f>
        <v>0.11</v>
      </c>
      <c r="G23" s="536">
        <f>'IRA and CHIPS'!F174</f>
        <v>0.73899999999999999</v>
      </c>
    </row>
    <row r="24" spans="2:29" x14ac:dyDescent="0.3">
      <c r="B24" s="177" t="s">
        <v>494</v>
      </c>
      <c r="C24" s="546">
        <f>AVERAGE(H12:K12)</f>
        <v>0.7113355594467925</v>
      </c>
      <c r="D24" s="537">
        <f>AVERAGE(L12:O12)</f>
        <v>0.72346410646112602</v>
      </c>
      <c r="E24" s="537">
        <f>AVERAGE(P12:S12)</f>
        <v>0.75841950755517673</v>
      </c>
      <c r="F24" s="537">
        <f>AVERAGE(T12:W12)</f>
        <v>0.75070350347544179</v>
      </c>
      <c r="G24" s="538">
        <f>AVERAGE(X12:AA12)</f>
        <v>0.7126597783192804</v>
      </c>
    </row>
    <row r="25" spans="2:29" x14ac:dyDescent="0.3">
      <c r="B25" s="177" t="s">
        <v>495</v>
      </c>
      <c r="C25" s="283">
        <f>C22/C24</f>
        <v>644.51719573326511</v>
      </c>
      <c r="D25" s="138">
        <f>D22/D24</f>
        <v>719.5768184637268</v>
      </c>
      <c r="E25" s="138">
        <f>E22/E24</f>
        <v>776.94995201205381</v>
      </c>
      <c r="F25" s="138">
        <f>F22/F24</f>
        <v>801.19247774321309</v>
      </c>
      <c r="G25" s="153">
        <f>G22/G24</f>
        <v>766.37410531019441</v>
      </c>
    </row>
    <row r="26" spans="2:29" ht="32.25" customHeight="1" x14ac:dyDescent="0.3">
      <c r="B26" s="446" t="s">
        <v>496</v>
      </c>
      <c r="C26" s="284"/>
      <c r="D26" s="541">
        <f>D25/C25-1</f>
        <v>0.11645868136235937</v>
      </c>
      <c r="E26" s="541">
        <f t="shared" ref="E26:G26" si="5">E25/D25-1</f>
        <v>7.973177022408362E-2</v>
      </c>
      <c r="F26" s="541">
        <f>F25/E25-1-0.03</f>
        <v>1.2021716049777365E-3</v>
      </c>
      <c r="G26" s="574">
        <f t="shared" si="5"/>
        <v>-4.3458186890489192E-2</v>
      </c>
      <c r="I26" s="545"/>
      <c r="J26" s="545"/>
      <c r="K26" s="545"/>
      <c r="L26" s="545"/>
      <c r="R26" s="37"/>
      <c r="S26" s="539"/>
      <c r="T26" s="539"/>
      <c r="U26" s="539"/>
    </row>
    <row r="28" spans="2:29" x14ac:dyDescent="0.3">
      <c r="B28" s="179" t="s">
        <v>413</v>
      </c>
    </row>
    <row r="29" spans="2:29" x14ac:dyDescent="0.3">
      <c r="B29" s="1175" t="s">
        <v>497</v>
      </c>
      <c r="C29" s="1158"/>
      <c r="D29" s="1156" t="s">
        <v>325</v>
      </c>
      <c r="E29" s="1157"/>
      <c r="F29" s="1157"/>
      <c r="G29" s="1157"/>
      <c r="H29" s="1157"/>
      <c r="I29" s="1157"/>
      <c r="J29" s="1157"/>
      <c r="K29" s="1157"/>
      <c r="L29" s="1157"/>
      <c r="M29" s="1157"/>
      <c r="N29" s="1157"/>
      <c r="O29" s="1157"/>
      <c r="P29" s="1157"/>
      <c r="Q29" s="1158"/>
      <c r="R29" s="1158"/>
      <c r="S29" s="1158"/>
      <c r="T29" s="1184" t="s">
        <v>326</v>
      </c>
      <c r="U29" s="1184"/>
      <c r="V29" s="1184"/>
      <c r="W29" s="1184"/>
      <c r="X29" s="1184"/>
      <c r="Y29" s="1184"/>
      <c r="Z29" s="1184"/>
      <c r="AA29" s="1184"/>
      <c r="AB29" s="1184"/>
      <c r="AC29" s="1185"/>
    </row>
    <row r="30" spans="2:29" x14ac:dyDescent="0.3">
      <c r="B30" s="1176"/>
      <c r="C30" s="1213"/>
      <c r="D30" s="141">
        <v>2018</v>
      </c>
      <c r="E30" s="1147">
        <v>2019</v>
      </c>
      <c r="F30" s="1148"/>
      <c r="G30" s="1148"/>
      <c r="H30" s="1155"/>
      <c r="I30" s="1147">
        <v>2020</v>
      </c>
      <c r="J30" s="1148"/>
      <c r="K30" s="1148"/>
      <c r="L30" s="1148"/>
      <c r="M30" s="1147">
        <v>2021</v>
      </c>
      <c r="N30" s="1148"/>
      <c r="O30" s="1148"/>
      <c r="P30" s="1148"/>
      <c r="Q30" s="1181">
        <v>2022</v>
      </c>
      <c r="R30" s="1182"/>
      <c r="S30" s="252"/>
      <c r="T30" s="287"/>
      <c r="U30" s="1178">
        <v>2023</v>
      </c>
      <c r="V30" s="1179"/>
      <c r="W30" s="1179"/>
      <c r="X30" s="1179"/>
      <c r="Y30" s="1178">
        <v>2024</v>
      </c>
      <c r="Z30" s="1179"/>
      <c r="AA30" s="1179"/>
      <c r="AB30" s="1180"/>
      <c r="AC30" s="258">
        <v>2025</v>
      </c>
    </row>
    <row r="31" spans="2:29" x14ac:dyDescent="0.3">
      <c r="B31" s="1187"/>
      <c r="C31" s="1214"/>
      <c r="D31" s="152" t="s">
        <v>327</v>
      </c>
      <c r="E31" s="152" t="s">
        <v>328</v>
      </c>
      <c r="F31" s="151" t="s">
        <v>329</v>
      </c>
      <c r="G31" s="151" t="s">
        <v>238</v>
      </c>
      <c r="H31" s="203" t="s">
        <v>327</v>
      </c>
      <c r="I31" s="151" t="s">
        <v>328</v>
      </c>
      <c r="J31" s="151" t="s">
        <v>329</v>
      </c>
      <c r="K31" s="151" t="s">
        <v>238</v>
      </c>
      <c r="L31" s="151" t="s">
        <v>327</v>
      </c>
      <c r="M31" s="152" t="s">
        <v>328</v>
      </c>
      <c r="N31" s="151" t="s">
        <v>329</v>
      </c>
      <c r="O31" s="151" t="s">
        <v>238</v>
      </c>
      <c r="P31" s="151" t="s">
        <v>327</v>
      </c>
      <c r="Q31" s="152" t="s">
        <v>328</v>
      </c>
      <c r="R31" s="151" t="s">
        <v>329</v>
      </c>
      <c r="S31" s="203" t="s">
        <v>238</v>
      </c>
      <c r="T31" s="368" t="s">
        <v>327</v>
      </c>
      <c r="U31" s="355" t="s">
        <v>328</v>
      </c>
      <c r="V31" s="356" t="s">
        <v>329</v>
      </c>
      <c r="W31" s="356" t="s">
        <v>238</v>
      </c>
      <c r="X31" s="356" t="s">
        <v>327</v>
      </c>
      <c r="Y31" s="355" t="s">
        <v>328</v>
      </c>
      <c r="Z31" s="249" t="s">
        <v>329</v>
      </c>
      <c r="AA31" s="356" t="s">
        <v>238</v>
      </c>
      <c r="AB31" s="368" t="s">
        <v>327</v>
      </c>
      <c r="AC31" s="383" t="s">
        <v>328</v>
      </c>
    </row>
    <row r="32" spans="2:29" ht="19.5" customHeight="1" x14ac:dyDescent="0.3">
      <c r="B32" s="563" t="s">
        <v>498</v>
      </c>
      <c r="C32" s="564"/>
      <c r="D32" s="567">
        <f t="shared" ref="D32:S32" si="6">D10</f>
        <v>589.5</v>
      </c>
      <c r="E32" s="568">
        <f t="shared" si="6"/>
        <v>598.70000000000005</v>
      </c>
      <c r="F32" s="568">
        <f t="shared" si="6"/>
        <v>614.4</v>
      </c>
      <c r="G32" s="568">
        <f t="shared" si="6"/>
        <v>622.4</v>
      </c>
      <c r="H32" s="568">
        <f t="shared" si="6"/>
        <v>620.70000000000005</v>
      </c>
      <c r="I32" s="568">
        <f t="shared" si="6"/>
        <v>606.6</v>
      </c>
      <c r="J32" s="568">
        <f t="shared" si="6"/>
        <v>654.70000000000005</v>
      </c>
      <c r="K32" s="568">
        <f t="shared" si="6"/>
        <v>690.7</v>
      </c>
      <c r="L32" s="568">
        <f t="shared" si="6"/>
        <v>678.3</v>
      </c>
      <c r="M32" s="568">
        <f t="shared" si="6"/>
        <v>704.4</v>
      </c>
      <c r="N32" s="568">
        <f t="shared" si="6"/>
        <v>744.8</v>
      </c>
      <c r="O32" s="568">
        <f t="shared" si="6"/>
        <v>748.2</v>
      </c>
      <c r="P32" s="568">
        <f t="shared" si="6"/>
        <v>745</v>
      </c>
      <c r="Q32" s="568">
        <f t="shared" si="6"/>
        <v>763.1</v>
      </c>
      <c r="R32" s="568">
        <f t="shared" si="6"/>
        <v>789.5</v>
      </c>
      <c r="S32" s="532">
        <f t="shared" si="6"/>
        <v>790</v>
      </c>
      <c r="T32" s="562">
        <f>S32*(1+$F$26)^0.25</f>
        <v>790.23732193063006</v>
      </c>
      <c r="U32" s="562">
        <f>T32*(1+$F$26)^0.25</f>
        <v>790.4747151545497</v>
      </c>
      <c r="V32" s="562">
        <f>U32*(1+$F$26)^0.25</f>
        <v>790.71217969317593</v>
      </c>
      <c r="W32" s="562">
        <f>V32*(1+$F$26)^0.25</f>
        <v>790.94971556793223</v>
      </c>
      <c r="X32" s="562">
        <f t="shared" ref="X32:AC32" si="7">W32*(1+$G$26)^0.25</f>
        <v>782.21270195589079</v>
      </c>
      <c r="Y32" s="562">
        <f t="shared" si="7"/>
        <v>773.57219941826349</v>
      </c>
      <c r="Z32" s="562">
        <f t="shared" si="7"/>
        <v>765.02714187138622</v>
      </c>
      <c r="AA32" s="562">
        <f t="shared" si="7"/>
        <v>756.57647500780183</v>
      </c>
      <c r="AB32" s="562">
        <f t="shared" si="7"/>
        <v>748.2191561661773</v>
      </c>
      <c r="AC32" s="544">
        <f t="shared" si="7"/>
        <v>739.95415420265795</v>
      </c>
    </row>
    <row r="33" spans="2:29" ht="19.2" customHeight="1" x14ac:dyDescent="0.3">
      <c r="B33" s="543" t="s">
        <v>207</v>
      </c>
      <c r="C33" s="257"/>
      <c r="D33" s="565">
        <f t="shared" ref="D33:Q33" si="8">D10*D12</f>
        <v>390.53500000000003</v>
      </c>
      <c r="E33" s="533">
        <f t="shared" si="8"/>
        <v>407.62099999999998</v>
      </c>
      <c r="F33" s="533">
        <f t="shared" si="8"/>
        <v>416.459</v>
      </c>
      <c r="G33" s="533">
        <f t="shared" si="8"/>
        <v>418.661</v>
      </c>
      <c r="H33" s="533">
        <f t="shared" si="8"/>
        <v>411.69499999999999</v>
      </c>
      <c r="I33" s="533">
        <f t="shared" si="8"/>
        <v>428.30799999999994</v>
      </c>
      <c r="J33" s="533">
        <f t="shared" si="8"/>
        <v>506.81600000000003</v>
      </c>
      <c r="K33" s="533">
        <f t="shared" si="8"/>
        <v>484.78000000000003</v>
      </c>
      <c r="L33" s="533">
        <f t="shared" si="8"/>
        <v>500.25800000000004</v>
      </c>
      <c r="M33" s="533">
        <f t="shared" si="8"/>
        <v>509.42099999999994</v>
      </c>
      <c r="N33" s="533">
        <f t="shared" si="8"/>
        <v>527.01700000000005</v>
      </c>
      <c r="O33" s="533">
        <f t="shared" si="8"/>
        <v>542.85299999999995</v>
      </c>
      <c r="P33" s="533">
        <f t="shared" si="8"/>
        <v>553.86500000000001</v>
      </c>
      <c r="Q33" s="533">
        <f t="shared" si="8"/>
        <v>592.26700000000005</v>
      </c>
      <c r="R33" s="533">
        <f t="shared" ref="R33:AC33" si="9">R32*R12</f>
        <v>590.13</v>
      </c>
      <c r="S33" s="575">
        <f t="shared" si="9"/>
        <v>605.63699999999994</v>
      </c>
      <c r="T33" s="550">
        <f t="shared" si="9"/>
        <v>603.11189267450743</v>
      </c>
      <c r="U33" s="550">
        <f t="shared" si="9"/>
        <v>603.29307201470419</v>
      </c>
      <c r="V33" s="550">
        <f t="shared" si="9"/>
        <v>603.47430578253488</v>
      </c>
      <c r="W33" s="550">
        <f t="shared" si="9"/>
        <v>564.10810821595339</v>
      </c>
      <c r="X33" s="550">
        <f t="shared" si="9"/>
        <v>557.45153077441046</v>
      </c>
      <c r="Y33" s="550">
        <f t="shared" si="9"/>
        <v>551.29379215137783</v>
      </c>
      <c r="Z33" s="550">
        <f t="shared" si="9"/>
        <v>545.20407333429478</v>
      </c>
      <c r="AA33" s="550">
        <f t="shared" si="9"/>
        <v>539.1816229606427</v>
      </c>
      <c r="AB33" s="550">
        <f t="shared" si="9"/>
        <v>529.58444971757342</v>
      </c>
      <c r="AC33" s="550">
        <f t="shared" si="9"/>
        <v>523.73453732132771</v>
      </c>
    </row>
    <row r="34" spans="2:29" ht="19.2" customHeight="1" x14ac:dyDescent="0.3">
      <c r="B34" s="148" t="s">
        <v>499</v>
      </c>
      <c r="C34" s="264"/>
      <c r="D34" s="569">
        <f t="shared" ref="D34:G34" si="10">D32-D33</f>
        <v>198.96499999999997</v>
      </c>
      <c r="E34" s="297">
        <f t="shared" si="10"/>
        <v>191.07900000000006</v>
      </c>
      <c r="F34" s="297">
        <f t="shared" si="10"/>
        <v>197.94099999999997</v>
      </c>
      <c r="G34" s="297">
        <f t="shared" si="10"/>
        <v>203.73899999999998</v>
      </c>
      <c r="H34" s="297">
        <f t="shared" ref="H34:AC34" si="11">H32-H33</f>
        <v>209.00500000000005</v>
      </c>
      <c r="I34" s="297">
        <f t="shared" si="11"/>
        <v>178.29200000000009</v>
      </c>
      <c r="J34" s="297">
        <f t="shared" si="11"/>
        <v>147.88400000000001</v>
      </c>
      <c r="K34" s="297">
        <f t="shared" si="11"/>
        <v>205.92000000000002</v>
      </c>
      <c r="L34" s="297">
        <f t="shared" si="11"/>
        <v>178.04199999999992</v>
      </c>
      <c r="M34" s="297">
        <f t="shared" si="11"/>
        <v>194.97900000000004</v>
      </c>
      <c r="N34" s="297">
        <f t="shared" si="11"/>
        <v>217.7829999999999</v>
      </c>
      <c r="O34" s="297">
        <f>O32-O33</f>
        <v>205.34700000000009</v>
      </c>
      <c r="P34" s="297">
        <f>P32-P33</f>
        <v>191.13499999999999</v>
      </c>
      <c r="Q34" s="297">
        <f t="shared" si="11"/>
        <v>170.83299999999997</v>
      </c>
      <c r="R34" s="297">
        <f t="shared" si="11"/>
        <v>199.37</v>
      </c>
      <c r="S34" s="298">
        <f t="shared" si="11"/>
        <v>184.36300000000006</v>
      </c>
      <c r="T34" s="560">
        <f t="shared" si="11"/>
        <v>187.12542925612263</v>
      </c>
      <c r="U34" s="560">
        <f t="shared" si="11"/>
        <v>187.18164313984551</v>
      </c>
      <c r="V34" s="560">
        <f t="shared" si="11"/>
        <v>187.23787391064104</v>
      </c>
      <c r="W34" s="560">
        <f t="shared" si="11"/>
        <v>226.84160735197884</v>
      </c>
      <c r="X34" s="560">
        <f t="shared" si="11"/>
        <v>224.76117118148034</v>
      </c>
      <c r="Y34" s="560">
        <f t="shared" si="11"/>
        <v>222.27840726688567</v>
      </c>
      <c r="Z34" s="560">
        <f t="shared" si="11"/>
        <v>219.82306853709144</v>
      </c>
      <c r="AA34" s="560">
        <f t="shared" si="11"/>
        <v>217.39485204715913</v>
      </c>
      <c r="AB34" s="560">
        <f t="shared" si="11"/>
        <v>218.63470644860388</v>
      </c>
      <c r="AC34" s="561">
        <f t="shared" si="11"/>
        <v>216.21961688133024</v>
      </c>
    </row>
    <row r="35" spans="2:29" ht="19.2" customHeight="1" x14ac:dyDescent="0.3">
      <c r="B35" s="154"/>
      <c r="C35" s="154"/>
      <c r="D35" s="477"/>
      <c r="E35" s="477"/>
      <c r="F35" s="477"/>
      <c r="G35" s="477"/>
      <c r="H35" s="477"/>
      <c r="I35" s="477"/>
      <c r="J35" s="477"/>
      <c r="K35" s="477"/>
      <c r="L35" s="477"/>
      <c r="M35" s="477"/>
      <c r="N35" s="477"/>
      <c r="O35" s="477"/>
      <c r="P35" s="477"/>
      <c r="Q35" s="477">
        <v>763.1</v>
      </c>
      <c r="R35" s="477">
        <v>789.5</v>
      </c>
      <c r="S35" s="477">
        <v>799.4</v>
      </c>
      <c r="T35" s="570">
        <v>813.9154697797394</v>
      </c>
      <c r="U35" s="477">
        <v>828.69451081657985</v>
      </c>
      <c r="V35" s="477">
        <v>843.74190902572923</v>
      </c>
      <c r="W35" s="477">
        <v>859.06253722483177</v>
      </c>
      <c r="X35" s="477"/>
      <c r="Y35" s="477"/>
      <c r="Z35" s="477"/>
      <c r="AA35" s="477"/>
      <c r="AB35" s="477"/>
      <c r="AC35" s="477"/>
    </row>
    <row r="36" spans="2:29" ht="19.2" customHeight="1" x14ac:dyDescent="0.3">
      <c r="B36" s="154"/>
      <c r="C36" s="154"/>
      <c r="D36" s="477"/>
      <c r="E36" s="477"/>
      <c r="F36" s="477"/>
      <c r="G36" s="477"/>
      <c r="H36" s="477"/>
      <c r="I36" s="477"/>
      <c r="J36" s="477"/>
      <c r="K36" s="477"/>
      <c r="L36" s="477"/>
      <c r="M36" s="477"/>
      <c r="N36" s="477"/>
      <c r="O36" s="477"/>
      <c r="P36" s="477"/>
      <c r="Q36" s="477">
        <v>592.26700000000005</v>
      </c>
      <c r="R36" s="477">
        <v>590.13</v>
      </c>
      <c r="S36" s="477">
        <v>605.63699999999994</v>
      </c>
      <c r="T36" s="566">
        <v>613.84597247353656</v>
      </c>
      <c r="U36" s="477">
        <v>624.99216044308173</v>
      </c>
      <c r="V36" s="477">
        <v>636.34074039990639</v>
      </c>
      <c r="W36" s="477">
        <v>604.94226050750615</v>
      </c>
      <c r="X36" s="477"/>
      <c r="Y36" s="477"/>
      <c r="Z36" s="477"/>
      <c r="AA36" s="477"/>
      <c r="AB36" s="477"/>
      <c r="AC36" s="477"/>
    </row>
    <row r="37" spans="2:29" ht="19.2" customHeight="1" x14ac:dyDescent="0.3">
      <c r="B37" s="154"/>
      <c r="C37" s="154"/>
      <c r="D37" s="477"/>
      <c r="E37" s="477"/>
      <c r="F37" s="477"/>
      <c r="G37" s="477"/>
      <c r="H37" s="477"/>
      <c r="I37" s="477"/>
      <c r="J37" s="477"/>
      <c r="K37" s="477"/>
      <c r="L37" s="477"/>
      <c r="M37" s="477"/>
      <c r="N37" s="477"/>
      <c r="O37" s="477"/>
      <c r="P37" s="477"/>
      <c r="Q37" s="477">
        <v>170.83299999999997</v>
      </c>
      <c r="R37" s="477">
        <v>199.37</v>
      </c>
      <c r="S37" s="477">
        <v>193.76300000000003</v>
      </c>
      <c r="T37" s="566">
        <v>200.06949730620283</v>
      </c>
      <c r="U37" s="477">
        <v>203.70235037349812</v>
      </c>
      <c r="V37" s="477">
        <v>207.40116862582283</v>
      </c>
      <c r="W37" s="477">
        <v>254.12027671732562</v>
      </c>
      <c r="X37" s="477"/>
      <c r="Y37" s="477"/>
      <c r="Z37" s="477"/>
      <c r="AA37" s="477"/>
      <c r="AB37" s="477"/>
      <c r="AC37" s="477"/>
    </row>
    <row r="38" spans="2:29" ht="19.2" customHeight="1" x14ac:dyDescent="0.3">
      <c r="B38" s="154"/>
      <c r="C38" s="154"/>
      <c r="D38" s="477"/>
      <c r="E38" s="477"/>
      <c r="F38" s="477"/>
      <c r="G38" s="477"/>
      <c r="H38" s="477"/>
      <c r="I38" s="477"/>
      <c r="J38" s="477"/>
      <c r="K38" s="477"/>
      <c r="L38" s="477"/>
      <c r="M38" s="477"/>
      <c r="N38" s="477"/>
      <c r="O38" s="477"/>
      <c r="P38" s="477"/>
      <c r="Q38" s="477"/>
      <c r="R38" s="477"/>
      <c r="S38" s="477"/>
      <c r="T38" s="477"/>
      <c r="U38" s="477"/>
      <c r="V38" s="477"/>
      <c r="W38" s="477"/>
      <c r="X38" s="477"/>
      <c r="Y38" s="477"/>
      <c r="Z38" s="477"/>
      <c r="AA38" s="477"/>
      <c r="AB38" s="477"/>
      <c r="AC38" s="477"/>
    </row>
    <row r="39" spans="2:29" ht="14.55" customHeight="1" x14ac:dyDescent="0.3">
      <c r="H39" s="272"/>
      <c r="I39" s="272"/>
      <c r="J39" s="272"/>
      <c r="K39" s="272"/>
      <c r="L39" s="272"/>
      <c r="M39" s="547"/>
      <c r="N39" s="272"/>
      <c r="O39" s="272"/>
    </row>
    <row r="40" spans="2:29" ht="14.55" customHeight="1" x14ac:dyDescent="0.3">
      <c r="B40" s="551" t="s">
        <v>500</v>
      </c>
      <c r="C40" s="552"/>
      <c r="D40" s="552"/>
      <c r="E40" s="553"/>
      <c r="F40" s="554">
        <v>2021</v>
      </c>
      <c r="G40" s="554">
        <v>2022</v>
      </c>
      <c r="H40" s="554">
        <v>2023</v>
      </c>
      <c r="I40" s="554">
        <v>2024</v>
      </c>
      <c r="J40" s="554">
        <v>2025</v>
      </c>
      <c r="K40" s="554">
        <v>2025</v>
      </c>
      <c r="L40" s="554">
        <v>2027</v>
      </c>
      <c r="M40" s="554">
        <v>2028</v>
      </c>
      <c r="N40" s="554">
        <v>2029</v>
      </c>
      <c r="O40" s="554">
        <v>2030</v>
      </c>
      <c r="P40" s="555">
        <v>2031</v>
      </c>
    </row>
    <row r="41" spans="2:29" ht="15" customHeight="1" x14ac:dyDescent="0.3">
      <c r="B41" s="1227" t="s">
        <v>501</v>
      </c>
      <c r="C41" s="1228"/>
      <c r="D41" s="1228"/>
      <c r="E41" s="1229"/>
      <c r="F41" s="138">
        <v>287</v>
      </c>
      <c r="G41" s="138">
        <v>534</v>
      </c>
      <c r="H41" s="138">
        <v>247</v>
      </c>
      <c r="I41" s="138">
        <v>63</v>
      </c>
      <c r="J41" s="138"/>
      <c r="K41" s="138"/>
      <c r="L41" s="138"/>
      <c r="M41" s="138"/>
      <c r="N41" s="138"/>
      <c r="O41" s="138"/>
      <c r="P41" s="153"/>
    </row>
    <row r="42" spans="2:29" ht="15" customHeight="1" x14ac:dyDescent="0.3">
      <c r="B42" s="1221" t="s">
        <v>502</v>
      </c>
      <c r="C42" s="1222"/>
      <c r="D42" s="1222"/>
      <c r="E42" s="1223"/>
      <c r="F42" s="138">
        <v>0</v>
      </c>
      <c r="G42" s="138">
        <v>0</v>
      </c>
      <c r="H42" s="138">
        <v>756</v>
      </c>
      <c r="I42" s="138">
        <v>1249</v>
      </c>
      <c r="J42" s="138">
        <v>1417</v>
      </c>
      <c r="K42" s="138">
        <v>1522</v>
      </c>
      <c r="L42" s="138">
        <v>1107</v>
      </c>
      <c r="M42" s="138"/>
      <c r="N42" s="138"/>
      <c r="O42" s="138"/>
      <c r="P42" s="153"/>
    </row>
    <row r="43" spans="2:29" x14ac:dyDescent="0.3">
      <c r="B43" s="1221" t="s">
        <v>503</v>
      </c>
      <c r="C43" s="1222"/>
      <c r="D43" s="1222"/>
      <c r="E43" s="1223"/>
      <c r="F43" s="138">
        <v>0</v>
      </c>
      <c r="G43" s="138">
        <v>5</v>
      </c>
      <c r="H43" s="138">
        <v>77</v>
      </c>
      <c r="I43" s="138">
        <v>307</v>
      </c>
      <c r="J43" s="138">
        <v>332</v>
      </c>
      <c r="K43" s="138">
        <v>270</v>
      </c>
      <c r="L43" s="138">
        <v>25</v>
      </c>
      <c r="M43" s="138">
        <v>32</v>
      </c>
      <c r="N43" s="138">
        <v>40</v>
      </c>
      <c r="O43" s="138">
        <v>49</v>
      </c>
      <c r="P43" s="153">
        <v>58</v>
      </c>
    </row>
    <row r="44" spans="2:29" ht="32.700000000000003" customHeight="1" x14ac:dyDescent="0.3">
      <c r="B44" s="1224" t="s">
        <v>504</v>
      </c>
      <c r="C44" s="1225"/>
      <c r="D44" s="1225"/>
      <c r="E44" s="1226"/>
      <c r="F44" s="138">
        <v>0</v>
      </c>
      <c r="G44" s="138">
        <v>0</v>
      </c>
      <c r="H44" s="138">
        <v>3768</v>
      </c>
      <c r="I44" s="138">
        <v>3428</v>
      </c>
      <c r="J44" s="138">
        <v>2176</v>
      </c>
      <c r="K44" s="138">
        <v>2304</v>
      </c>
      <c r="L44" s="138">
        <v>2129</v>
      </c>
      <c r="M44" s="138">
        <v>1335</v>
      </c>
      <c r="N44" s="138">
        <v>478</v>
      </c>
      <c r="O44" s="138">
        <v>531</v>
      </c>
      <c r="P44" s="153">
        <v>212</v>
      </c>
    </row>
    <row r="45" spans="2:29" ht="32.700000000000003" customHeight="1" x14ac:dyDescent="0.3">
      <c r="B45" s="1224" t="s">
        <v>505</v>
      </c>
      <c r="C45" s="1225"/>
      <c r="D45" s="1225"/>
      <c r="E45" s="1226"/>
      <c r="F45" s="138">
        <v>38</v>
      </c>
      <c r="G45" s="138">
        <v>81</v>
      </c>
      <c r="H45" s="138">
        <v>43</v>
      </c>
      <c r="I45" s="138"/>
      <c r="J45" s="138"/>
      <c r="K45" s="138"/>
      <c r="L45" s="138"/>
      <c r="M45" s="138"/>
      <c r="N45" s="138"/>
      <c r="O45" s="138"/>
      <c r="P45" s="153"/>
    </row>
    <row r="46" spans="2:29" x14ac:dyDescent="0.3">
      <c r="B46" s="1221" t="s">
        <v>506</v>
      </c>
      <c r="C46" s="1222"/>
      <c r="D46" s="1222"/>
      <c r="E46" s="1223"/>
      <c r="F46" s="138"/>
      <c r="G46" s="138"/>
      <c r="H46" s="138"/>
      <c r="I46" s="138">
        <v>-184</v>
      </c>
      <c r="J46" s="138">
        <v>-1830</v>
      </c>
      <c r="K46" s="138">
        <v>-2406</v>
      </c>
      <c r="L46" s="138">
        <v>-2419</v>
      </c>
      <c r="M46" s="138">
        <v>-2467</v>
      </c>
      <c r="N46" s="138">
        <v>-2531</v>
      </c>
      <c r="O46" s="138">
        <v>-2667</v>
      </c>
      <c r="P46" s="153">
        <v>-2809</v>
      </c>
    </row>
    <row r="47" spans="2:29" ht="15.75" customHeight="1" x14ac:dyDescent="0.3">
      <c r="B47" s="1233" t="s">
        <v>507</v>
      </c>
      <c r="C47" s="1234"/>
      <c r="D47" s="1234"/>
      <c r="E47" s="1235"/>
      <c r="F47" s="138">
        <v>6524</v>
      </c>
      <c r="G47" s="138">
        <v>6143</v>
      </c>
      <c r="H47" s="138"/>
      <c r="I47" s="138"/>
      <c r="J47" s="138"/>
      <c r="K47" s="138"/>
      <c r="L47" s="138"/>
      <c r="M47" s="138"/>
      <c r="N47" s="138"/>
      <c r="O47" s="138"/>
      <c r="P47" s="153"/>
    </row>
    <row r="48" spans="2:29" x14ac:dyDescent="0.3">
      <c r="B48" s="1221" t="s">
        <v>508</v>
      </c>
      <c r="C48" s="1222"/>
      <c r="D48" s="1222"/>
      <c r="E48" s="1223"/>
      <c r="F48" s="138">
        <v>50</v>
      </c>
      <c r="G48" s="138">
        <v>175</v>
      </c>
      <c r="H48" s="138">
        <v>25</v>
      </c>
      <c r="I48" s="138"/>
      <c r="J48" s="138"/>
      <c r="K48" s="138"/>
      <c r="L48" s="138"/>
      <c r="M48" s="138"/>
      <c r="N48" s="138"/>
      <c r="O48" s="138"/>
      <c r="P48" s="153"/>
    </row>
    <row r="49" spans="2:17" x14ac:dyDescent="0.3">
      <c r="B49" s="1221" t="s">
        <v>509</v>
      </c>
      <c r="C49" s="1222"/>
      <c r="D49" s="1222"/>
      <c r="E49" s="1223"/>
      <c r="F49" s="138">
        <v>829</v>
      </c>
      <c r="G49" s="138">
        <v>844</v>
      </c>
      <c r="H49" s="138"/>
      <c r="I49" s="138"/>
      <c r="J49" s="138"/>
      <c r="K49" s="138"/>
      <c r="L49" s="138"/>
      <c r="M49" s="138"/>
      <c r="N49" s="138"/>
      <c r="O49" s="138"/>
      <c r="P49" s="153"/>
    </row>
    <row r="50" spans="2:17" x14ac:dyDescent="0.3">
      <c r="B50" s="1236" t="s">
        <v>510</v>
      </c>
      <c r="C50" s="1237"/>
      <c r="D50" s="1237"/>
      <c r="E50" s="1238"/>
      <c r="F50" s="138">
        <f t="shared" ref="F50:P50" si="12">SUM(F41:F49)</f>
        <v>7728</v>
      </c>
      <c r="G50" s="138">
        <f t="shared" si="12"/>
        <v>7782</v>
      </c>
      <c r="H50" s="138">
        <f t="shared" si="12"/>
        <v>4916</v>
      </c>
      <c r="I50" s="138">
        <f t="shared" si="12"/>
        <v>4863</v>
      </c>
      <c r="J50" s="138">
        <f t="shared" si="12"/>
        <v>2095</v>
      </c>
      <c r="K50" s="138">
        <f t="shared" si="12"/>
        <v>1690</v>
      </c>
      <c r="L50" s="138">
        <f t="shared" si="12"/>
        <v>842</v>
      </c>
      <c r="M50" s="138">
        <f t="shared" si="12"/>
        <v>-1100</v>
      </c>
      <c r="N50" s="138">
        <f t="shared" si="12"/>
        <v>-2013</v>
      </c>
      <c r="O50" s="138">
        <f t="shared" si="12"/>
        <v>-2087</v>
      </c>
      <c r="P50" s="153">
        <f t="shared" si="12"/>
        <v>-2539</v>
      </c>
    </row>
    <row r="51" spans="2:17" x14ac:dyDescent="0.3">
      <c r="B51" s="1233" t="s">
        <v>511</v>
      </c>
      <c r="C51" s="1234"/>
      <c r="D51" s="1234"/>
      <c r="E51" s="1235"/>
      <c r="F51" s="138">
        <f t="shared" ref="F51:P51" si="13">F47+F45+F44</f>
        <v>6562</v>
      </c>
      <c r="G51" s="138">
        <f t="shared" si="13"/>
        <v>6224</v>
      </c>
      <c r="H51" s="138">
        <f t="shared" si="13"/>
        <v>3811</v>
      </c>
      <c r="I51" s="138">
        <f t="shared" si="13"/>
        <v>3428</v>
      </c>
      <c r="J51" s="138">
        <f t="shared" si="13"/>
        <v>2176</v>
      </c>
      <c r="K51" s="138">
        <f t="shared" si="13"/>
        <v>2304</v>
      </c>
      <c r="L51" s="138">
        <f t="shared" si="13"/>
        <v>2129</v>
      </c>
      <c r="M51" s="138">
        <f t="shared" si="13"/>
        <v>1335</v>
      </c>
      <c r="N51" s="138">
        <f t="shared" si="13"/>
        <v>478</v>
      </c>
      <c r="O51" s="138">
        <f t="shared" si="13"/>
        <v>531</v>
      </c>
      <c r="P51" s="153">
        <f t="shared" si="13"/>
        <v>212</v>
      </c>
      <c r="Q51" s="154" t="s">
        <v>512</v>
      </c>
    </row>
    <row r="52" spans="2:17" x14ac:dyDescent="0.3">
      <c r="B52" s="1221" t="s">
        <v>513</v>
      </c>
      <c r="C52" s="1222"/>
      <c r="D52" s="1222"/>
      <c r="E52" s="1223"/>
      <c r="F52" s="138">
        <f>(F51/1000)/M32</f>
        <v>9.315729699034641E-3</v>
      </c>
      <c r="G52" s="138">
        <f>(G51/F51)*F52</f>
        <v>8.8358886996024993E-3</v>
      </c>
      <c r="H52" s="138">
        <f>(H51/G51)*G52+H53</f>
        <v>5.4102782509937537E-3</v>
      </c>
      <c r="I52" s="138">
        <f>(I51/H51)*H52+I53</f>
        <v>4.8665530948324813E-3</v>
      </c>
      <c r="J52" s="138">
        <f>J53</f>
        <v>0</v>
      </c>
      <c r="K52" s="138">
        <f t="shared" ref="K52:L52" si="14">K53</f>
        <v>0</v>
      </c>
      <c r="L52" s="138">
        <f t="shared" si="14"/>
        <v>0</v>
      </c>
      <c r="M52" s="138"/>
      <c r="N52" s="138"/>
      <c r="O52" s="138"/>
      <c r="P52" s="153"/>
      <c r="Q52" s="154" t="s">
        <v>514</v>
      </c>
    </row>
    <row r="53" spans="2:17" ht="29.25" customHeight="1" x14ac:dyDescent="0.3">
      <c r="B53" s="527" t="s">
        <v>973</v>
      </c>
      <c r="C53" s="528"/>
      <c r="D53" s="528"/>
      <c r="E53" s="529"/>
      <c r="F53" s="138"/>
      <c r="G53" s="138"/>
      <c r="H53" s="138"/>
      <c r="I53" s="138"/>
      <c r="J53" s="138"/>
      <c r="K53" s="138"/>
      <c r="L53" s="138"/>
      <c r="M53" s="138"/>
      <c r="N53" s="138"/>
      <c r="O53" s="138"/>
      <c r="P53" s="153"/>
      <c r="Q53" s="154"/>
    </row>
    <row r="54" spans="2:17" x14ac:dyDescent="0.3">
      <c r="B54" s="1230"/>
      <c r="C54" s="1231"/>
      <c r="D54" s="1231"/>
      <c r="E54" s="1232"/>
      <c r="F54" s="156"/>
      <c r="G54" s="156"/>
      <c r="H54" s="156"/>
      <c r="I54" s="156"/>
      <c r="J54" s="156"/>
      <c r="K54" s="156"/>
      <c r="L54" s="156"/>
      <c r="M54" s="156"/>
      <c r="N54" s="156"/>
      <c r="O54" s="156"/>
      <c r="P54" s="160"/>
    </row>
  </sheetData>
  <mergeCells count="34">
    <mergeCell ref="U30:X30"/>
    <mergeCell ref="B42:E42"/>
    <mergeCell ref="B1:AC1"/>
    <mergeCell ref="V2:AB4"/>
    <mergeCell ref="B2:U4"/>
    <mergeCell ref="Y30:AB30"/>
    <mergeCell ref="Y8:AB8"/>
    <mergeCell ref="U8:X8"/>
    <mergeCell ref="T29:AC29"/>
    <mergeCell ref="D29:S29"/>
    <mergeCell ref="T7:AC7"/>
    <mergeCell ref="D7:S7"/>
    <mergeCell ref="M30:P30"/>
    <mergeCell ref="M8:P8"/>
    <mergeCell ref="Q30:R30"/>
    <mergeCell ref="Q8:R8"/>
    <mergeCell ref="B54:E54"/>
    <mergeCell ref="B47:E47"/>
    <mergeCell ref="B48:E48"/>
    <mergeCell ref="B49:E49"/>
    <mergeCell ref="B50:E50"/>
    <mergeCell ref="B51:E51"/>
    <mergeCell ref="B52:E52"/>
    <mergeCell ref="B46:E46"/>
    <mergeCell ref="E8:H8"/>
    <mergeCell ref="B7:C9"/>
    <mergeCell ref="I8:L8"/>
    <mergeCell ref="B44:E44"/>
    <mergeCell ref="B45:E45"/>
    <mergeCell ref="B43:E43"/>
    <mergeCell ref="B41:E41"/>
    <mergeCell ref="I30:L30"/>
    <mergeCell ref="B29:C31"/>
    <mergeCell ref="E30:H30"/>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F33"/>
  <sheetViews>
    <sheetView topLeftCell="B1" zoomScale="90" zoomScaleNormal="90" workbookViewId="0">
      <selection activeCell="R17" sqref="R17"/>
    </sheetView>
  </sheetViews>
  <sheetFormatPr defaultColWidth="11.5546875" defaultRowHeight="14.4" x14ac:dyDescent="0.3"/>
  <cols>
    <col min="2" max="2" width="42.77734375" customWidth="1"/>
    <col min="3" max="3" width="7.44140625" customWidth="1"/>
    <col min="4" max="4" width="8.77734375" customWidth="1"/>
    <col min="5" max="5" width="9" customWidth="1"/>
    <col min="6" max="6" width="8.77734375" customWidth="1"/>
    <col min="7" max="7" width="9.5546875" customWidth="1"/>
    <col min="8" max="8" width="9.77734375" customWidth="1"/>
    <col min="9" max="9" width="10.21875" customWidth="1"/>
    <col min="10" max="10" width="9.21875" customWidth="1"/>
    <col min="11" max="11" width="9.77734375" customWidth="1"/>
    <col min="12" max="13" width="8.77734375" customWidth="1"/>
    <col min="14" max="14" width="9.21875" customWidth="1"/>
    <col min="15" max="19" width="8.77734375" customWidth="1"/>
    <col min="20" max="22" width="9.21875" customWidth="1"/>
  </cols>
  <sheetData>
    <row r="1" spans="2:29" x14ac:dyDescent="0.3">
      <c r="B1" s="1146" t="s">
        <v>55</v>
      </c>
      <c r="C1" s="1146"/>
      <c r="D1" s="1146"/>
      <c r="E1" s="1146"/>
      <c r="F1" s="1146"/>
      <c r="G1" s="1146"/>
      <c r="H1" s="1146"/>
      <c r="I1" s="1146"/>
      <c r="J1" s="1146"/>
      <c r="K1" s="1146"/>
      <c r="L1" s="1146"/>
      <c r="M1" s="1146"/>
      <c r="N1" s="1146"/>
      <c r="O1" s="1146"/>
      <c r="P1" s="1146"/>
      <c r="Q1" s="1146"/>
      <c r="R1" s="1146"/>
      <c r="S1" s="1146"/>
      <c r="T1" s="1146"/>
      <c r="U1" s="1146"/>
      <c r="V1" s="1146"/>
      <c r="W1" s="1146"/>
      <c r="X1" s="1146"/>
      <c r="Y1" s="1146"/>
      <c r="Z1" s="1146"/>
      <c r="AA1" s="1146"/>
      <c r="AB1" s="1146"/>
      <c r="AC1" s="1146"/>
    </row>
    <row r="2" spans="2:29" ht="14.25" customHeight="1" x14ac:dyDescent="0.3">
      <c r="B2" s="1211" t="s">
        <v>933</v>
      </c>
      <c r="C2" s="1211"/>
      <c r="D2" s="1211"/>
      <c r="E2" s="1211"/>
      <c r="F2" s="1211"/>
      <c r="G2" s="1211"/>
      <c r="H2" s="1211"/>
      <c r="I2" s="1211"/>
      <c r="J2" s="1211"/>
      <c r="K2" s="1211"/>
      <c r="L2" s="1211"/>
      <c r="M2" s="1211"/>
      <c r="N2" s="1211"/>
      <c r="O2" s="1211"/>
      <c r="P2" s="1211"/>
      <c r="Q2" s="1211"/>
      <c r="R2" s="1211"/>
      <c r="S2" s="573"/>
      <c r="T2" s="1240" t="s">
        <v>1004</v>
      </c>
      <c r="U2" s="1240"/>
      <c r="V2" s="1240"/>
      <c r="W2" s="1240"/>
      <c r="X2" s="1240"/>
      <c r="Y2" s="1240"/>
      <c r="Z2" s="1240"/>
      <c r="AA2" s="1240"/>
      <c r="AB2" s="1240"/>
      <c r="AC2" s="1240"/>
    </row>
    <row r="3" spans="2:29" x14ac:dyDescent="0.3">
      <c r="B3" s="1211"/>
      <c r="C3" s="1211"/>
      <c r="D3" s="1211"/>
      <c r="E3" s="1211"/>
      <c r="F3" s="1211"/>
      <c r="G3" s="1211"/>
      <c r="H3" s="1211"/>
      <c r="I3" s="1211"/>
      <c r="J3" s="1211"/>
      <c r="K3" s="1211"/>
      <c r="L3" s="1211"/>
      <c r="M3" s="1211"/>
      <c r="N3" s="1211"/>
      <c r="O3" s="1211"/>
      <c r="P3" s="1211"/>
      <c r="Q3" s="1211"/>
      <c r="R3" s="1211"/>
      <c r="S3" s="573"/>
      <c r="T3" s="1240"/>
      <c r="U3" s="1240"/>
      <c r="V3" s="1240"/>
      <c r="W3" s="1240"/>
      <c r="X3" s="1240"/>
      <c r="Y3" s="1240"/>
      <c r="Z3" s="1240"/>
      <c r="AA3" s="1240"/>
      <c r="AB3" s="1240"/>
      <c r="AC3" s="1240"/>
    </row>
    <row r="4" spans="2:29" ht="21" customHeight="1" x14ac:dyDescent="0.3">
      <c r="B4" s="1211"/>
      <c r="C4" s="1211"/>
      <c r="D4" s="1211"/>
      <c r="E4" s="1211"/>
      <c r="F4" s="1211"/>
      <c r="G4" s="1211"/>
      <c r="H4" s="1211"/>
      <c r="I4" s="1211"/>
      <c r="J4" s="1211"/>
      <c r="K4" s="1211"/>
      <c r="L4" s="1211"/>
      <c r="M4" s="1211"/>
      <c r="N4" s="1211"/>
      <c r="O4" s="1211"/>
      <c r="P4" s="1211"/>
      <c r="Q4" s="1211"/>
      <c r="R4" s="1211"/>
      <c r="S4" s="573"/>
      <c r="T4" s="1240"/>
      <c r="U4" s="1240"/>
      <c r="V4" s="1240"/>
      <c r="W4" s="1240"/>
      <c r="X4" s="1240"/>
      <c r="Y4" s="1240"/>
      <c r="Z4" s="1240"/>
      <c r="AA4" s="1240"/>
      <c r="AB4" s="1240"/>
      <c r="AC4" s="1240"/>
    </row>
    <row r="6" spans="2:29" x14ac:dyDescent="0.3">
      <c r="B6" s="179" t="s">
        <v>381</v>
      </c>
    </row>
    <row r="7" spans="2:29" ht="14.7" customHeight="1" x14ac:dyDescent="0.3">
      <c r="B7" s="1175" t="s">
        <v>465</v>
      </c>
      <c r="C7" s="1158"/>
      <c r="D7" s="1156" t="s">
        <v>325</v>
      </c>
      <c r="E7" s="1157"/>
      <c r="F7" s="1157"/>
      <c r="G7" s="1157"/>
      <c r="H7" s="1157"/>
      <c r="I7" s="1157"/>
      <c r="J7" s="1157"/>
      <c r="K7" s="1157"/>
      <c r="L7" s="1157"/>
      <c r="M7" s="1157"/>
      <c r="N7" s="1157"/>
      <c r="O7" s="1157"/>
      <c r="P7" s="1157"/>
      <c r="Q7" s="1158"/>
      <c r="R7" s="1158"/>
      <c r="S7" s="1158"/>
      <c r="T7" s="1184" t="s">
        <v>326</v>
      </c>
      <c r="U7" s="1184"/>
      <c r="V7" s="1184"/>
      <c r="W7" s="1184"/>
      <c r="X7" s="1184"/>
      <c r="Y7" s="1184"/>
      <c r="Z7" s="1184"/>
      <c r="AA7" s="1184"/>
      <c r="AB7" s="1184"/>
      <c r="AC7" s="1185"/>
    </row>
    <row r="8" spans="2:29" x14ac:dyDescent="0.3">
      <c r="B8" s="1176"/>
      <c r="C8" s="1213"/>
      <c r="D8" s="141">
        <v>2018</v>
      </c>
      <c r="E8" s="1147">
        <v>2019</v>
      </c>
      <c r="F8" s="1148"/>
      <c r="G8" s="1148"/>
      <c r="H8" s="1155"/>
      <c r="I8" s="1147">
        <v>2020</v>
      </c>
      <c r="J8" s="1148"/>
      <c r="K8" s="1148"/>
      <c r="L8" s="1148"/>
      <c r="M8" s="1147">
        <v>2021</v>
      </c>
      <c r="N8" s="1148"/>
      <c r="O8" s="1148"/>
      <c r="P8" s="1155"/>
      <c r="Q8" s="1181">
        <v>2022</v>
      </c>
      <c r="R8" s="1182"/>
      <c r="S8" s="252"/>
      <c r="T8" s="287"/>
      <c r="U8" s="1178">
        <v>2023</v>
      </c>
      <c r="V8" s="1179"/>
      <c r="W8" s="1179"/>
      <c r="X8" s="1179"/>
      <c r="Y8" s="1178">
        <v>2024</v>
      </c>
      <c r="Z8" s="1179"/>
      <c r="AA8" s="1179"/>
      <c r="AB8" s="1180"/>
      <c r="AC8" s="258">
        <v>2025</v>
      </c>
    </row>
    <row r="9" spans="2:29" x14ac:dyDescent="0.3">
      <c r="B9" s="1176"/>
      <c r="C9" s="1213"/>
      <c r="D9" s="152" t="s">
        <v>327</v>
      </c>
      <c r="E9" s="152" t="s">
        <v>328</v>
      </c>
      <c r="F9" s="151" t="s">
        <v>329</v>
      </c>
      <c r="G9" s="151" t="s">
        <v>238</v>
      </c>
      <c r="H9" s="203" t="s">
        <v>327</v>
      </c>
      <c r="I9" s="151" t="s">
        <v>328</v>
      </c>
      <c r="J9" s="151" t="s">
        <v>329</v>
      </c>
      <c r="K9" s="151" t="s">
        <v>238</v>
      </c>
      <c r="L9" s="151" t="s">
        <v>327</v>
      </c>
      <c r="M9" s="152" t="s">
        <v>328</v>
      </c>
      <c r="N9" s="151" t="s">
        <v>329</v>
      </c>
      <c r="O9" s="151" t="s">
        <v>238</v>
      </c>
      <c r="P9" s="203" t="s">
        <v>327</v>
      </c>
      <c r="Q9" s="152" t="s">
        <v>328</v>
      </c>
      <c r="R9" s="151" t="s">
        <v>329</v>
      </c>
      <c r="S9" s="203" t="s">
        <v>238</v>
      </c>
      <c r="T9" s="368" t="s">
        <v>327</v>
      </c>
      <c r="U9" s="355" t="s">
        <v>328</v>
      </c>
      <c r="V9" s="356" t="s">
        <v>329</v>
      </c>
      <c r="W9" s="356" t="s">
        <v>238</v>
      </c>
      <c r="X9" s="356" t="s">
        <v>327</v>
      </c>
      <c r="Y9" s="355" t="s">
        <v>328</v>
      </c>
      <c r="Z9" s="249" t="s">
        <v>329</v>
      </c>
      <c r="AA9" s="356" t="s">
        <v>238</v>
      </c>
      <c r="AB9" s="368" t="s">
        <v>327</v>
      </c>
      <c r="AC9" s="383" t="s">
        <v>328</v>
      </c>
    </row>
    <row r="10" spans="2:29" ht="14.55" customHeight="1" x14ac:dyDescent="0.3">
      <c r="B10" s="593" t="s">
        <v>515</v>
      </c>
      <c r="C10" s="37" t="s">
        <v>999</v>
      </c>
      <c r="D10" s="567">
        <f>'Haver Pivoted'!GO12</f>
        <v>755.3</v>
      </c>
      <c r="E10" s="568">
        <f>'Haver Pivoted'!GP12</f>
        <v>772.6</v>
      </c>
      <c r="F10" s="568">
        <f>'Haver Pivoted'!GQ12</f>
        <v>785.8</v>
      </c>
      <c r="G10" s="568">
        <f>'Haver Pivoted'!GR12</f>
        <v>793.7</v>
      </c>
      <c r="H10" s="568">
        <f>'Haver Pivoted'!GS12</f>
        <v>796.3</v>
      </c>
      <c r="I10" s="568">
        <f>'Haver Pivoted'!GT12</f>
        <v>795.3</v>
      </c>
      <c r="J10" s="568">
        <f>'Haver Pivoted'!GU12</f>
        <v>808</v>
      </c>
      <c r="K10" s="568">
        <f>'Haver Pivoted'!GV12</f>
        <v>822.1</v>
      </c>
      <c r="L10" s="568">
        <f>'Haver Pivoted'!GW12</f>
        <v>837.5</v>
      </c>
      <c r="M10" s="568">
        <f>'Haver Pivoted'!GX12</f>
        <v>857.6</v>
      </c>
      <c r="N10" s="568">
        <f>'Haver Pivoted'!GY12</f>
        <v>875.4</v>
      </c>
      <c r="O10" s="568">
        <f>'Haver Pivoted'!GZ12</f>
        <v>889.5</v>
      </c>
      <c r="P10" s="568">
        <f>'Haver Pivoted'!HA12</f>
        <v>900</v>
      </c>
      <c r="Q10" s="568">
        <f>'Haver Pivoted'!HB12</f>
        <v>908</v>
      </c>
      <c r="R10" s="568">
        <f>'Haver Pivoted'!HC12</f>
        <v>911.8</v>
      </c>
      <c r="S10" s="532">
        <f>'Haver Pivoted'!HD12</f>
        <v>920.3</v>
      </c>
      <c r="T10" s="582">
        <f>S10*(1+T12)</f>
        <v>942.65830121332203</v>
      </c>
      <c r="U10" s="562">
        <f t="shared" ref="U10:AC10" si="0">T10*(1+U12)</f>
        <v>965.55978794565488</v>
      </c>
      <c r="V10" s="562">
        <f t="shared" si="0"/>
        <v>989.017656660596</v>
      </c>
      <c r="W10" s="562">
        <f t="shared" si="0"/>
        <v>1013.0454244242726</v>
      </c>
      <c r="X10" s="562">
        <f t="shared" si="0"/>
        <v>1037.4736868172592</v>
      </c>
      <c r="Y10" s="562">
        <f t="shared" si="0"/>
        <v>1062.4910047344636</v>
      </c>
      <c r="Z10" s="562">
        <f t="shared" si="0"/>
        <v>1088.11158247765</v>
      </c>
      <c r="AA10" s="562">
        <f t="shared" si="0"/>
        <v>1114.3499668666996</v>
      </c>
      <c r="AB10" s="562">
        <f t="shared" si="0"/>
        <v>1141.2210554989849</v>
      </c>
      <c r="AC10" s="544">
        <f t="shared" si="0"/>
        <v>1168.7401052079097</v>
      </c>
    </row>
    <row r="11" spans="2:29" ht="28.5" customHeight="1" x14ac:dyDescent="0.3">
      <c r="B11" s="604" t="s">
        <v>1001</v>
      </c>
      <c r="C11" s="588" t="s">
        <v>587</v>
      </c>
      <c r="D11" s="605"/>
      <c r="E11" s="581"/>
      <c r="F11" s="581"/>
      <c r="G11" s="581"/>
      <c r="H11" s="581"/>
      <c r="I11" s="581"/>
      <c r="J11" s="580">
        <f>'Haver Pivoted'!GU46</f>
        <v>9.6</v>
      </c>
      <c r="K11" s="580">
        <f>'Haver Pivoted'!GV46</f>
        <v>14.4</v>
      </c>
      <c r="L11" s="580">
        <f>'Haver Pivoted'!GW46</f>
        <v>14.3</v>
      </c>
      <c r="M11" s="580">
        <f>'Haver Pivoted'!GX46</f>
        <v>15</v>
      </c>
      <c r="N11" s="580">
        <f>'Haver Pivoted'!GY46</f>
        <v>15.3</v>
      </c>
      <c r="O11" s="580">
        <f>'Haver Pivoted'!GZ46</f>
        <v>15.6</v>
      </c>
      <c r="P11" s="580">
        <f>'Haver Pivoted'!HA46</f>
        <v>15.7</v>
      </c>
      <c r="Q11" s="580">
        <f>'Haver Pivoted'!HB46</f>
        <v>15.8</v>
      </c>
      <c r="R11" s="580">
        <f>'Haver Pivoted'!HC46</f>
        <v>7.9</v>
      </c>
      <c r="S11" s="579">
        <f>'Haver Pivoted'!HD46</f>
        <v>0</v>
      </c>
      <c r="T11" s="583">
        <f>S11</f>
        <v>0</v>
      </c>
      <c r="U11" s="584">
        <f t="shared" ref="U11:Z11" si="1">T11</f>
        <v>0</v>
      </c>
      <c r="V11" s="584">
        <f t="shared" si="1"/>
        <v>0</v>
      </c>
      <c r="W11" s="584">
        <f t="shared" si="1"/>
        <v>0</v>
      </c>
      <c r="X11" s="584">
        <f t="shared" si="1"/>
        <v>0</v>
      </c>
      <c r="Y11" s="584">
        <f t="shared" si="1"/>
        <v>0</v>
      </c>
      <c r="Z11" s="584">
        <f t="shared" si="1"/>
        <v>0</v>
      </c>
      <c r="AA11" s="584"/>
      <c r="AB11" s="584"/>
      <c r="AC11" s="606"/>
    </row>
    <row r="12" spans="2:29" x14ac:dyDescent="0.3">
      <c r="B12" s="594" t="s">
        <v>516</v>
      </c>
      <c r="C12" s="592"/>
      <c r="D12" s="569"/>
      <c r="E12" s="297"/>
      <c r="F12" s="297"/>
      <c r="G12" s="297"/>
      <c r="H12" s="297"/>
      <c r="I12" s="297"/>
      <c r="J12" s="541"/>
      <c r="K12" s="541"/>
      <c r="L12" s="541"/>
      <c r="M12" s="541"/>
      <c r="N12" s="541">
        <f>(1 + $E$24)^0.25-1</f>
        <v>0</v>
      </c>
      <c r="O12" s="541">
        <f>(1 + $E$24)^0.25-1</f>
        <v>0</v>
      </c>
      <c r="P12" s="541">
        <f>(1 + $F$24)^0.25-1</f>
        <v>2.1178433383513662E-2</v>
      </c>
      <c r="Q12" s="541">
        <f>(1 +$F$24)^0.25-1</f>
        <v>2.1178433383513662E-2</v>
      </c>
      <c r="R12" s="541">
        <f>(1 +$F$24)^0.25-1</f>
        <v>2.1178433383513662E-2</v>
      </c>
      <c r="S12" s="577">
        <f>(1 +$F$24)^0.25-1</f>
        <v>2.1178433383513662E-2</v>
      </c>
      <c r="T12" s="585">
        <f>(1 +$G$24)^0.25-1</f>
        <v>2.4294579173445685E-2</v>
      </c>
      <c r="U12" s="576">
        <f>(1 +$G$24)^0.25-1</f>
        <v>2.4294579173445685E-2</v>
      </c>
      <c r="V12" s="576">
        <f>(1 +$G$24)^0.25-1</f>
        <v>2.4294579173445685E-2</v>
      </c>
      <c r="W12" s="576">
        <f>(1 +$G$24)^0.25-1</f>
        <v>2.4294579173445685E-2</v>
      </c>
      <c r="X12" s="576">
        <f t="shared" ref="X12:AC12" si="2">(1 +$H$24)^0.25-1</f>
        <v>2.4113689084445111E-2</v>
      </c>
      <c r="Y12" s="576">
        <f t="shared" si="2"/>
        <v>2.4113689084445111E-2</v>
      </c>
      <c r="Z12" s="576">
        <f t="shared" si="2"/>
        <v>2.4113689084445111E-2</v>
      </c>
      <c r="AA12" s="576">
        <f t="shared" si="2"/>
        <v>2.4113689084445111E-2</v>
      </c>
      <c r="AB12" s="576">
        <f t="shared" si="2"/>
        <v>2.4113689084445111E-2</v>
      </c>
      <c r="AC12" s="577">
        <f t="shared" si="2"/>
        <v>2.4113689084445111E-2</v>
      </c>
    </row>
    <row r="13" spans="2:29" ht="15.75" customHeight="1" x14ac:dyDescent="0.3">
      <c r="B13" s="589"/>
      <c r="C13" s="547"/>
      <c r="D13" s="477"/>
      <c r="E13" s="477"/>
      <c r="F13" s="477"/>
      <c r="G13" s="477"/>
      <c r="H13" s="477"/>
      <c r="I13" s="477"/>
      <c r="J13" s="537"/>
      <c r="K13" s="537"/>
      <c r="L13" s="537"/>
      <c r="M13" s="537"/>
    </row>
    <row r="14" spans="2:29" x14ac:dyDescent="0.3">
      <c r="B14" s="589"/>
      <c r="C14" s="547"/>
      <c r="D14" s="477"/>
      <c r="E14" s="477"/>
      <c r="F14" s="477"/>
      <c r="G14" s="477"/>
      <c r="H14" s="477"/>
      <c r="I14" s="477"/>
      <c r="J14" s="537"/>
      <c r="K14" s="537"/>
      <c r="L14" s="537"/>
      <c r="M14" s="537"/>
    </row>
    <row r="15" spans="2:29" x14ac:dyDescent="0.3">
      <c r="B15" s="589"/>
      <c r="C15" s="547"/>
      <c r="D15" s="477"/>
      <c r="E15" s="477"/>
      <c r="F15" s="477"/>
      <c r="G15" s="477"/>
      <c r="H15" s="477"/>
      <c r="I15" s="477"/>
      <c r="J15" s="537"/>
      <c r="K15" s="537"/>
      <c r="L15" s="537"/>
      <c r="M15" s="537"/>
    </row>
    <row r="16" spans="2:29" ht="14.55" customHeight="1" x14ac:dyDescent="0.3">
      <c r="B16" s="179" t="s">
        <v>400</v>
      </c>
    </row>
    <row r="17" spans="2:32" x14ac:dyDescent="0.3">
      <c r="B17" s="598" t="s">
        <v>493</v>
      </c>
      <c r="C17" s="598">
        <v>2019</v>
      </c>
      <c r="D17" s="599">
        <v>2020</v>
      </c>
      <c r="E17" s="599">
        <v>2021</v>
      </c>
      <c r="F17" s="599">
        <v>2022</v>
      </c>
      <c r="G17" s="599">
        <v>2023</v>
      </c>
      <c r="H17" s="600">
        <v>2024</v>
      </c>
      <c r="I17" s="600">
        <v>2025</v>
      </c>
      <c r="J17" s="600">
        <v>2026</v>
      </c>
    </row>
    <row r="18" spans="2:32" ht="21" customHeight="1" x14ac:dyDescent="0.3">
      <c r="B18" s="591" t="s">
        <v>971</v>
      </c>
      <c r="C18" s="602"/>
      <c r="D18" s="586"/>
      <c r="E18" s="268">
        <v>867.67600000000004</v>
      </c>
      <c r="F18" s="268">
        <v>941.351</v>
      </c>
      <c r="G18" s="268">
        <v>1008.7670000000001</v>
      </c>
      <c r="H18" s="268">
        <v>1085.711</v>
      </c>
      <c r="I18" s="268">
        <v>1165.28</v>
      </c>
      <c r="J18" s="578">
        <v>1262.203</v>
      </c>
      <c r="K18" s="586"/>
      <c r="L18" s="586"/>
      <c r="M18" s="586"/>
      <c r="N18" s="586"/>
      <c r="O18" s="586"/>
      <c r="P18" s="358"/>
      <c r="Q18" s="358"/>
      <c r="R18" s="358"/>
      <c r="S18" s="358"/>
      <c r="T18" s="358"/>
      <c r="U18" s="358"/>
      <c r="V18" s="358"/>
      <c r="W18" s="358"/>
      <c r="X18" s="358"/>
      <c r="Y18" s="358"/>
      <c r="Z18" s="358"/>
      <c r="AA18" s="358"/>
      <c r="AB18" s="358"/>
      <c r="AC18" s="358"/>
    </row>
    <row r="19" spans="2:32" ht="21" customHeight="1" x14ac:dyDescent="0.3">
      <c r="B19" s="591"/>
      <c r="C19" s="602"/>
      <c r="D19" s="586"/>
      <c r="E19" s="268">
        <f>AVERAGE(L10:O10)</f>
        <v>865</v>
      </c>
      <c r="F19" s="268">
        <f>AVERAGE(P10:S10)</f>
        <v>910.02500000000009</v>
      </c>
      <c r="G19" s="268">
        <f>AVERAGE(T10:W10)</f>
        <v>977.57029256096143</v>
      </c>
      <c r="H19" s="268">
        <f>AVERAGE(X10:AA10)</f>
        <v>1075.6065602240183</v>
      </c>
      <c r="I19" s="268">
        <f>AVERAGE(AB10:AE10)</f>
        <v>1154.9805803534473</v>
      </c>
      <c r="J19" s="292"/>
      <c r="K19" s="586"/>
      <c r="L19" s="586"/>
      <c r="M19" s="586"/>
      <c r="N19" s="586"/>
      <c r="O19" s="586"/>
      <c r="P19" s="358"/>
      <c r="Q19" s="358"/>
      <c r="R19" s="358"/>
      <c r="S19" s="358"/>
      <c r="T19" s="358"/>
      <c r="U19" s="358"/>
      <c r="V19" s="358"/>
      <c r="W19" s="358"/>
      <c r="X19" s="358"/>
      <c r="Y19" s="358"/>
      <c r="Z19" s="358"/>
      <c r="AA19" s="358"/>
      <c r="AB19" s="358"/>
      <c r="AC19" s="358"/>
    </row>
    <row r="20" spans="2:32" ht="21" customHeight="1" x14ac:dyDescent="0.3">
      <c r="B20" s="177" t="s">
        <v>517</v>
      </c>
      <c r="C20" s="177"/>
      <c r="D20" s="154">
        <v>47</v>
      </c>
      <c r="E20" s="154">
        <v>48</v>
      </c>
      <c r="F20" s="37">
        <v>-50</v>
      </c>
      <c r="G20" s="37">
        <v>-45</v>
      </c>
      <c r="H20" s="37"/>
      <c r="I20" s="37"/>
      <c r="J20" s="596">
        <f>SUM(D20:G20)</f>
        <v>0</v>
      </c>
      <c r="M20" s="586"/>
      <c r="N20" s="586"/>
      <c r="O20" s="586"/>
      <c r="P20" s="358"/>
      <c r="Q20" s="358"/>
      <c r="R20" s="358"/>
      <c r="S20" s="358"/>
      <c r="T20" s="358"/>
      <c r="U20" s="358"/>
      <c r="V20" s="358"/>
      <c r="W20" s="358"/>
      <c r="X20" s="358"/>
      <c r="Y20" s="358"/>
      <c r="Z20" s="358"/>
      <c r="AA20" s="358"/>
      <c r="AB20" s="358"/>
      <c r="AC20" s="358"/>
    </row>
    <row r="21" spans="2:32" ht="21" customHeight="1" x14ac:dyDescent="0.3">
      <c r="B21" s="591" t="s">
        <v>1282</v>
      </c>
      <c r="C21" s="177"/>
      <c r="D21" s="154"/>
      <c r="E21" s="154"/>
      <c r="F21" s="37"/>
      <c r="G21" s="51">
        <f>'IRA and CHIPS'!E175</f>
        <v>-0.41499999999999998</v>
      </c>
      <c r="H21" s="51">
        <f>'IRA and CHIPS'!F175</f>
        <v>2.7679999999999998</v>
      </c>
      <c r="I21" s="51">
        <f>'IRA and CHIPS'!G175</f>
        <v>-12.473000000000001</v>
      </c>
      <c r="J21" s="587">
        <f>'IRA and CHIPS'!H175</f>
        <v>-5.3739999999999997</v>
      </c>
      <c r="M21" s="586"/>
      <c r="N21" s="586"/>
      <c r="O21" s="586"/>
      <c r="P21" s="358"/>
      <c r="Q21" s="358"/>
      <c r="R21" s="358"/>
      <c r="S21" s="358"/>
      <c r="T21" s="358"/>
      <c r="U21" s="358"/>
      <c r="V21" s="358"/>
      <c r="W21" s="358"/>
      <c r="X21" s="358"/>
      <c r="Y21" s="358"/>
      <c r="Z21" s="358"/>
      <c r="AA21" s="358"/>
      <c r="AB21" s="358"/>
      <c r="AC21" s="358"/>
    </row>
    <row r="22" spans="2:32" x14ac:dyDescent="0.3">
      <c r="B22" s="177" t="s">
        <v>1476</v>
      </c>
      <c r="C22" s="602"/>
      <c r="D22" s="178"/>
      <c r="E22" s="178">
        <f>E18-E20</f>
        <v>819.67600000000004</v>
      </c>
      <c r="F22" s="178">
        <f>F18+F20</f>
        <v>891.351</v>
      </c>
      <c r="G22" s="178">
        <f>G18+G20+G21</f>
        <v>963.35200000000009</v>
      </c>
      <c r="H22" s="178">
        <f>H18+H20+H21</f>
        <v>1088.479</v>
      </c>
      <c r="I22" s="178">
        <f>I18+I20+I21</f>
        <v>1152.807</v>
      </c>
      <c r="J22" s="596"/>
      <c r="N22" s="597"/>
      <c r="O22" s="547"/>
      <c r="P22" s="358"/>
      <c r="Q22" s="358"/>
      <c r="R22" s="358"/>
      <c r="S22" s="358"/>
      <c r="T22" s="358"/>
      <c r="U22" s="358"/>
      <c r="V22" s="358"/>
      <c r="W22" s="358"/>
      <c r="X22" s="358"/>
      <c r="Y22" s="358"/>
      <c r="Z22" s="358"/>
      <c r="AA22" s="358"/>
      <c r="AB22" s="358"/>
      <c r="AC22" s="358"/>
    </row>
    <row r="23" spans="2:32" x14ac:dyDescent="0.3">
      <c r="B23" s="177" t="s">
        <v>519</v>
      </c>
      <c r="C23" s="603">
        <f>AVERAGE(D10:G10)</f>
        <v>776.84999999999991</v>
      </c>
      <c r="D23" s="272">
        <f>AVERAGE(H10:K10)</f>
        <v>805.42499999999995</v>
      </c>
      <c r="E23" s="178">
        <f>AVERAGE(L10:O10)</f>
        <v>865</v>
      </c>
      <c r="F23" s="37"/>
      <c r="G23" s="37"/>
      <c r="H23" s="37"/>
      <c r="I23" s="37"/>
      <c r="J23" s="596"/>
      <c r="K23" s="154" t="s">
        <v>518</v>
      </c>
      <c r="P23" s="358"/>
      <c r="Q23" s="358"/>
      <c r="R23" s="358"/>
      <c r="S23" s="358"/>
      <c r="T23" s="358"/>
      <c r="U23" s="358"/>
      <c r="V23" s="358"/>
      <c r="W23" s="358"/>
      <c r="X23" s="358"/>
      <c r="Y23" s="358"/>
      <c r="Z23" s="358"/>
      <c r="AA23" s="358"/>
      <c r="AB23" s="358"/>
      <c r="AC23" s="358"/>
    </row>
    <row r="24" spans="2:32" x14ac:dyDescent="0.3">
      <c r="B24" s="601" t="s">
        <v>1015</v>
      </c>
      <c r="C24" s="148"/>
      <c r="D24" s="264"/>
      <c r="E24" s="264"/>
      <c r="F24" s="264">
        <f>F22/E22-1</f>
        <v>8.7443087268628039E-2</v>
      </c>
      <c r="G24" s="264">
        <f>G22/F22-1+0.02</f>
        <v>0.10077738174972616</v>
      </c>
      <c r="H24" s="264">
        <v>0.1</v>
      </c>
      <c r="I24" s="264">
        <f t="shared" ref="I24:J24" si="3">I22/H22-1</f>
        <v>5.9098981238958181E-2</v>
      </c>
      <c r="J24" s="590">
        <f t="shared" si="3"/>
        <v>-1</v>
      </c>
      <c r="P24" s="154"/>
      <c r="Q24" s="154"/>
      <c r="R24" s="154"/>
      <c r="S24" s="154"/>
      <c r="T24" s="154"/>
      <c r="U24" s="154"/>
      <c r="V24" s="154"/>
      <c r="W24" s="154"/>
      <c r="X24" s="154"/>
      <c r="Y24" s="154"/>
      <c r="Z24" s="154"/>
      <c r="AA24" s="154"/>
      <c r="AB24" s="154"/>
      <c r="AC24" s="154"/>
    </row>
    <row r="25" spans="2:32" x14ac:dyDescent="0.3">
      <c r="P25" s="154"/>
      <c r="Q25" s="154"/>
      <c r="R25" s="154"/>
      <c r="S25" s="154"/>
      <c r="T25" s="154"/>
      <c r="U25" s="154"/>
      <c r="V25" s="154"/>
      <c r="W25" s="154"/>
      <c r="X25" s="154"/>
      <c r="Y25" s="154"/>
      <c r="Z25" s="154"/>
      <c r="AA25" s="154"/>
      <c r="AB25" s="154"/>
      <c r="AC25" s="154"/>
    </row>
    <row r="26" spans="2:32" x14ac:dyDescent="0.3">
      <c r="C26" s="595"/>
      <c r="D26" s="595"/>
      <c r="E26" s="595"/>
      <c r="F26" s="595"/>
      <c r="G26" s="595"/>
      <c r="H26" s="595"/>
      <c r="I26" s="595"/>
      <c r="J26" s="595"/>
      <c r="P26" s="154"/>
      <c r="Q26" s="154"/>
      <c r="R26" s="154"/>
      <c r="S26" s="154"/>
      <c r="T26" s="154"/>
      <c r="U26" s="154"/>
      <c r="V26" s="154"/>
      <c r="W26" s="154"/>
      <c r="X26" s="154"/>
      <c r="Y26" s="154"/>
      <c r="Z26" s="154"/>
      <c r="AA26" s="154"/>
      <c r="AB26" s="154"/>
      <c r="AC26" s="154"/>
    </row>
    <row r="27" spans="2:32" x14ac:dyDescent="0.3">
      <c r="K27" s="595"/>
      <c r="L27" s="595"/>
      <c r="M27" s="595"/>
      <c r="N27" s="595"/>
      <c r="P27" s="154"/>
      <c r="Q27" s="154"/>
      <c r="R27" s="154"/>
      <c r="S27" s="154"/>
      <c r="T27" s="154"/>
      <c r="U27" s="154"/>
      <c r="V27" s="154"/>
      <c r="W27" s="154"/>
      <c r="X27" s="154"/>
      <c r="Y27" s="154"/>
      <c r="Z27" s="154"/>
      <c r="AA27" s="154"/>
      <c r="AB27" s="154"/>
      <c r="AC27" s="154"/>
    </row>
    <row r="28" spans="2:32" x14ac:dyDescent="0.3">
      <c r="P28" s="154"/>
      <c r="Q28" s="154"/>
      <c r="R28" s="154"/>
      <c r="S28" s="154"/>
      <c r="T28" s="154"/>
      <c r="U28" s="154"/>
      <c r="V28" s="154"/>
      <c r="W28" s="154"/>
      <c r="X28" s="154"/>
      <c r="Y28" s="154"/>
      <c r="Z28" s="154"/>
      <c r="AA28" s="154"/>
      <c r="AB28" s="154"/>
      <c r="AC28" s="154"/>
    </row>
    <row r="29" spans="2:32" x14ac:dyDescent="0.3">
      <c r="S29" s="154"/>
      <c r="T29" s="154"/>
      <c r="U29" s="154"/>
      <c r="V29" s="154"/>
      <c r="W29" s="154"/>
      <c r="X29" s="154"/>
      <c r="Y29" s="154"/>
      <c r="Z29" s="154"/>
      <c r="AA29" s="154"/>
      <c r="AB29" s="154"/>
      <c r="AC29" s="154"/>
      <c r="AD29" s="154"/>
      <c r="AE29" s="154"/>
      <c r="AF29" s="154"/>
    </row>
    <row r="30" spans="2:32" x14ac:dyDescent="0.3">
      <c r="P30" s="154"/>
      <c r="Q30" s="154"/>
      <c r="R30" s="154"/>
      <c r="S30" s="154"/>
      <c r="T30" s="154"/>
      <c r="U30" s="154"/>
      <c r="V30" s="154"/>
      <c r="W30" s="154"/>
      <c r="X30" s="154"/>
      <c r="Y30" s="154"/>
      <c r="Z30" s="154"/>
      <c r="AA30" s="154"/>
      <c r="AB30" s="154"/>
      <c r="AC30" s="154"/>
    </row>
    <row r="31" spans="2:32" x14ac:dyDescent="0.3">
      <c r="F31" s="37"/>
      <c r="G31" s="37"/>
      <c r="P31" s="154"/>
      <c r="Q31" s="154"/>
      <c r="R31" s="154"/>
      <c r="S31" s="154"/>
      <c r="T31" s="154"/>
      <c r="U31" s="154"/>
      <c r="V31" s="154"/>
      <c r="W31" s="154"/>
      <c r="X31" s="154"/>
      <c r="Y31" s="154"/>
      <c r="Z31" s="154"/>
      <c r="AA31" s="154"/>
      <c r="AB31" s="154"/>
      <c r="AC31" s="154"/>
    </row>
    <row r="32" spans="2:32" x14ac:dyDescent="0.3">
      <c r="P32" s="154"/>
      <c r="Q32" s="154"/>
      <c r="R32" s="154"/>
      <c r="S32" s="154"/>
      <c r="T32" s="154"/>
      <c r="U32" s="154"/>
      <c r="V32" s="154"/>
      <c r="W32" s="154"/>
      <c r="X32" s="154"/>
      <c r="Y32" s="154"/>
      <c r="Z32" s="154"/>
      <c r="AA32" s="154"/>
      <c r="AB32" s="154"/>
      <c r="AC32" s="154"/>
    </row>
    <row r="33" spans="16:29" x14ac:dyDescent="0.3">
      <c r="P33" s="154"/>
      <c r="Q33" s="154"/>
      <c r="R33" s="154"/>
      <c r="S33" s="154"/>
      <c r="T33" s="154"/>
      <c r="U33" s="154"/>
      <c r="V33" s="154"/>
      <c r="W33" s="154"/>
      <c r="X33" s="154"/>
      <c r="Y33" s="154"/>
      <c r="Z33" s="154"/>
      <c r="AA33" s="154"/>
      <c r="AB33" s="154"/>
      <c r="AC33" s="154"/>
    </row>
  </sheetData>
  <mergeCells count="12">
    <mergeCell ref="B1:AC1"/>
    <mergeCell ref="B7:C9"/>
    <mergeCell ref="E8:H8"/>
    <mergeCell ref="I8:L8"/>
    <mergeCell ref="U8:X8"/>
    <mergeCell ref="Y8:AB8"/>
    <mergeCell ref="M8:P8"/>
    <mergeCell ref="B2:R4"/>
    <mergeCell ref="T2:AC4"/>
    <mergeCell ref="Q8:R8"/>
    <mergeCell ref="D7:S7"/>
    <mergeCell ref="T7:AC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7" zoomScale="73" zoomScaleNormal="143" workbookViewId="0">
      <selection activeCell="B23" sqref="B23"/>
    </sheetView>
  </sheetViews>
  <sheetFormatPr defaultColWidth="11.5546875" defaultRowHeight="14.4" x14ac:dyDescent="0.3"/>
  <cols>
    <col min="1" max="1" width="44.21875" customWidth="1"/>
    <col min="2" max="2" width="58.77734375" customWidth="1"/>
    <col min="3" max="3" width="56.44140625" customWidth="1"/>
    <col min="5" max="5" width="42.77734375" customWidth="1"/>
    <col min="6" max="6" width="21.44140625" customWidth="1"/>
  </cols>
  <sheetData>
    <row r="1" spans="1:7" ht="47.7" customHeight="1" x14ac:dyDescent="0.3">
      <c r="A1" s="25" t="s">
        <v>33</v>
      </c>
      <c r="B1" s="26" t="s">
        <v>34</v>
      </c>
      <c r="C1" s="26" t="s">
        <v>35</v>
      </c>
      <c r="D1" s="27" t="s">
        <v>36</v>
      </c>
      <c r="E1" s="15"/>
      <c r="F1" s="15"/>
    </row>
    <row r="2" spans="1:7" ht="16.5" customHeight="1" x14ac:dyDescent="0.3">
      <c r="A2" s="1118" t="s">
        <v>37</v>
      </c>
      <c r="B2" s="1119"/>
      <c r="C2" s="1119"/>
      <c r="D2" s="1120"/>
      <c r="E2" s="15"/>
      <c r="F2" s="15"/>
    </row>
    <row r="3" spans="1:7" ht="158.69999999999999" customHeight="1" x14ac:dyDescent="0.3">
      <c r="A3" s="18" t="s">
        <v>911</v>
      </c>
      <c r="B3" s="14" t="s">
        <v>912</v>
      </c>
      <c r="C3" s="14" t="s">
        <v>936</v>
      </c>
      <c r="D3" s="22" t="s">
        <v>1017</v>
      </c>
      <c r="E3" s="14"/>
      <c r="F3" s="14"/>
    </row>
    <row r="4" spans="1:7" ht="99.45" customHeight="1" x14ac:dyDescent="0.3">
      <c r="A4" s="18" t="s">
        <v>913</v>
      </c>
      <c r="B4" s="14" t="s">
        <v>38</v>
      </c>
      <c r="C4" s="14" t="s">
        <v>39</v>
      </c>
      <c r="D4" s="22" t="s">
        <v>1017</v>
      </c>
      <c r="E4" s="14"/>
      <c r="F4" s="14"/>
    </row>
    <row r="5" spans="1:7" ht="85.5" customHeight="1" x14ac:dyDescent="0.3">
      <c r="A5" s="18" t="s">
        <v>914</v>
      </c>
      <c r="B5" s="14" t="s">
        <v>40</v>
      </c>
      <c r="C5" s="14" t="s">
        <v>1016</v>
      </c>
      <c r="D5" s="22" t="s">
        <v>1017</v>
      </c>
      <c r="E5" s="14"/>
      <c r="F5" s="14"/>
    </row>
    <row r="6" spans="1:7" ht="61.5" customHeight="1" x14ac:dyDescent="0.3">
      <c r="A6" s="18" t="s">
        <v>915</v>
      </c>
      <c r="B6" s="14" t="s">
        <v>895</v>
      </c>
      <c r="C6" s="14" t="s">
        <v>896</v>
      </c>
      <c r="D6" s="22" t="s">
        <v>1017</v>
      </c>
      <c r="E6" s="14"/>
      <c r="F6" s="14"/>
    </row>
    <row r="7" spans="1:7" ht="100.2" customHeight="1" x14ac:dyDescent="0.3">
      <c r="A7" s="18" t="s">
        <v>42</v>
      </c>
      <c r="B7" s="14" t="s">
        <v>43</v>
      </c>
      <c r="C7" s="28" t="s">
        <v>44</v>
      </c>
      <c r="D7" s="22" t="s">
        <v>1017</v>
      </c>
      <c r="E7" s="16"/>
      <c r="F7" s="14"/>
      <c r="G7" s="29"/>
    </row>
    <row r="8" spans="1:7" ht="78" customHeight="1" x14ac:dyDescent="0.3">
      <c r="A8" s="18" t="s">
        <v>45</v>
      </c>
      <c r="B8" s="14" t="s">
        <v>46</v>
      </c>
      <c r="C8" s="14" t="s">
        <v>942</v>
      </c>
      <c r="D8" s="22" t="s">
        <v>1017</v>
      </c>
      <c r="E8" s="14"/>
      <c r="F8" s="14"/>
    </row>
    <row r="9" spans="1:7" ht="67.5" customHeight="1" x14ac:dyDescent="0.3">
      <c r="A9" s="18" t="s">
        <v>885</v>
      </c>
      <c r="B9" s="14" t="s">
        <v>897</v>
      </c>
      <c r="C9" s="14" t="s">
        <v>956</v>
      </c>
      <c r="D9" s="22" t="s">
        <v>1017</v>
      </c>
      <c r="E9" s="14"/>
      <c r="F9" s="14"/>
    </row>
    <row r="10" spans="1:7" ht="63.45" customHeight="1" x14ac:dyDescent="0.3">
      <c r="A10" s="18" t="s">
        <v>47</v>
      </c>
      <c r="B10" s="14" t="s">
        <v>48</v>
      </c>
      <c r="C10" s="14" t="s">
        <v>916</v>
      </c>
      <c r="D10" s="30" t="s">
        <v>1017</v>
      </c>
      <c r="E10" s="14"/>
      <c r="F10" s="14"/>
    </row>
    <row r="11" spans="1:7" ht="15" customHeight="1" x14ac:dyDescent="0.3">
      <c r="A11" s="1118" t="s">
        <v>917</v>
      </c>
      <c r="B11" s="1119"/>
      <c r="C11" s="1119"/>
      <c r="D11" s="1120"/>
      <c r="E11" s="15"/>
      <c r="F11" s="14"/>
    </row>
    <row r="12" spans="1:7" ht="29.7" customHeight="1" x14ac:dyDescent="0.3">
      <c r="A12" s="19" t="s">
        <v>9</v>
      </c>
      <c r="B12" s="1124" t="s">
        <v>919</v>
      </c>
      <c r="C12" s="1124"/>
      <c r="D12" s="24"/>
      <c r="E12" s="15"/>
      <c r="F12" s="14"/>
    </row>
    <row r="13" spans="1:7" ht="48.45" customHeight="1" x14ac:dyDescent="0.3">
      <c r="A13" s="17" t="s">
        <v>918</v>
      </c>
      <c r="B13" s="1124" t="s">
        <v>929</v>
      </c>
      <c r="C13" s="1124"/>
      <c r="D13" s="22"/>
      <c r="E13" s="15"/>
      <c r="F13" s="14"/>
    </row>
    <row r="14" spans="1:7" ht="48.45" customHeight="1" x14ac:dyDescent="0.3">
      <c r="A14" s="17" t="s">
        <v>920</v>
      </c>
      <c r="B14" s="1124" t="s">
        <v>921</v>
      </c>
      <c r="C14" s="1124"/>
      <c r="D14" s="23"/>
      <c r="E14" s="15"/>
      <c r="F14" s="14"/>
    </row>
    <row r="15" spans="1:7" x14ac:dyDescent="0.3">
      <c r="A15" s="1121" t="s">
        <v>59</v>
      </c>
      <c r="B15" s="1122"/>
      <c r="C15" s="1122"/>
      <c r="D15" s="1123"/>
      <c r="E15" s="14"/>
      <c r="F15" s="14"/>
    </row>
    <row r="16" spans="1:7" ht="36.6" customHeight="1" x14ac:dyDescent="0.3">
      <c r="A16" s="1116" t="s">
        <v>922</v>
      </c>
      <c r="B16" s="1117"/>
      <c r="C16" s="1117"/>
      <c r="D16" s="24"/>
      <c r="E16" s="14"/>
      <c r="F16" s="14"/>
    </row>
    <row r="17" spans="1:6" ht="145.5" customHeight="1" x14ac:dyDescent="0.3">
      <c r="A17" s="18" t="s">
        <v>60</v>
      </c>
      <c r="B17" s="14" t="s">
        <v>943</v>
      </c>
      <c r="C17" s="14" t="s">
        <v>950</v>
      </c>
      <c r="D17" s="22"/>
      <c r="E17" s="14"/>
      <c r="F17" s="14"/>
    </row>
    <row r="18" spans="1:6" ht="63.45" customHeight="1" x14ac:dyDescent="0.3">
      <c r="A18" s="18" t="s">
        <v>61</v>
      </c>
      <c r="B18" s="14" t="s">
        <v>944</v>
      </c>
      <c r="C18" s="14" t="s">
        <v>945</v>
      </c>
      <c r="D18" s="22"/>
      <c r="E18" s="14"/>
      <c r="F18" s="14"/>
    </row>
    <row r="19" spans="1:6" ht="63.45" customHeight="1" x14ac:dyDescent="0.3">
      <c r="A19" s="18" t="s">
        <v>946</v>
      </c>
      <c r="B19" s="14" t="s">
        <v>947</v>
      </c>
      <c r="C19" s="14" t="s">
        <v>948</v>
      </c>
      <c r="D19" s="22"/>
      <c r="E19" s="14"/>
      <c r="F19" s="14"/>
    </row>
    <row r="20" spans="1:6" ht="34.200000000000003" customHeight="1" x14ac:dyDescent="0.3">
      <c r="A20" s="1116" t="s">
        <v>892</v>
      </c>
      <c r="B20" s="1117"/>
      <c r="C20" s="1117"/>
      <c r="D20" s="23"/>
      <c r="E20" s="14"/>
      <c r="F20" s="14"/>
    </row>
    <row r="21" spans="1:6" x14ac:dyDescent="0.3">
      <c r="A21" s="1121" t="s">
        <v>62</v>
      </c>
      <c r="B21" s="1122"/>
      <c r="C21" s="1122"/>
      <c r="D21" s="1123"/>
      <c r="E21" s="14"/>
      <c r="F21" s="14"/>
    </row>
    <row r="22" spans="1:6" ht="28.95" customHeight="1" x14ac:dyDescent="0.3">
      <c r="A22" s="18" t="s">
        <v>63</v>
      </c>
      <c r="B22" s="14"/>
      <c r="C22" s="14" t="s">
        <v>64</v>
      </c>
      <c r="D22" s="24"/>
      <c r="E22" s="14"/>
      <c r="F22" s="14"/>
    </row>
    <row r="23" spans="1:6" ht="57.6" customHeight="1" x14ac:dyDescent="0.3">
      <c r="A23" s="18" t="s">
        <v>65</v>
      </c>
      <c r="B23" s="14" t="s">
        <v>66</v>
      </c>
      <c r="C23" s="14" t="s">
        <v>67</v>
      </c>
      <c r="D23" s="22"/>
      <c r="E23" s="14"/>
      <c r="F23" s="14"/>
    </row>
    <row r="24" spans="1:6" ht="28.95" customHeight="1" x14ac:dyDescent="0.3">
      <c r="A24" s="18" t="s">
        <v>68</v>
      </c>
      <c r="B24" s="14" t="s">
        <v>69</v>
      </c>
      <c r="C24" s="14" t="s">
        <v>935</v>
      </c>
      <c r="D24" s="22"/>
      <c r="E24" s="14"/>
      <c r="F24" s="14"/>
    </row>
    <row r="25" spans="1:6" ht="72" customHeight="1" x14ac:dyDescent="0.3">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52"/>
  <sheetViews>
    <sheetView topLeftCell="J1" zoomScale="90" zoomScaleNormal="90" workbookViewId="0">
      <selection activeCell="S12" sqref="S12"/>
    </sheetView>
  </sheetViews>
  <sheetFormatPr defaultColWidth="11.5546875" defaultRowHeight="14.4" x14ac:dyDescent="0.3"/>
  <cols>
    <col min="1" max="1" width="6" customWidth="1"/>
    <col min="2" max="2" width="29.44140625" customWidth="1"/>
    <col min="3" max="7" width="10.44140625" customWidth="1"/>
  </cols>
  <sheetData>
    <row r="1" spans="1:29" x14ac:dyDescent="0.3">
      <c r="B1" s="1146" t="s">
        <v>56</v>
      </c>
      <c r="C1" s="1146"/>
      <c r="D1" s="1146"/>
      <c r="E1" s="1146"/>
      <c r="F1" s="1146"/>
      <c r="G1" s="1146"/>
      <c r="H1" s="1146"/>
      <c r="I1" s="1146"/>
      <c r="J1" s="1146"/>
      <c r="K1" s="1146"/>
      <c r="L1" s="1146"/>
      <c r="M1" s="1146"/>
      <c r="N1" s="1146"/>
      <c r="O1" s="1146"/>
      <c r="P1" s="1146"/>
      <c r="Q1" s="1146"/>
      <c r="R1" s="1146"/>
      <c r="S1" s="1146"/>
      <c r="T1" s="1146"/>
      <c r="U1" s="1146"/>
      <c r="V1" s="1146"/>
      <c r="W1" s="1146"/>
      <c r="X1" s="1146"/>
      <c r="Y1" s="1146"/>
      <c r="Z1" s="1146"/>
      <c r="AA1" s="1146"/>
      <c r="AB1" s="1146"/>
      <c r="AC1" s="1146"/>
    </row>
    <row r="2" spans="1:29" ht="14.7" customHeight="1" x14ac:dyDescent="0.3">
      <c r="B2" s="1174" t="s">
        <v>520</v>
      </c>
      <c r="C2" s="1174"/>
      <c r="D2" s="1174"/>
      <c r="E2" s="1174"/>
      <c r="F2" s="1174"/>
      <c r="G2" s="1174"/>
      <c r="H2" s="1174"/>
      <c r="I2" s="1174"/>
      <c r="J2" s="1174"/>
      <c r="K2" s="1174"/>
      <c r="L2" s="1174"/>
      <c r="M2" s="1174"/>
      <c r="N2" s="1174"/>
      <c r="O2" s="1174"/>
      <c r="P2" s="1174"/>
      <c r="Q2" s="1174"/>
      <c r="R2" s="1174"/>
      <c r="S2" s="1174"/>
      <c r="T2" s="1174"/>
      <c r="U2" s="1174"/>
      <c r="V2" s="1174"/>
      <c r="W2" s="1174"/>
      <c r="X2" s="1174"/>
      <c r="Y2" s="1174"/>
      <c r="Z2" s="1174"/>
      <c r="AA2" s="1174"/>
      <c r="AB2" s="1174"/>
      <c r="AC2" s="1174"/>
    </row>
    <row r="3" spans="1:29" x14ac:dyDescent="0.3">
      <c r="B3" s="1174"/>
      <c r="C3" s="1174"/>
      <c r="D3" s="1174"/>
      <c r="E3" s="1174"/>
      <c r="F3" s="1174"/>
      <c r="G3" s="1174"/>
      <c r="H3" s="1174"/>
      <c r="I3" s="1174"/>
      <c r="J3" s="1174"/>
      <c r="K3" s="1174"/>
      <c r="L3" s="1174"/>
      <c r="M3" s="1174"/>
      <c r="N3" s="1174"/>
      <c r="O3" s="1174"/>
      <c r="P3" s="1174"/>
      <c r="Q3" s="1174"/>
      <c r="R3" s="1174"/>
      <c r="S3" s="1174"/>
      <c r="T3" s="1174"/>
      <c r="U3" s="1174"/>
      <c r="V3" s="1174"/>
      <c r="W3" s="1174"/>
      <c r="X3" s="1174"/>
      <c r="Y3" s="1174"/>
      <c r="Z3" s="1174"/>
      <c r="AA3" s="1174"/>
      <c r="AB3" s="1174"/>
      <c r="AC3" s="1174"/>
    </row>
    <row r="4" spans="1:29" x14ac:dyDescent="0.3">
      <c r="B4" s="1174"/>
      <c r="C4" s="1174"/>
      <c r="D4" s="1174"/>
      <c r="E4" s="1174"/>
      <c r="F4" s="1174"/>
      <c r="G4" s="1174"/>
      <c r="H4" s="1174"/>
      <c r="I4" s="1174"/>
      <c r="J4" s="1174"/>
      <c r="K4" s="1174"/>
      <c r="L4" s="1174"/>
      <c r="M4" s="1174"/>
      <c r="N4" s="1174"/>
      <c r="O4" s="1174"/>
      <c r="P4" s="1174"/>
      <c r="Q4" s="1174"/>
      <c r="R4" s="1174"/>
      <c r="S4" s="1174"/>
      <c r="T4" s="1174"/>
      <c r="U4" s="1174"/>
      <c r="V4" s="1174"/>
      <c r="W4" s="1174"/>
      <c r="X4" s="1174"/>
      <c r="Y4" s="1174"/>
      <c r="Z4" s="1174"/>
      <c r="AA4" s="1174"/>
      <c r="AB4" s="1174"/>
      <c r="AC4" s="1174"/>
    </row>
    <row r="5" spans="1:29" x14ac:dyDescent="0.3">
      <c r="B5" s="353"/>
      <c r="C5" s="154"/>
      <c r="D5" s="154"/>
      <c r="E5" s="154"/>
      <c r="F5" s="154"/>
      <c r="G5" s="154"/>
      <c r="H5" s="154"/>
      <c r="I5" s="154"/>
      <c r="J5" s="154"/>
      <c r="K5" s="154"/>
      <c r="L5" s="154"/>
      <c r="M5" s="154"/>
      <c r="N5" s="154"/>
      <c r="O5" s="154"/>
      <c r="P5" s="154"/>
      <c r="Q5" s="154"/>
      <c r="R5" s="154"/>
      <c r="S5" s="154"/>
      <c r="T5" s="154"/>
      <c r="U5" s="154"/>
      <c r="V5" s="154"/>
      <c r="W5" s="154"/>
      <c r="X5" s="154"/>
      <c r="Y5" s="154"/>
    </row>
    <row r="6" spans="1:29" x14ac:dyDescent="0.3">
      <c r="B6" s="1175" t="s">
        <v>465</v>
      </c>
      <c r="C6" s="1159"/>
      <c r="D6" s="1156" t="s">
        <v>325</v>
      </c>
      <c r="E6" s="1157"/>
      <c r="F6" s="1157"/>
      <c r="G6" s="1157"/>
      <c r="H6" s="1157"/>
      <c r="I6" s="1157"/>
      <c r="J6" s="1157"/>
      <c r="K6" s="1157"/>
      <c r="L6" s="1157"/>
      <c r="M6" s="1157"/>
      <c r="N6" s="1157"/>
      <c r="O6" s="1157"/>
      <c r="P6" s="1157"/>
      <c r="Q6" s="1158"/>
      <c r="R6" s="1158"/>
      <c r="S6" s="1158"/>
      <c r="T6" s="1183" t="s">
        <v>326</v>
      </c>
      <c r="U6" s="1184"/>
      <c r="V6" s="1184"/>
      <c r="W6" s="1184"/>
      <c r="X6" s="1184"/>
      <c r="Y6" s="1184"/>
      <c r="Z6" s="1184"/>
      <c r="AA6" s="1184"/>
      <c r="AB6" s="1184"/>
      <c r="AC6" s="1185"/>
    </row>
    <row r="7" spans="1:29" x14ac:dyDescent="0.3">
      <c r="B7" s="1176"/>
      <c r="C7" s="1177"/>
      <c r="D7" s="141">
        <v>2018</v>
      </c>
      <c r="E7" s="1147">
        <v>2019</v>
      </c>
      <c r="F7" s="1148"/>
      <c r="G7" s="1148"/>
      <c r="H7" s="1155"/>
      <c r="I7" s="1147">
        <v>2020</v>
      </c>
      <c r="J7" s="1148"/>
      <c r="K7" s="1148"/>
      <c r="L7" s="1148"/>
      <c r="M7" s="1147">
        <v>2021</v>
      </c>
      <c r="N7" s="1148"/>
      <c r="O7" s="1148"/>
      <c r="P7" s="1148"/>
      <c r="Q7" s="1181">
        <v>2022</v>
      </c>
      <c r="R7" s="1182"/>
      <c r="S7" s="188"/>
      <c r="T7" s="187"/>
      <c r="U7" s="1178">
        <v>2023</v>
      </c>
      <c r="V7" s="1179"/>
      <c r="W7" s="1179"/>
      <c r="X7" s="1179"/>
      <c r="Y7" s="1178">
        <v>2024</v>
      </c>
      <c r="Z7" s="1179"/>
      <c r="AA7" s="1179"/>
      <c r="AB7" s="1180"/>
      <c r="AC7" s="258">
        <v>2025</v>
      </c>
    </row>
    <row r="8" spans="1:29" x14ac:dyDescent="0.3">
      <c r="B8" s="1187"/>
      <c r="C8" s="1188"/>
      <c r="D8" s="152" t="s">
        <v>327</v>
      </c>
      <c r="E8" s="152" t="s">
        <v>328</v>
      </c>
      <c r="F8" s="151" t="s">
        <v>329</v>
      </c>
      <c r="G8" s="151" t="s">
        <v>238</v>
      </c>
      <c r="H8" s="203" t="s">
        <v>327</v>
      </c>
      <c r="I8" s="151" t="s">
        <v>328</v>
      </c>
      <c r="J8" s="151" t="s">
        <v>329</v>
      </c>
      <c r="K8" s="151" t="s">
        <v>238</v>
      </c>
      <c r="L8" s="151" t="s">
        <v>327</v>
      </c>
      <c r="M8" s="152" t="s">
        <v>328</v>
      </c>
      <c r="N8" s="151" t="s">
        <v>329</v>
      </c>
      <c r="O8" s="151" t="s">
        <v>238</v>
      </c>
      <c r="P8" s="151" t="s">
        <v>327</v>
      </c>
      <c r="Q8" s="173" t="s">
        <v>328</v>
      </c>
      <c r="R8" s="175" t="s">
        <v>329</v>
      </c>
      <c r="S8" s="175" t="s">
        <v>238</v>
      </c>
      <c r="T8" s="383" t="s">
        <v>327</v>
      </c>
      <c r="U8" s="355" t="s">
        <v>328</v>
      </c>
      <c r="V8" s="356" t="s">
        <v>329</v>
      </c>
      <c r="W8" s="356" t="s">
        <v>238</v>
      </c>
      <c r="X8" s="356" t="s">
        <v>327</v>
      </c>
      <c r="Y8" s="355" t="s">
        <v>328</v>
      </c>
      <c r="Z8" s="249" t="s">
        <v>329</v>
      </c>
      <c r="AA8" s="356" t="s">
        <v>238</v>
      </c>
      <c r="AB8" s="368" t="s">
        <v>327</v>
      </c>
      <c r="AC8" s="383" t="s">
        <v>328</v>
      </c>
    </row>
    <row r="9" spans="1:29" x14ac:dyDescent="0.3">
      <c r="B9" s="542" t="s">
        <v>56</v>
      </c>
      <c r="C9" s="437" t="s">
        <v>521</v>
      </c>
      <c r="D9" s="542"/>
      <c r="E9" s="437"/>
      <c r="F9" s="437"/>
      <c r="G9" s="437"/>
      <c r="H9" s="437"/>
      <c r="I9" s="437"/>
      <c r="J9" s="282">
        <f>'Haver Pivoted'!GU45</f>
        <v>1078.0999999999999</v>
      </c>
      <c r="K9" s="282">
        <f>'Haver Pivoted'!GV45</f>
        <v>15.6</v>
      </c>
      <c r="L9" s="282">
        <f>'Haver Pivoted'!GW45</f>
        <v>5</v>
      </c>
      <c r="M9" s="282">
        <f>'Haver Pivoted'!GX45</f>
        <v>1933.7</v>
      </c>
      <c r="N9" s="282">
        <f>'Haver Pivoted'!GY45</f>
        <v>290.10000000000002</v>
      </c>
      <c r="O9" s="282">
        <f>'Haver Pivoted'!GZ45</f>
        <v>38.9</v>
      </c>
      <c r="P9" s="282">
        <f>'Haver Pivoted'!HA45</f>
        <v>14.2</v>
      </c>
      <c r="Q9" s="282">
        <f>'Haver Pivoted'!HB45</f>
        <v>0</v>
      </c>
      <c r="R9" s="282">
        <f>'Haver Pivoted'!HC45</f>
        <v>0</v>
      </c>
      <c r="S9" s="142">
        <f>'Haver Pivoted'!HD45</f>
        <v>0</v>
      </c>
      <c r="T9" s="241"/>
      <c r="U9" s="242"/>
      <c r="V9" s="242"/>
      <c r="W9" s="242"/>
      <c r="X9" s="242"/>
      <c r="Y9" s="242"/>
      <c r="Z9" s="242"/>
      <c r="AA9" s="242"/>
      <c r="AB9" s="242"/>
      <c r="AC9" s="243"/>
    </row>
    <row r="10" spans="1:29" x14ac:dyDescent="0.3">
      <c r="B10" s="543" t="s">
        <v>214</v>
      </c>
      <c r="C10" s="257"/>
      <c r="D10" s="543"/>
      <c r="E10" s="257"/>
      <c r="F10" s="257"/>
      <c r="G10" s="257"/>
      <c r="H10" s="257"/>
      <c r="I10" s="257"/>
      <c r="J10" s="608"/>
      <c r="K10" s="608"/>
      <c r="L10" s="608"/>
      <c r="M10" s="608">
        <f t="shared" ref="M10:S10" si="0">M9-M11</f>
        <v>1348.1</v>
      </c>
      <c r="N10" s="608">
        <f t="shared" si="0"/>
        <v>290.10000000000002</v>
      </c>
      <c r="O10" s="608">
        <f t="shared" si="0"/>
        <v>38.9</v>
      </c>
      <c r="P10" s="608">
        <f t="shared" si="0"/>
        <v>14.2</v>
      </c>
      <c r="Q10" s="608">
        <f t="shared" si="0"/>
        <v>0</v>
      </c>
      <c r="R10" s="608">
        <f t="shared" si="0"/>
        <v>0</v>
      </c>
      <c r="S10" s="607">
        <f t="shared" si="0"/>
        <v>0</v>
      </c>
      <c r="T10" s="609"/>
      <c r="U10" s="610"/>
      <c r="V10" s="610"/>
      <c r="W10" s="610"/>
      <c r="X10" s="610"/>
      <c r="Y10" s="610"/>
      <c r="Z10" s="610"/>
      <c r="AA10" s="610"/>
      <c r="AB10" s="610"/>
      <c r="AC10" s="621"/>
    </row>
    <row r="11" spans="1:29" x14ac:dyDescent="0.3">
      <c r="B11" s="487" t="s">
        <v>522</v>
      </c>
      <c r="C11" s="488"/>
      <c r="D11" s="487"/>
      <c r="E11" s="488"/>
      <c r="F11" s="488"/>
      <c r="G11" s="488"/>
      <c r="H11" s="488"/>
      <c r="I11" s="488"/>
      <c r="J11" s="620">
        <f t="shared" ref="J11:L11" si="1">J9-J10</f>
        <v>1078.0999999999999</v>
      </c>
      <c r="K11" s="620">
        <f t="shared" si="1"/>
        <v>15.6</v>
      </c>
      <c r="L11" s="620">
        <f t="shared" si="1"/>
        <v>5</v>
      </c>
      <c r="M11" s="620">
        <f>SUM(C17:D17)/12*4</f>
        <v>585.6</v>
      </c>
      <c r="N11" s="620">
        <v>0</v>
      </c>
      <c r="O11" s="620">
        <v>0</v>
      </c>
      <c r="P11" s="620">
        <v>0</v>
      </c>
      <c r="Q11" s="620">
        <v>0</v>
      </c>
      <c r="R11" s="620">
        <v>0</v>
      </c>
      <c r="S11" s="620">
        <v>0</v>
      </c>
      <c r="T11" s="611"/>
      <c r="U11" s="612"/>
      <c r="V11" s="612"/>
      <c r="W11" s="612"/>
      <c r="X11" s="612"/>
      <c r="Y11" s="612"/>
      <c r="Z11" s="612"/>
      <c r="AA11" s="612"/>
      <c r="AB11" s="612"/>
      <c r="AC11" s="613"/>
    </row>
    <row r="12" spans="1:29" x14ac:dyDescent="0.3">
      <c r="B12" s="154"/>
      <c r="C12" s="154"/>
      <c r="D12" s="154"/>
      <c r="E12" s="154"/>
      <c r="F12" s="154"/>
      <c r="G12" s="154"/>
      <c r="H12" s="154"/>
      <c r="I12" s="154"/>
      <c r="J12" s="154"/>
      <c r="K12" s="154"/>
      <c r="L12" s="154"/>
      <c r="M12" s="154"/>
      <c r="N12" s="154"/>
      <c r="O12" s="154"/>
      <c r="P12" s="154"/>
      <c r="Q12" s="154"/>
      <c r="R12" s="154"/>
      <c r="S12" s="154"/>
      <c r="T12" s="154"/>
      <c r="U12" s="154"/>
      <c r="V12" s="154"/>
      <c r="W12" s="154"/>
      <c r="X12" s="154"/>
      <c r="Y12" s="154"/>
      <c r="Z12" s="37"/>
      <c r="AA12" s="37"/>
      <c r="AB12" s="37"/>
      <c r="AC12" s="37"/>
    </row>
    <row r="13" spans="1:29" x14ac:dyDescent="0.3">
      <c r="A13" s="76"/>
      <c r="B13" s="76"/>
      <c r="C13" s="76"/>
      <c r="D13" s="76"/>
      <c r="E13" s="76"/>
      <c r="F13" s="76"/>
      <c r="G13" s="76"/>
      <c r="H13" s="76"/>
      <c r="I13" s="76"/>
      <c r="J13" s="76"/>
      <c r="K13" s="76"/>
      <c r="L13" s="87"/>
      <c r="M13" s="87"/>
      <c r="N13" s="87"/>
    </row>
    <row r="14" spans="1:29" x14ac:dyDescent="0.3">
      <c r="A14" s="76"/>
      <c r="N14" s="37"/>
    </row>
    <row r="15" spans="1:29" x14ac:dyDescent="0.3">
      <c r="A15" s="108"/>
      <c r="B15" s="1241" t="s">
        <v>523</v>
      </c>
      <c r="C15" s="1165">
        <v>2021</v>
      </c>
      <c r="D15" s="1166"/>
      <c r="E15" s="1166"/>
      <c r="F15" s="1166"/>
      <c r="G15" s="49"/>
      <c r="K15" s="1243"/>
      <c r="L15" s="1243"/>
      <c r="M15" s="37"/>
      <c r="N15" s="37"/>
    </row>
    <row r="16" spans="1:29" x14ac:dyDescent="0.3">
      <c r="B16" s="1242"/>
      <c r="C16" s="616" t="s">
        <v>234</v>
      </c>
      <c r="D16" s="617" t="s">
        <v>235</v>
      </c>
      <c r="E16" s="617" t="s">
        <v>236</v>
      </c>
      <c r="F16" s="617" t="s">
        <v>237</v>
      </c>
      <c r="G16" s="225"/>
      <c r="H16" s="108"/>
      <c r="I16" s="108"/>
      <c r="J16" s="108"/>
      <c r="K16" s="108"/>
      <c r="L16" s="108"/>
      <c r="M16" s="108"/>
      <c r="N16" s="108"/>
    </row>
    <row r="17" spans="2:29" ht="16.2" customHeight="1" x14ac:dyDescent="0.3">
      <c r="B17" s="615" t="s">
        <v>524</v>
      </c>
      <c r="C17" s="618">
        <v>1660.9</v>
      </c>
      <c r="D17" s="618">
        <v>95.9</v>
      </c>
      <c r="E17" s="618">
        <v>4044.2</v>
      </c>
      <c r="F17" s="619">
        <v>688</v>
      </c>
      <c r="G17" s="614"/>
      <c r="H17" s="614"/>
      <c r="I17" s="614"/>
      <c r="J17" s="614"/>
      <c r="K17" s="614"/>
      <c r="L17" s="614"/>
      <c r="M17" s="154"/>
      <c r="N17" s="154"/>
    </row>
    <row r="18" spans="2:29" x14ac:dyDescent="0.3">
      <c r="B18" s="161" t="s">
        <v>525</v>
      </c>
      <c r="C18" s="154"/>
      <c r="D18" s="154"/>
      <c r="E18" s="154"/>
      <c r="F18" s="154"/>
      <c r="G18" s="154"/>
      <c r="H18" s="154"/>
      <c r="I18" s="154"/>
      <c r="J18" s="154"/>
      <c r="K18" s="154"/>
      <c r="L18" s="154"/>
      <c r="M18" s="154"/>
      <c r="N18" s="154"/>
    </row>
    <row r="19" spans="2:29" x14ac:dyDescent="0.3">
      <c r="B19" s="154"/>
      <c r="C19" s="154"/>
      <c r="D19" s="154"/>
      <c r="E19" s="154"/>
      <c r="F19" s="154"/>
      <c r="G19" s="154"/>
      <c r="H19" s="154"/>
      <c r="I19" s="154"/>
      <c r="J19" s="154"/>
      <c r="K19" s="154"/>
      <c r="L19" s="154"/>
      <c r="M19" s="154"/>
      <c r="N19" s="154"/>
    </row>
    <row r="20" spans="2:29" x14ac:dyDescent="0.3">
      <c r="B20" s="161"/>
      <c r="C20" s="154"/>
      <c r="D20" s="154"/>
      <c r="E20" s="154"/>
      <c r="F20" s="154"/>
      <c r="G20" s="154"/>
      <c r="H20" s="154"/>
      <c r="I20" s="154"/>
      <c r="J20" s="154"/>
      <c r="K20" s="154"/>
      <c r="L20" s="154"/>
      <c r="M20" s="154"/>
      <c r="N20" s="154"/>
    </row>
    <row r="21" spans="2:29" x14ac:dyDescent="0.3">
      <c r="B21" s="154"/>
      <c r="C21" s="154"/>
      <c r="D21" s="154"/>
      <c r="E21" s="154"/>
      <c r="F21" s="154"/>
      <c r="G21" s="154"/>
      <c r="H21" s="154"/>
      <c r="I21" s="154"/>
      <c r="J21" s="154"/>
      <c r="K21" s="154"/>
      <c r="L21" s="154"/>
      <c r="M21" s="154"/>
      <c r="N21" s="154"/>
      <c r="O21" s="154"/>
      <c r="P21" s="154"/>
      <c r="Q21" s="154"/>
      <c r="R21" s="154"/>
      <c r="S21" s="154"/>
      <c r="T21" s="154"/>
      <c r="U21" s="154"/>
      <c r="V21" s="154"/>
      <c r="W21" s="154"/>
      <c r="X21" s="154"/>
      <c r="Y21" s="154"/>
      <c r="Z21" s="37"/>
      <c r="AA21" s="37"/>
      <c r="AB21" s="37"/>
      <c r="AC21" s="37"/>
    </row>
    <row r="22" spans="2:29" x14ac:dyDescent="0.3">
      <c r="B22" s="76"/>
      <c r="C22" s="76"/>
      <c r="D22" s="76"/>
      <c r="E22" s="76"/>
      <c r="F22" s="76"/>
      <c r="G22" s="76"/>
      <c r="H22" s="76"/>
      <c r="I22" s="76"/>
      <c r="J22" s="76"/>
      <c r="K22" s="76"/>
      <c r="L22" s="87"/>
      <c r="M22" s="87"/>
      <c r="N22" s="87"/>
    </row>
    <row r="23" spans="2:29" x14ac:dyDescent="0.3">
      <c r="B23" s="154"/>
      <c r="C23" s="154"/>
      <c r="D23" s="154"/>
      <c r="E23" s="154"/>
      <c r="F23" s="154"/>
      <c r="G23" s="154"/>
      <c r="H23" s="154"/>
      <c r="I23" s="154"/>
      <c r="J23" s="154"/>
      <c r="K23" s="154"/>
      <c r="L23" s="154"/>
      <c r="M23" s="154"/>
      <c r="N23" s="154"/>
      <c r="O23" s="154"/>
      <c r="P23" s="154"/>
      <c r="Q23" s="154"/>
      <c r="R23" s="154"/>
      <c r="S23" s="154"/>
      <c r="T23" s="154"/>
      <c r="U23" s="154"/>
      <c r="V23" s="154"/>
      <c r="W23" s="154"/>
      <c r="X23" s="154"/>
      <c r="Y23" s="154"/>
    </row>
    <row r="24" spans="2:29" x14ac:dyDescent="0.3">
      <c r="B24" s="154"/>
      <c r="C24" s="154"/>
      <c r="D24" s="154"/>
      <c r="E24" s="154"/>
      <c r="F24" s="154"/>
      <c r="G24" s="154"/>
      <c r="H24" s="154"/>
      <c r="I24" s="154"/>
      <c r="J24" s="154"/>
      <c r="K24" s="154"/>
      <c r="L24" s="154"/>
      <c r="M24" s="154"/>
      <c r="N24" s="154"/>
      <c r="O24" s="154"/>
      <c r="P24" s="154"/>
      <c r="Q24" s="154"/>
      <c r="R24" s="154"/>
      <c r="S24" s="154"/>
      <c r="T24" s="154"/>
      <c r="U24" s="154"/>
      <c r="V24" s="154"/>
      <c r="W24" s="154"/>
      <c r="X24" s="154"/>
      <c r="Y24" s="154"/>
    </row>
    <row r="25" spans="2:29" x14ac:dyDescent="0.3">
      <c r="B25" s="154"/>
      <c r="C25" s="154"/>
      <c r="D25" s="154"/>
      <c r="E25" s="154"/>
      <c r="F25" s="154"/>
      <c r="G25" s="154"/>
      <c r="H25" s="154"/>
      <c r="I25" s="154"/>
      <c r="J25" s="154"/>
      <c r="K25" s="154"/>
      <c r="L25" s="154"/>
      <c r="M25" s="154"/>
      <c r="N25" s="154"/>
      <c r="O25" s="154"/>
      <c r="P25" s="154"/>
      <c r="Q25" s="154"/>
      <c r="R25" s="154"/>
      <c r="S25" s="154"/>
      <c r="T25" s="154"/>
      <c r="U25" s="154"/>
      <c r="V25" s="154"/>
      <c r="W25" s="154"/>
      <c r="X25" s="154"/>
      <c r="Y25" s="154"/>
    </row>
    <row r="26" spans="2:29" x14ac:dyDescent="0.3">
      <c r="B26" s="154"/>
      <c r="C26" s="154"/>
      <c r="D26" s="154"/>
      <c r="E26" s="154"/>
      <c r="F26" s="154"/>
      <c r="G26" s="154"/>
      <c r="H26" s="154"/>
      <c r="I26" s="154"/>
      <c r="J26" s="154"/>
      <c r="K26" s="154"/>
      <c r="L26" s="154"/>
      <c r="M26" s="154"/>
      <c r="N26" s="154"/>
      <c r="O26" s="154"/>
      <c r="P26" s="154"/>
      <c r="Q26" s="154"/>
      <c r="R26" s="154"/>
      <c r="S26" s="154"/>
      <c r="T26" s="154"/>
      <c r="U26" s="154"/>
      <c r="V26" s="154"/>
      <c r="W26" s="154"/>
      <c r="X26" s="154"/>
      <c r="Y26" s="154"/>
    </row>
    <row r="27" spans="2:29" x14ac:dyDescent="0.3">
      <c r="B27" s="154"/>
      <c r="C27" s="154"/>
      <c r="D27" s="154"/>
      <c r="E27" s="154"/>
      <c r="F27" s="154"/>
      <c r="G27" s="154"/>
      <c r="H27" s="154"/>
      <c r="I27" s="154"/>
      <c r="J27" s="154"/>
      <c r="K27" s="154"/>
      <c r="L27" s="154"/>
      <c r="M27" s="154"/>
      <c r="N27" s="154"/>
      <c r="O27" s="154"/>
      <c r="P27" s="154"/>
      <c r="Q27" s="154"/>
      <c r="R27" s="154"/>
      <c r="S27" s="154"/>
      <c r="T27" s="154"/>
      <c r="U27" s="154"/>
      <c r="V27" s="154"/>
      <c r="W27" s="154"/>
      <c r="X27" s="154"/>
      <c r="Y27" s="154"/>
    </row>
    <row r="28" spans="2:29" x14ac:dyDescent="0.3">
      <c r="B28" s="154"/>
      <c r="C28" s="154"/>
      <c r="D28" s="154"/>
      <c r="E28" s="154"/>
      <c r="F28" s="154"/>
      <c r="G28" s="154"/>
      <c r="H28" s="154"/>
      <c r="I28" s="154"/>
      <c r="J28" s="154"/>
      <c r="K28" s="154"/>
      <c r="L28" s="154"/>
      <c r="M28" s="154"/>
      <c r="N28" s="154"/>
      <c r="O28" s="154"/>
      <c r="P28" s="154"/>
      <c r="Q28" s="154"/>
      <c r="R28" s="154"/>
      <c r="S28" s="154"/>
      <c r="T28" s="154"/>
      <c r="U28" s="154"/>
      <c r="V28" s="154"/>
      <c r="W28" s="154"/>
      <c r="X28" s="154"/>
      <c r="Y28" s="154"/>
    </row>
    <row r="29" spans="2:29" x14ac:dyDescent="0.3">
      <c r="B29" s="154"/>
      <c r="C29" s="154"/>
      <c r="D29" s="154"/>
      <c r="E29" s="154"/>
      <c r="F29" s="154"/>
      <c r="G29" s="154"/>
      <c r="H29" s="154"/>
      <c r="I29" s="154"/>
      <c r="J29" s="154"/>
      <c r="K29" s="154"/>
      <c r="L29" s="154"/>
      <c r="M29" s="154"/>
      <c r="N29" s="154"/>
      <c r="O29" s="154"/>
      <c r="P29" s="154"/>
      <c r="Q29" s="154"/>
      <c r="R29" s="154"/>
      <c r="S29" s="154"/>
      <c r="T29" s="154"/>
      <c r="U29" s="154"/>
      <c r="V29" s="154"/>
      <c r="W29" s="154"/>
      <c r="X29" s="154"/>
      <c r="Y29" s="154"/>
    </row>
    <row r="30" spans="2:29" x14ac:dyDescent="0.3">
      <c r="B30" s="154"/>
      <c r="C30" s="154"/>
      <c r="D30" s="154"/>
      <c r="E30" s="154"/>
      <c r="F30" s="154"/>
      <c r="G30" s="154"/>
      <c r="H30" s="154"/>
      <c r="I30" s="154"/>
      <c r="J30" s="154"/>
      <c r="K30" s="154"/>
      <c r="L30" s="154"/>
      <c r="M30" s="154"/>
      <c r="N30" s="154"/>
      <c r="O30" s="154"/>
      <c r="P30" s="154"/>
      <c r="Q30" s="154"/>
      <c r="R30" s="154"/>
      <c r="S30" s="154"/>
      <c r="T30" s="154"/>
      <c r="U30" s="154"/>
      <c r="V30" s="154"/>
      <c r="W30" s="154"/>
      <c r="X30" s="154"/>
      <c r="Y30" s="154"/>
    </row>
    <row r="31" spans="2:29" x14ac:dyDescent="0.3">
      <c r="B31" s="154"/>
      <c r="C31" s="154"/>
      <c r="D31" s="154"/>
      <c r="E31" s="154"/>
      <c r="F31" s="154"/>
      <c r="G31" s="154"/>
      <c r="H31" s="154"/>
      <c r="I31" s="154"/>
      <c r="J31" s="154"/>
      <c r="K31" s="154"/>
      <c r="L31" s="154"/>
      <c r="M31" s="154"/>
      <c r="N31" s="154"/>
      <c r="O31" s="154"/>
      <c r="P31" s="154"/>
      <c r="Q31" s="154"/>
      <c r="R31" s="154"/>
      <c r="S31" s="154"/>
      <c r="T31" s="154"/>
      <c r="U31" s="154"/>
      <c r="V31" s="154"/>
      <c r="W31" s="154"/>
      <c r="X31" s="154"/>
      <c r="Y31" s="154"/>
    </row>
    <row r="32" spans="2:29" x14ac:dyDescent="0.3">
      <c r="B32" s="154"/>
      <c r="C32" s="154"/>
      <c r="D32" s="154"/>
      <c r="E32" s="154"/>
      <c r="F32" s="154"/>
      <c r="G32" s="154"/>
      <c r="H32" s="154"/>
      <c r="I32" s="154"/>
      <c r="J32" s="154"/>
      <c r="K32" s="154"/>
      <c r="L32" s="154"/>
      <c r="M32" s="154"/>
      <c r="N32" s="154"/>
      <c r="O32" s="154"/>
      <c r="P32" s="154"/>
      <c r="Q32" s="154"/>
      <c r="R32" s="154"/>
      <c r="S32" s="154"/>
      <c r="T32" s="154"/>
      <c r="U32" s="154"/>
      <c r="V32" s="154"/>
      <c r="W32" s="154"/>
      <c r="X32" s="154"/>
      <c r="Y32" s="154"/>
    </row>
    <row r="33" spans="2:25" x14ac:dyDescent="0.3">
      <c r="B33" s="154"/>
      <c r="C33" s="154"/>
      <c r="D33" s="154"/>
      <c r="E33" s="154"/>
      <c r="F33" s="154"/>
      <c r="G33" s="154"/>
      <c r="H33" s="154"/>
      <c r="I33" s="154"/>
      <c r="J33" s="154"/>
      <c r="K33" s="154"/>
      <c r="L33" s="154"/>
      <c r="M33" s="154"/>
      <c r="N33" s="154"/>
      <c r="O33" s="154"/>
      <c r="P33" s="154"/>
      <c r="Q33" s="154"/>
      <c r="R33" s="154"/>
      <c r="S33" s="154"/>
      <c r="T33" s="154"/>
      <c r="U33" s="154"/>
      <c r="V33" s="154"/>
      <c r="W33" s="154"/>
      <c r="X33" s="154"/>
      <c r="Y33" s="154"/>
    </row>
    <row r="34" spans="2:25" x14ac:dyDescent="0.3">
      <c r="B34" s="154"/>
      <c r="C34" s="154"/>
      <c r="D34" s="154"/>
      <c r="E34" s="154"/>
      <c r="F34" s="154"/>
      <c r="G34" s="154"/>
      <c r="H34" s="154"/>
      <c r="I34" s="154"/>
      <c r="J34" s="154"/>
      <c r="K34" s="154"/>
      <c r="L34" s="154"/>
      <c r="M34" s="154"/>
      <c r="N34" s="154"/>
      <c r="O34" s="154"/>
      <c r="P34" s="154"/>
      <c r="Q34" s="154"/>
      <c r="R34" s="154"/>
      <c r="S34" s="154"/>
      <c r="T34" s="154"/>
      <c r="U34" s="154"/>
      <c r="V34" s="154"/>
      <c r="W34" s="154"/>
      <c r="X34" s="154"/>
      <c r="Y34" s="154"/>
    </row>
    <row r="35" spans="2:25" x14ac:dyDescent="0.3">
      <c r="B35" s="154"/>
      <c r="C35" s="154"/>
      <c r="D35" s="154"/>
      <c r="E35" s="154"/>
      <c r="F35" s="154"/>
      <c r="G35" s="154"/>
      <c r="H35" s="154"/>
      <c r="I35" s="154"/>
      <c r="J35" s="154"/>
      <c r="K35" s="154"/>
      <c r="L35" s="154"/>
      <c r="M35" s="154"/>
      <c r="N35" s="154"/>
      <c r="O35" s="154"/>
      <c r="P35" s="154"/>
      <c r="Q35" s="154"/>
      <c r="R35" s="154"/>
      <c r="S35" s="154"/>
      <c r="T35" s="154"/>
      <c r="U35" s="154"/>
      <c r="V35" s="154"/>
      <c r="W35" s="154"/>
      <c r="X35" s="154"/>
      <c r="Y35" s="154"/>
    </row>
    <row r="36" spans="2:25" x14ac:dyDescent="0.3">
      <c r="B36" s="154"/>
      <c r="C36" s="154"/>
      <c r="D36" s="154"/>
      <c r="E36" s="154"/>
      <c r="F36" s="154"/>
      <c r="G36" s="154"/>
      <c r="H36" s="154"/>
      <c r="I36" s="154"/>
      <c r="J36" s="154"/>
      <c r="K36" s="154"/>
      <c r="L36" s="154"/>
      <c r="M36" s="154"/>
      <c r="N36" s="154"/>
      <c r="O36" s="154"/>
      <c r="P36" s="154"/>
      <c r="Q36" s="154"/>
      <c r="R36" s="154"/>
      <c r="S36" s="154"/>
      <c r="T36" s="154"/>
      <c r="U36" s="154"/>
      <c r="V36" s="154"/>
      <c r="W36" s="154"/>
      <c r="X36" s="154"/>
      <c r="Y36" s="154"/>
    </row>
    <row r="37" spans="2:25" x14ac:dyDescent="0.3">
      <c r="B37" s="154"/>
      <c r="C37" s="154"/>
      <c r="D37" s="154"/>
      <c r="E37" s="154"/>
      <c r="F37" s="154"/>
      <c r="G37" s="154"/>
      <c r="H37" s="154"/>
      <c r="I37" s="154"/>
      <c r="J37" s="154"/>
      <c r="K37" s="154"/>
      <c r="L37" s="154"/>
      <c r="M37" s="154"/>
      <c r="N37" s="154"/>
      <c r="O37" s="154"/>
      <c r="P37" s="154"/>
      <c r="Q37" s="154"/>
      <c r="R37" s="154"/>
      <c r="S37" s="154"/>
      <c r="T37" s="154"/>
      <c r="U37" s="154"/>
      <c r="V37" s="154"/>
      <c r="W37" s="154"/>
      <c r="X37" s="154"/>
      <c r="Y37" s="154"/>
    </row>
    <row r="38" spans="2:25" x14ac:dyDescent="0.3">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row>
    <row r="39" spans="2:25" x14ac:dyDescent="0.3">
      <c r="B39" s="154"/>
      <c r="C39" s="154"/>
      <c r="D39" s="154"/>
      <c r="E39" s="154"/>
      <c r="F39" s="154"/>
      <c r="G39" s="154"/>
      <c r="H39" s="154"/>
      <c r="I39" s="154"/>
      <c r="J39" s="154"/>
      <c r="K39" s="154"/>
      <c r="L39" s="154"/>
      <c r="M39" s="154"/>
      <c r="N39" s="154"/>
      <c r="O39" s="154"/>
      <c r="P39" s="154"/>
      <c r="Q39" s="154"/>
      <c r="R39" s="154"/>
      <c r="S39" s="154"/>
      <c r="T39" s="154"/>
      <c r="U39" s="154"/>
      <c r="V39" s="154"/>
      <c r="W39" s="154"/>
      <c r="X39" s="154"/>
      <c r="Y39" s="154"/>
    </row>
    <row r="40" spans="2:25" x14ac:dyDescent="0.3">
      <c r="B40" s="154"/>
      <c r="C40" s="154"/>
      <c r="D40" s="154"/>
      <c r="E40" s="154"/>
      <c r="F40" s="154"/>
      <c r="G40" s="154"/>
      <c r="H40" s="154"/>
      <c r="I40" s="154"/>
      <c r="J40" s="154"/>
      <c r="K40" s="154"/>
      <c r="L40" s="154"/>
      <c r="M40" s="154"/>
      <c r="N40" s="154"/>
      <c r="O40" s="154"/>
      <c r="P40" s="154"/>
      <c r="Q40" s="154"/>
      <c r="R40" s="154"/>
      <c r="S40" s="154"/>
      <c r="T40" s="154"/>
      <c r="U40" s="154"/>
      <c r="V40" s="154"/>
      <c r="W40" s="154"/>
      <c r="X40" s="154"/>
      <c r="Y40" s="154"/>
    </row>
    <row r="41" spans="2:25" x14ac:dyDescent="0.3">
      <c r="B41" s="154"/>
      <c r="C41" s="154"/>
      <c r="D41" s="154"/>
      <c r="E41" s="154"/>
      <c r="F41" s="154"/>
      <c r="G41" s="154"/>
      <c r="H41" s="154"/>
      <c r="I41" s="154"/>
      <c r="J41" s="154"/>
      <c r="K41" s="154"/>
      <c r="L41" s="154"/>
      <c r="M41" s="154"/>
      <c r="N41" s="154"/>
      <c r="O41" s="154"/>
      <c r="P41" s="154"/>
      <c r="Q41" s="154"/>
      <c r="R41" s="154"/>
      <c r="S41" s="154"/>
      <c r="T41" s="154"/>
      <c r="U41" s="154"/>
      <c r="V41" s="154"/>
      <c r="W41" s="154"/>
      <c r="X41" s="154"/>
      <c r="Y41" s="154"/>
    </row>
    <row r="42" spans="2:25" x14ac:dyDescent="0.3">
      <c r="B42" s="154"/>
      <c r="C42" s="154"/>
      <c r="D42" s="154"/>
      <c r="E42" s="154"/>
      <c r="F42" s="154"/>
      <c r="G42" s="154"/>
      <c r="H42" s="154"/>
      <c r="I42" s="154"/>
      <c r="J42" s="154"/>
      <c r="K42" s="154"/>
      <c r="L42" s="154"/>
      <c r="M42" s="154"/>
      <c r="N42" s="154"/>
      <c r="O42" s="154"/>
      <c r="P42" s="154"/>
      <c r="Q42" s="154"/>
      <c r="R42" s="154"/>
      <c r="S42" s="154"/>
      <c r="T42" s="154"/>
      <c r="U42" s="154"/>
      <c r="V42" s="154"/>
      <c r="W42" s="154"/>
      <c r="X42" s="154"/>
      <c r="Y42" s="154"/>
    </row>
    <row r="43" spans="2:25" x14ac:dyDescent="0.3">
      <c r="B43" s="154"/>
      <c r="C43" s="154"/>
      <c r="D43" s="154"/>
      <c r="E43" s="154"/>
      <c r="F43" s="154"/>
      <c r="G43" s="154"/>
      <c r="H43" s="154"/>
      <c r="I43" s="154"/>
      <c r="J43" s="154"/>
      <c r="K43" s="154"/>
      <c r="L43" s="154"/>
      <c r="M43" s="154"/>
      <c r="N43" s="154"/>
      <c r="O43" s="154"/>
      <c r="P43" s="154"/>
      <c r="Q43" s="154"/>
      <c r="R43" s="154"/>
      <c r="S43" s="154"/>
      <c r="T43" s="154"/>
      <c r="U43" s="154"/>
      <c r="V43" s="154"/>
      <c r="W43" s="154"/>
      <c r="X43" s="154"/>
      <c r="Y43" s="154"/>
    </row>
    <row r="44" spans="2:25" x14ac:dyDescent="0.3">
      <c r="B44" s="154"/>
      <c r="C44" s="154"/>
      <c r="D44" s="154"/>
      <c r="E44" s="154"/>
      <c r="F44" s="154"/>
      <c r="G44" s="154"/>
      <c r="H44" s="154"/>
      <c r="I44" s="154"/>
      <c r="J44" s="154"/>
      <c r="K44" s="154"/>
      <c r="L44" s="154"/>
      <c r="M44" s="154"/>
      <c r="N44" s="154"/>
      <c r="O44" s="154"/>
      <c r="P44" s="154"/>
      <c r="Q44" s="154"/>
      <c r="R44" s="154"/>
      <c r="S44" s="154"/>
      <c r="T44" s="154"/>
      <c r="U44" s="154"/>
      <c r="V44" s="154"/>
      <c r="W44" s="154"/>
      <c r="X44" s="154"/>
      <c r="Y44" s="154"/>
    </row>
    <row r="45" spans="2:25" x14ac:dyDescent="0.3">
      <c r="B45" s="154"/>
      <c r="C45" s="154"/>
      <c r="D45" s="154"/>
      <c r="E45" s="154"/>
      <c r="F45" s="154"/>
      <c r="G45" s="154"/>
      <c r="H45" s="154"/>
      <c r="I45" s="154"/>
      <c r="J45" s="154"/>
      <c r="K45" s="154"/>
      <c r="L45" s="154"/>
      <c r="M45" s="154"/>
      <c r="N45" s="154"/>
      <c r="O45" s="154"/>
      <c r="P45" s="154"/>
      <c r="Q45" s="154"/>
      <c r="R45" s="154"/>
      <c r="S45" s="154"/>
      <c r="T45" s="154"/>
      <c r="U45" s="154"/>
      <c r="V45" s="154"/>
      <c r="W45" s="154"/>
      <c r="X45" s="154"/>
      <c r="Y45" s="154"/>
    </row>
    <row r="46" spans="2:25" x14ac:dyDescent="0.3">
      <c r="B46" s="154"/>
      <c r="C46" s="154"/>
      <c r="D46" s="154"/>
      <c r="E46" s="154"/>
      <c r="F46" s="154"/>
      <c r="G46" s="154"/>
      <c r="H46" s="154"/>
      <c r="I46" s="154"/>
      <c r="J46" s="154"/>
      <c r="K46" s="154"/>
      <c r="L46" s="154"/>
      <c r="M46" s="154"/>
      <c r="N46" s="154"/>
      <c r="O46" s="154"/>
      <c r="P46" s="154"/>
      <c r="Q46" s="154"/>
      <c r="R46" s="154"/>
      <c r="S46" s="154"/>
      <c r="T46" s="154"/>
      <c r="U46" s="154"/>
      <c r="V46" s="154"/>
      <c r="W46" s="154"/>
      <c r="X46" s="154"/>
      <c r="Y46" s="154"/>
    </row>
    <row r="47" spans="2:25" x14ac:dyDescent="0.3">
      <c r="B47" s="154"/>
      <c r="C47" s="154"/>
      <c r="D47" s="154"/>
      <c r="E47" s="154"/>
      <c r="F47" s="154"/>
      <c r="G47" s="154"/>
      <c r="H47" s="154"/>
      <c r="I47" s="154"/>
      <c r="J47" s="154"/>
      <c r="K47" s="154"/>
      <c r="L47" s="154"/>
      <c r="M47" s="154"/>
      <c r="N47" s="154"/>
      <c r="O47" s="154"/>
      <c r="P47" s="154"/>
      <c r="Q47" s="154"/>
      <c r="R47" s="154"/>
      <c r="S47" s="154"/>
      <c r="T47" s="154"/>
      <c r="U47" s="154"/>
      <c r="V47" s="154"/>
      <c r="W47" s="154"/>
      <c r="X47" s="154"/>
      <c r="Y47" s="154"/>
    </row>
    <row r="48" spans="2:25" x14ac:dyDescent="0.3">
      <c r="B48" s="154"/>
      <c r="C48" s="154"/>
      <c r="D48" s="154"/>
      <c r="E48" s="154"/>
      <c r="F48" s="154"/>
      <c r="G48" s="154"/>
      <c r="H48" s="154"/>
      <c r="I48" s="154"/>
      <c r="J48" s="154"/>
      <c r="K48" s="154"/>
      <c r="L48" s="154"/>
      <c r="M48" s="154"/>
      <c r="N48" s="154"/>
      <c r="O48" s="154"/>
      <c r="P48" s="154"/>
      <c r="Q48" s="154"/>
      <c r="R48" s="154"/>
      <c r="S48" s="154"/>
      <c r="T48" s="154"/>
      <c r="U48" s="154"/>
      <c r="V48" s="154"/>
      <c r="W48" s="154"/>
      <c r="X48" s="154"/>
      <c r="Y48" s="154"/>
    </row>
    <row r="49" spans="2:25" x14ac:dyDescent="0.3">
      <c r="B49" s="154"/>
      <c r="C49" s="154"/>
      <c r="D49" s="154"/>
      <c r="E49" s="154"/>
      <c r="F49" s="154"/>
      <c r="G49" s="154"/>
      <c r="H49" s="154"/>
      <c r="I49" s="154"/>
      <c r="J49" s="154"/>
      <c r="K49" s="154"/>
      <c r="L49" s="154"/>
      <c r="M49" s="154"/>
      <c r="N49" s="154"/>
      <c r="O49" s="154"/>
      <c r="P49" s="154"/>
      <c r="Q49" s="154"/>
      <c r="R49" s="154"/>
      <c r="S49" s="154"/>
      <c r="T49" s="154"/>
      <c r="U49" s="154"/>
      <c r="V49" s="154"/>
      <c r="W49" s="154"/>
      <c r="X49" s="154"/>
      <c r="Y49" s="154"/>
    </row>
    <row r="50" spans="2:25" x14ac:dyDescent="0.3">
      <c r="B50" s="154"/>
      <c r="C50" s="154"/>
      <c r="D50" s="154"/>
      <c r="E50" s="154"/>
      <c r="F50" s="154"/>
      <c r="G50" s="154"/>
      <c r="H50" s="154"/>
      <c r="I50" s="154"/>
      <c r="J50" s="154"/>
      <c r="K50" s="154"/>
      <c r="L50" s="154"/>
      <c r="M50" s="154"/>
      <c r="N50" s="154"/>
      <c r="O50" s="154"/>
      <c r="P50" s="154"/>
      <c r="Q50" s="154"/>
      <c r="R50" s="154"/>
      <c r="S50" s="154"/>
      <c r="T50" s="154"/>
      <c r="U50" s="154"/>
      <c r="V50" s="154"/>
      <c r="W50" s="154"/>
      <c r="X50" s="154"/>
      <c r="Y50" s="154"/>
    </row>
    <row r="51" spans="2:25" x14ac:dyDescent="0.3">
      <c r="B51" s="154"/>
      <c r="C51" s="154"/>
      <c r="D51" s="154"/>
      <c r="E51" s="154"/>
      <c r="F51" s="154"/>
      <c r="G51" s="154"/>
      <c r="H51" s="154"/>
      <c r="I51" s="154"/>
      <c r="J51" s="154"/>
      <c r="K51" s="154"/>
      <c r="L51" s="154"/>
      <c r="M51" s="154"/>
      <c r="N51" s="154"/>
      <c r="O51" s="154"/>
      <c r="P51" s="154"/>
      <c r="Q51" s="154"/>
      <c r="R51" s="154"/>
      <c r="S51" s="154"/>
      <c r="T51" s="154"/>
      <c r="U51" s="154"/>
      <c r="V51" s="154"/>
      <c r="W51" s="154"/>
      <c r="X51" s="154"/>
      <c r="Y51" s="154"/>
    </row>
    <row r="52" spans="2:25" x14ac:dyDescent="0.3">
      <c r="B52" s="154"/>
      <c r="C52" s="154"/>
      <c r="D52" s="154"/>
      <c r="E52" s="154"/>
      <c r="F52" s="154"/>
      <c r="G52" s="154"/>
      <c r="H52" s="154"/>
      <c r="I52" s="154"/>
      <c r="J52" s="154"/>
      <c r="K52" s="154"/>
      <c r="L52" s="154"/>
      <c r="M52" s="154"/>
      <c r="N52" s="154"/>
      <c r="O52" s="154"/>
      <c r="P52" s="154"/>
      <c r="Q52" s="154"/>
      <c r="R52" s="154"/>
      <c r="S52" s="154"/>
      <c r="T52" s="154"/>
      <c r="U52" s="154"/>
      <c r="V52" s="154"/>
      <c r="W52" s="154"/>
      <c r="X52" s="154"/>
      <c r="Y52" s="154"/>
    </row>
  </sheetData>
  <mergeCells count="14">
    <mergeCell ref="B1:AC1"/>
    <mergeCell ref="B2:AC4"/>
    <mergeCell ref="B6:C8"/>
    <mergeCell ref="I7:L7"/>
    <mergeCell ref="U7:X7"/>
    <mergeCell ref="E7:H7"/>
    <mergeCell ref="T6:AC6"/>
    <mergeCell ref="D6:S6"/>
    <mergeCell ref="B15:B16"/>
    <mergeCell ref="K15:L15"/>
    <mergeCell ref="C15:F15"/>
    <mergeCell ref="Y7:AB7"/>
    <mergeCell ref="M7:P7"/>
    <mergeCell ref="Q7:R7"/>
  </mergeCells>
  <hyperlinks>
    <hyperlink ref="B18" r:id="rId1" xr:uid="{00000000-0004-0000-1300-000000000000}"/>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FF00"/>
  </sheetPr>
  <dimension ref="B1:AF19"/>
  <sheetViews>
    <sheetView tabSelected="1" topLeftCell="I1" workbookViewId="0">
      <selection activeCell="V12" sqref="V12"/>
    </sheetView>
  </sheetViews>
  <sheetFormatPr defaultColWidth="11.5546875" defaultRowHeight="14.4" x14ac:dyDescent="0.3"/>
  <sheetData>
    <row r="1" spans="2:32" x14ac:dyDescent="0.3">
      <c r="B1" s="1146" t="s">
        <v>1481</v>
      </c>
      <c r="C1" s="1146"/>
      <c r="D1" s="1146"/>
      <c r="E1" s="1146"/>
      <c r="F1" s="1146"/>
      <c r="G1" s="1146"/>
      <c r="H1" s="1146"/>
      <c r="I1" s="1146"/>
      <c r="J1" s="1146"/>
      <c r="K1" s="1146"/>
      <c r="L1" s="1146"/>
      <c r="M1" s="1146"/>
      <c r="N1" s="1146"/>
      <c r="O1" s="1146"/>
      <c r="P1" s="1146"/>
      <c r="Q1" s="1146"/>
      <c r="R1" s="1146"/>
      <c r="S1" s="1146"/>
      <c r="T1" s="1146"/>
      <c r="U1" s="1146"/>
      <c r="V1" s="1146"/>
      <c r="W1" s="1146"/>
      <c r="X1" s="1146"/>
      <c r="Y1" s="1146"/>
      <c r="Z1" s="1146"/>
      <c r="AA1" s="1146"/>
      <c r="AB1" s="1146"/>
      <c r="AC1" s="1146"/>
    </row>
    <row r="2" spans="2:32" x14ac:dyDescent="0.3">
      <c r="B2" s="1174" t="s">
        <v>1484</v>
      </c>
      <c r="C2" s="1174"/>
      <c r="D2" s="1174"/>
      <c r="E2" s="1174"/>
      <c r="F2" s="1174"/>
      <c r="G2" s="1174"/>
      <c r="H2" s="1174"/>
      <c r="I2" s="1174"/>
      <c r="J2" s="1174"/>
      <c r="K2" s="1174"/>
      <c r="L2" s="1174"/>
      <c r="M2" s="1174"/>
      <c r="N2" s="1174"/>
      <c r="O2" s="1174"/>
      <c r="P2" s="1174"/>
      <c r="Q2" s="1174"/>
      <c r="R2" s="1174"/>
      <c r="S2" s="1174"/>
      <c r="T2" s="1174"/>
      <c r="U2" s="1174"/>
      <c r="V2" s="1174"/>
      <c r="W2" s="1174"/>
      <c r="X2" s="1174"/>
      <c r="Y2" s="1174"/>
      <c r="Z2" s="1174"/>
      <c r="AA2" s="1174"/>
      <c r="AB2" s="1174"/>
      <c r="AC2" s="1174"/>
    </row>
    <row r="3" spans="2:32" x14ac:dyDescent="0.3">
      <c r="B3" s="1174"/>
      <c r="C3" s="1174"/>
      <c r="D3" s="1174"/>
      <c r="E3" s="1174"/>
      <c r="F3" s="1174"/>
      <c r="G3" s="1174"/>
      <c r="H3" s="1174"/>
      <c r="I3" s="1174"/>
      <c r="J3" s="1174"/>
      <c r="K3" s="1174"/>
      <c r="L3" s="1174"/>
      <c r="M3" s="1174"/>
      <c r="N3" s="1174"/>
      <c r="O3" s="1174"/>
      <c r="P3" s="1174"/>
      <c r="Q3" s="1174"/>
      <c r="R3" s="1174"/>
      <c r="S3" s="1174"/>
      <c r="T3" s="1174"/>
      <c r="U3" s="1174"/>
      <c r="V3" s="1174"/>
      <c r="W3" s="1174"/>
      <c r="X3" s="1174"/>
      <c r="Y3" s="1174"/>
      <c r="Z3" s="1174"/>
      <c r="AA3" s="1174"/>
      <c r="AB3" s="1174"/>
      <c r="AC3" s="1174"/>
    </row>
    <row r="4" spans="2:32" x14ac:dyDescent="0.3">
      <c r="B4" s="1174"/>
      <c r="C4" s="1174"/>
      <c r="D4" s="1174"/>
      <c r="E4" s="1174"/>
      <c r="F4" s="1174"/>
      <c r="G4" s="1174"/>
      <c r="H4" s="1174"/>
      <c r="I4" s="1174"/>
      <c r="J4" s="1174"/>
      <c r="K4" s="1174"/>
      <c r="L4" s="1174"/>
      <c r="M4" s="1174"/>
      <c r="N4" s="1174"/>
      <c r="O4" s="1174"/>
      <c r="P4" s="1174"/>
      <c r="Q4" s="1174"/>
      <c r="R4" s="1174"/>
      <c r="S4" s="1174"/>
      <c r="T4" s="1174"/>
      <c r="U4" s="1174"/>
      <c r="V4" s="1174"/>
      <c r="W4" s="1174"/>
      <c r="X4" s="1174"/>
      <c r="Y4" s="1174"/>
      <c r="Z4" s="1174"/>
      <c r="AA4" s="1174"/>
      <c r="AB4" s="1174"/>
      <c r="AC4" s="1174"/>
    </row>
    <row r="5" spans="2:32" x14ac:dyDescent="0.3">
      <c r="B5" s="353"/>
      <c r="C5" s="154"/>
      <c r="D5" s="154"/>
      <c r="E5" s="154"/>
      <c r="F5" s="154"/>
      <c r="G5" s="154"/>
      <c r="H5" s="154"/>
      <c r="I5" s="154"/>
      <c r="J5" s="154"/>
      <c r="K5" s="154"/>
      <c r="L5" s="154"/>
      <c r="M5" s="154"/>
      <c r="N5" s="154"/>
      <c r="O5" s="154"/>
      <c r="P5" s="154"/>
      <c r="Q5" s="154"/>
      <c r="R5" s="154"/>
      <c r="S5" s="154"/>
      <c r="T5" s="154"/>
      <c r="U5" s="154"/>
      <c r="V5" s="154"/>
      <c r="W5" s="154"/>
      <c r="X5" s="154"/>
      <c r="Y5" s="154"/>
    </row>
    <row r="6" spans="2:32" x14ac:dyDescent="0.3">
      <c r="B6" s="1175" t="s">
        <v>2113</v>
      </c>
      <c r="C6" s="1158"/>
      <c r="D6" s="1156" t="s">
        <v>325</v>
      </c>
      <c r="E6" s="1157"/>
      <c r="F6" s="1157"/>
      <c r="G6" s="1157"/>
      <c r="H6" s="1157"/>
      <c r="I6" s="1157"/>
      <c r="J6" s="1157"/>
      <c r="K6" s="1157"/>
      <c r="L6" s="1157"/>
      <c r="M6" s="1157"/>
      <c r="N6" s="1157"/>
      <c r="O6" s="1157"/>
      <c r="P6" s="1157"/>
      <c r="Q6" s="1158"/>
      <c r="R6" s="1158"/>
      <c r="S6" s="146"/>
      <c r="T6" s="1184" t="s">
        <v>326</v>
      </c>
      <c r="U6" s="1184"/>
      <c r="V6" s="1184"/>
      <c r="W6" s="1184"/>
      <c r="X6" s="1184"/>
      <c r="Y6" s="1184"/>
      <c r="Z6" s="1184"/>
      <c r="AA6" s="1184"/>
      <c r="AB6" s="1184"/>
      <c r="AC6" s="1184"/>
      <c r="AD6" s="1184"/>
      <c r="AE6" s="1184"/>
      <c r="AF6" s="1185"/>
    </row>
    <row r="7" spans="2:32" x14ac:dyDescent="0.3">
      <c r="B7" s="1176"/>
      <c r="C7" s="1177"/>
      <c r="D7" s="152">
        <v>2018</v>
      </c>
      <c r="E7" s="1195">
        <v>2019</v>
      </c>
      <c r="F7" s="1196"/>
      <c r="G7" s="1196"/>
      <c r="H7" s="1203"/>
      <c r="I7" s="1195">
        <v>2020</v>
      </c>
      <c r="J7" s="1196"/>
      <c r="K7" s="1196"/>
      <c r="L7" s="1196"/>
      <c r="M7" s="1195">
        <v>2021</v>
      </c>
      <c r="N7" s="1196"/>
      <c r="O7" s="1196"/>
      <c r="P7" s="1196"/>
      <c r="Q7" s="1181">
        <v>2022</v>
      </c>
      <c r="R7" s="1182"/>
      <c r="S7" s="252"/>
      <c r="T7" s="287"/>
      <c r="U7" s="1178">
        <v>2023</v>
      </c>
      <c r="V7" s="1179"/>
      <c r="W7" s="1179"/>
      <c r="X7" s="1179"/>
      <c r="Y7" s="1178">
        <v>2024</v>
      </c>
      <c r="Z7" s="1179"/>
      <c r="AA7" s="1179"/>
      <c r="AB7" s="1180"/>
      <c r="AC7" s="1178">
        <v>2025</v>
      </c>
      <c r="AD7" s="1179"/>
      <c r="AE7" s="1179"/>
      <c r="AF7" s="1180"/>
    </row>
    <row r="8" spans="2:32" x14ac:dyDescent="0.3">
      <c r="B8" s="1187"/>
      <c r="C8" s="1188"/>
      <c r="D8" s="152" t="s">
        <v>327</v>
      </c>
      <c r="E8" s="152" t="s">
        <v>328</v>
      </c>
      <c r="F8" s="151" t="s">
        <v>329</v>
      </c>
      <c r="G8" s="151" t="s">
        <v>238</v>
      </c>
      <c r="H8" s="203" t="s">
        <v>327</v>
      </c>
      <c r="I8" s="151" t="s">
        <v>328</v>
      </c>
      <c r="J8" s="151" t="s">
        <v>329</v>
      </c>
      <c r="K8" s="151" t="s">
        <v>238</v>
      </c>
      <c r="L8" s="151" t="s">
        <v>327</v>
      </c>
      <c r="M8" s="152" t="s">
        <v>328</v>
      </c>
      <c r="N8" s="151" t="s">
        <v>329</v>
      </c>
      <c r="O8" s="151" t="s">
        <v>238</v>
      </c>
      <c r="P8" s="151" t="s">
        <v>327</v>
      </c>
      <c r="Q8" s="173" t="s">
        <v>328</v>
      </c>
      <c r="R8" s="175" t="s">
        <v>329</v>
      </c>
      <c r="S8" s="155" t="s">
        <v>238</v>
      </c>
      <c r="T8" s="275" t="s">
        <v>327</v>
      </c>
      <c r="U8" s="273" t="s">
        <v>328</v>
      </c>
      <c r="V8" s="274" t="s">
        <v>329</v>
      </c>
      <c r="W8" s="274" t="s">
        <v>238</v>
      </c>
      <c r="X8" s="274" t="s">
        <v>327</v>
      </c>
      <c r="Y8" s="273" t="s">
        <v>328</v>
      </c>
      <c r="Z8" s="269" t="s">
        <v>329</v>
      </c>
      <c r="AA8" s="274" t="s">
        <v>238</v>
      </c>
      <c r="AB8" s="275" t="s">
        <v>327</v>
      </c>
      <c r="AC8" s="277" t="s">
        <v>328</v>
      </c>
      <c r="AD8" s="274" t="s">
        <v>329</v>
      </c>
      <c r="AE8" s="274" t="s">
        <v>238</v>
      </c>
      <c r="AF8" s="275" t="s">
        <v>327</v>
      </c>
    </row>
    <row r="9" spans="2:32" x14ac:dyDescent="0.3">
      <c r="B9" s="434" t="s">
        <v>1483</v>
      </c>
      <c r="C9" s="625"/>
      <c r="D9" s="626"/>
      <c r="E9" s="625"/>
      <c r="F9" s="625"/>
      <c r="G9" s="625"/>
      <c r="H9" s="625"/>
      <c r="I9" s="625"/>
      <c r="J9" s="627"/>
      <c r="K9" s="627"/>
      <c r="L9" s="627"/>
      <c r="M9" s="627"/>
      <c r="N9" s="627"/>
      <c r="O9" s="627"/>
      <c r="P9" s="627"/>
      <c r="Q9" s="627"/>
      <c r="R9" s="623">
        <v>0</v>
      </c>
      <c r="S9" s="624">
        <v>0</v>
      </c>
      <c r="T9" s="628">
        <v>0</v>
      </c>
      <c r="U9" s="628">
        <v>0</v>
      </c>
      <c r="V9" s="628">
        <v>0</v>
      </c>
      <c r="W9" s="628">
        <v>-7.7999999999999999E-4</v>
      </c>
      <c r="X9" s="628">
        <v>-7.7999999999999999E-4</v>
      </c>
      <c r="Y9" s="628">
        <v>-9.5E-4</v>
      </c>
      <c r="Z9" s="628">
        <v>-9.5E-4</v>
      </c>
      <c r="AA9" s="628">
        <v>-9.5E-4</v>
      </c>
      <c r="AB9" s="628">
        <v>-9.5E-4</v>
      </c>
      <c r="AC9" s="628">
        <v>-9.3999999999999997E-4</v>
      </c>
      <c r="AD9" s="628">
        <v>-9.3999999999999997E-4</v>
      </c>
      <c r="AE9" s="628">
        <v>-9.3999999999999997E-4</v>
      </c>
      <c r="AF9" s="629">
        <v>-9.3999999999999997E-4</v>
      </c>
    </row>
    <row r="10" spans="2:32" x14ac:dyDescent="0.3">
      <c r="B10" s="37" t="s">
        <v>1482</v>
      </c>
      <c r="C10" s="257"/>
      <c r="D10" s="543"/>
      <c r="E10" s="257"/>
      <c r="F10" s="257"/>
      <c r="G10" s="257"/>
      <c r="H10" s="257"/>
      <c r="I10" s="257"/>
      <c r="J10" s="608"/>
      <c r="K10" s="608"/>
      <c r="L10" s="608"/>
      <c r="M10" s="608"/>
      <c r="N10" s="608"/>
      <c r="O10" s="608"/>
      <c r="P10" s="608"/>
      <c r="Q10" s="608"/>
      <c r="R10" s="108"/>
      <c r="S10" s="129"/>
      <c r="T10" s="108"/>
      <c r="U10" s="108">
        <v>26095</v>
      </c>
      <c r="V10" s="108">
        <v>26404</v>
      </c>
      <c r="W10" s="108">
        <v>26686</v>
      </c>
      <c r="X10" s="108">
        <v>26931</v>
      </c>
      <c r="Y10" s="108">
        <v>27174</v>
      </c>
      <c r="Z10" s="108">
        <v>27411</v>
      </c>
      <c r="AA10" s="108">
        <v>27647</v>
      </c>
      <c r="AB10" s="108">
        <v>27893</v>
      </c>
      <c r="AC10" s="108">
        <v>28143</v>
      </c>
      <c r="AD10" s="108">
        <v>28400</v>
      </c>
      <c r="AE10" s="108">
        <v>28649</v>
      </c>
      <c r="AF10" s="129">
        <v>28910</v>
      </c>
    </row>
    <row r="11" spans="2:32" x14ac:dyDescent="0.3">
      <c r="B11" s="37" t="s">
        <v>360</v>
      </c>
      <c r="C11" s="488"/>
      <c r="D11" s="487"/>
      <c r="E11" s="488"/>
      <c r="F11" s="488"/>
      <c r="G11" s="488"/>
      <c r="H11" s="488"/>
      <c r="I11" s="488"/>
      <c r="J11" s="620"/>
      <c r="K11" s="620"/>
      <c r="L11" s="620"/>
      <c r="M11" s="620"/>
      <c r="N11" s="620"/>
      <c r="O11" s="620"/>
      <c r="P11" s="620"/>
      <c r="Q11" s="620"/>
      <c r="R11" s="205">
        <f>R9*R10</f>
        <v>0</v>
      </c>
      <c r="S11" s="622">
        <f t="shared" ref="S11:T11" si="0">S9*S10</f>
        <v>0</v>
      </c>
      <c r="T11" s="205">
        <f t="shared" si="0"/>
        <v>0</v>
      </c>
      <c r="U11" s="630">
        <f>U9*U10*-1</f>
        <v>0</v>
      </c>
      <c r="V11" s="630">
        <f t="shared" ref="V11:AF11" si="1">V9*V10*-1</f>
        <v>0</v>
      </c>
      <c r="W11" s="630">
        <f t="shared" si="1"/>
        <v>20.815079999999998</v>
      </c>
      <c r="X11" s="630">
        <f t="shared" si="1"/>
        <v>21.006180000000001</v>
      </c>
      <c r="Y11" s="630">
        <f t="shared" si="1"/>
        <v>25.815300000000001</v>
      </c>
      <c r="Z11" s="630">
        <f t="shared" si="1"/>
        <v>26.04045</v>
      </c>
      <c r="AA11" s="630">
        <f t="shared" si="1"/>
        <v>26.26465</v>
      </c>
      <c r="AB11" s="630">
        <f t="shared" si="1"/>
        <v>26.498349999999999</v>
      </c>
      <c r="AC11" s="630">
        <f t="shared" si="1"/>
        <v>26.454419999999999</v>
      </c>
      <c r="AD11" s="630">
        <f t="shared" si="1"/>
        <v>26.695999999999998</v>
      </c>
      <c r="AE11" s="630">
        <f t="shared" si="1"/>
        <v>26.930059999999997</v>
      </c>
      <c r="AF11" s="630">
        <f t="shared" si="1"/>
        <v>27.1754</v>
      </c>
    </row>
    <row r="12" spans="2:32" x14ac:dyDescent="0.3">
      <c r="B12" s="154"/>
      <c r="C12" s="154"/>
      <c r="D12" s="154"/>
      <c r="E12" s="154"/>
      <c r="F12" s="154"/>
      <c r="G12" s="154"/>
      <c r="H12" s="154"/>
      <c r="I12" s="154"/>
      <c r="J12" s="154"/>
      <c r="K12" s="154"/>
      <c r="L12" s="154"/>
      <c r="M12" s="154"/>
      <c r="N12" s="154"/>
      <c r="O12" s="154"/>
      <c r="P12" s="154"/>
      <c r="Q12" s="154"/>
      <c r="R12" s="154"/>
      <c r="S12" s="154"/>
      <c r="T12" s="154"/>
      <c r="U12" s="154"/>
      <c r="V12" s="154"/>
      <c r="W12" s="154"/>
      <c r="X12" s="154"/>
      <c r="Y12" s="154"/>
      <c r="Z12" s="37"/>
      <c r="AA12" s="37"/>
      <c r="AB12" s="37"/>
      <c r="AC12" s="37"/>
    </row>
    <row r="14" spans="2:32" x14ac:dyDescent="0.3">
      <c r="B14" s="1175" t="s">
        <v>2112</v>
      </c>
      <c r="C14" s="1158"/>
      <c r="D14" s="1156" t="s">
        <v>325</v>
      </c>
      <c r="E14" s="1157"/>
      <c r="F14" s="1157"/>
      <c r="G14" s="1157"/>
      <c r="H14" s="1157"/>
      <c r="I14" s="1157"/>
      <c r="J14" s="1157"/>
      <c r="K14" s="1157"/>
      <c r="L14" s="1157"/>
      <c r="M14" s="1157"/>
      <c r="N14" s="1157"/>
      <c r="O14" s="1157"/>
      <c r="P14" s="1157"/>
      <c r="Q14" s="1158"/>
      <c r="R14" s="1158"/>
      <c r="S14" s="1044"/>
      <c r="T14" s="1184" t="s">
        <v>326</v>
      </c>
      <c r="U14" s="1184"/>
      <c r="V14" s="1184"/>
      <c r="W14" s="1184"/>
      <c r="X14" s="1184"/>
      <c r="Y14" s="1184"/>
      <c r="Z14" s="1184"/>
      <c r="AA14" s="1184"/>
      <c r="AB14" s="1184"/>
      <c r="AC14" s="1184"/>
      <c r="AD14" s="1184"/>
      <c r="AE14" s="1184"/>
      <c r="AF14" s="1185"/>
    </row>
    <row r="15" spans="2:32" x14ac:dyDescent="0.3">
      <c r="B15" s="1176"/>
      <c r="C15" s="1177"/>
      <c r="D15" s="1045">
        <v>2018</v>
      </c>
      <c r="E15" s="1195">
        <v>2019</v>
      </c>
      <c r="F15" s="1196"/>
      <c r="G15" s="1196"/>
      <c r="H15" s="1203"/>
      <c r="I15" s="1195">
        <v>2020</v>
      </c>
      <c r="J15" s="1196"/>
      <c r="K15" s="1196"/>
      <c r="L15" s="1196"/>
      <c r="M15" s="1195">
        <v>2021</v>
      </c>
      <c r="N15" s="1196"/>
      <c r="O15" s="1196"/>
      <c r="P15" s="1196"/>
      <c r="Q15" s="1181">
        <v>2022</v>
      </c>
      <c r="R15" s="1182"/>
      <c r="S15" s="252"/>
      <c r="T15" s="287"/>
      <c r="U15" s="1178">
        <v>2023</v>
      </c>
      <c r="V15" s="1179"/>
      <c r="W15" s="1179"/>
      <c r="X15" s="1179"/>
      <c r="Y15" s="1178">
        <v>2024</v>
      </c>
      <c r="Z15" s="1179"/>
      <c r="AA15" s="1179"/>
      <c r="AB15" s="1180"/>
      <c r="AC15" s="1178">
        <v>2025</v>
      </c>
      <c r="AD15" s="1179"/>
      <c r="AE15" s="1179"/>
      <c r="AF15" s="1180"/>
    </row>
    <row r="16" spans="2:32" x14ac:dyDescent="0.3">
      <c r="B16" s="1187"/>
      <c r="C16" s="1188"/>
      <c r="D16" s="1045" t="s">
        <v>327</v>
      </c>
      <c r="E16" s="1045" t="s">
        <v>328</v>
      </c>
      <c r="F16" s="1046" t="s">
        <v>329</v>
      </c>
      <c r="G16" s="1046" t="s">
        <v>238</v>
      </c>
      <c r="H16" s="1047" t="s">
        <v>327</v>
      </c>
      <c r="I16" s="1046" t="s">
        <v>328</v>
      </c>
      <c r="J16" s="1046" t="s">
        <v>329</v>
      </c>
      <c r="K16" s="1046" t="s">
        <v>238</v>
      </c>
      <c r="L16" s="1046" t="s">
        <v>327</v>
      </c>
      <c r="M16" s="1045" t="s">
        <v>328</v>
      </c>
      <c r="N16" s="1046" t="s">
        <v>329</v>
      </c>
      <c r="O16" s="1046" t="s">
        <v>238</v>
      </c>
      <c r="P16" s="1046" t="s">
        <v>327</v>
      </c>
      <c r="Q16" s="173" t="s">
        <v>328</v>
      </c>
      <c r="R16" s="175" t="s">
        <v>329</v>
      </c>
      <c r="S16" s="155" t="s">
        <v>238</v>
      </c>
      <c r="T16" s="275" t="s">
        <v>327</v>
      </c>
      <c r="U16" s="273" t="s">
        <v>328</v>
      </c>
      <c r="V16" s="274" t="s">
        <v>329</v>
      </c>
      <c r="W16" s="274" t="s">
        <v>238</v>
      </c>
      <c r="X16" s="274" t="s">
        <v>327</v>
      </c>
      <c r="Y16" s="273" t="s">
        <v>328</v>
      </c>
      <c r="Z16" s="269" t="s">
        <v>329</v>
      </c>
      <c r="AA16" s="274" t="s">
        <v>238</v>
      </c>
      <c r="AB16" s="275" t="s">
        <v>327</v>
      </c>
      <c r="AC16" s="277" t="s">
        <v>328</v>
      </c>
      <c r="AD16" s="274" t="s">
        <v>329</v>
      </c>
      <c r="AE16" s="274" t="s">
        <v>238</v>
      </c>
      <c r="AF16" s="275" t="s">
        <v>327</v>
      </c>
    </row>
    <row r="17" spans="2:32" x14ac:dyDescent="0.3">
      <c r="B17" s="434" t="s">
        <v>1483</v>
      </c>
      <c r="C17" s="625"/>
      <c r="D17" s="626"/>
      <c r="E17" s="625"/>
      <c r="F17" s="625"/>
      <c r="G17" s="625"/>
      <c r="H17" s="625"/>
      <c r="I17" s="625"/>
      <c r="J17" s="627"/>
      <c r="K17" s="627"/>
      <c r="L17" s="627"/>
      <c r="M17" s="627"/>
      <c r="N17" s="627"/>
      <c r="O17" s="627"/>
      <c r="P17" s="627"/>
      <c r="Q17" s="627"/>
      <c r="R17" s="623">
        <v>0</v>
      </c>
      <c r="S17" s="624">
        <v>0</v>
      </c>
      <c r="T17" s="628">
        <v>0</v>
      </c>
      <c r="U17" s="628">
        <v>-7.7999999999999999E-4</v>
      </c>
      <c r="V17" s="628">
        <v>-7.7999999999999999E-4</v>
      </c>
      <c r="W17" s="628">
        <v>-7.7999999999999999E-4</v>
      </c>
      <c r="X17" s="628">
        <v>-7.7999999999999999E-4</v>
      </c>
      <c r="Y17" s="628">
        <v>-9.5E-4</v>
      </c>
      <c r="Z17" s="628">
        <v>-9.5E-4</v>
      </c>
      <c r="AA17" s="628">
        <v>-9.5E-4</v>
      </c>
      <c r="AB17" s="628">
        <v>-9.5E-4</v>
      </c>
      <c r="AC17" s="628">
        <v>-9.3999999999999997E-4</v>
      </c>
      <c r="AD17" s="628">
        <v>-9.3999999999999997E-4</v>
      </c>
      <c r="AE17" s="628">
        <v>-9.3999999999999997E-4</v>
      </c>
      <c r="AF17" s="629">
        <v>-9.3999999999999997E-4</v>
      </c>
    </row>
    <row r="18" spans="2:32" x14ac:dyDescent="0.3">
      <c r="B18" s="37" t="s">
        <v>1482</v>
      </c>
      <c r="C18" s="257"/>
      <c r="D18" s="543"/>
      <c r="E18" s="257"/>
      <c r="F18" s="257"/>
      <c r="G18" s="257"/>
      <c r="H18" s="257"/>
      <c r="I18" s="257"/>
      <c r="J18" s="608"/>
      <c r="K18" s="608"/>
      <c r="L18" s="608"/>
      <c r="M18" s="608"/>
      <c r="N18" s="608"/>
      <c r="O18" s="608"/>
      <c r="P18" s="608"/>
      <c r="Q18" s="608"/>
      <c r="R18" s="1048"/>
      <c r="S18" s="129"/>
      <c r="T18" s="1048"/>
      <c r="U18" s="1048">
        <v>26095</v>
      </c>
      <c r="V18" s="1048">
        <v>26404</v>
      </c>
      <c r="W18" s="1048">
        <v>26686</v>
      </c>
      <c r="X18" s="1048">
        <v>26931</v>
      </c>
      <c r="Y18" s="1048">
        <v>27174</v>
      </c>
      <c r="Z18" s="1048">
        <v>27411</v>
      </c>
      <c r="AA18" s="1048">
        <v>27647</v>
      </c>
      <c r="AB18" s="1048">
        <v>27893</v>
      </c>
      <c r="AC18" s="1048">
        <v>28143</v>
      </c>
      <c r="AD18" s="1048">
        <v>28400</v>
      </c>
      <c r="AE18" s="1048">
        <v>28649</v>
      </c>
      <c r="AF18" s="129">
        <v>28910</v>
      </c>
    </row>
    <row r="19" spans="2:32" x14ac:dyDescent="0.3">
      <c r="B19" s="37" t="s">
        <v>360</v>
      </c>
      <c r="C19" s="488"/>
      <c r="D19" s="487"/>
      <c r="E19" s="488"/>
      <c r="F19" s="488"/>
      <c r="G19" s="488"/>
      <c r="H19" s="488"/>
      <c r="I19" s="488"/>
      <c r="J19" s="620"/>
      <c r="K19" s="620"/>
      <c r="L19" s="620"/>
      <c r="M19" s="620"/>
      <c r="N19" s="620"/>
      <c r="O19" s="620"/>
      <c r="P19" s="620"/>
      <c r="Q19" s="620"/>
      <c r="R19" s="205">
        <f>R17*R18</f>
        <v>0</v>
      </c>
      <c r="S19" s="622">
        <f t="shared" ref="S19:T19" si="2">S17*S18</f>
        <v>0</v>
      </c>
      <c r="T19" s="205">
        <f t="shared" si="2"/>
        <v>0</v>
      </c>
      <c r="U19" s="630">
        <f>U17*U18*-1</f>
        <v>20.354099999999999</v>
      </c>
      <c r="V19" s="630">
        <f t="shared" ref="V19:AF19" si="3">V17*V18*-1</f>
        <v>20.595119999999998</v>
      </c>
      <c r="W19" s="630">
        <f t="shared" si="3"/>
        <v>20.815079999999998</v>
      </c>
      <c r="X19" s="630">
        <f t="shared" si="3"/>
        <v>21.006180000000001</v>
      </c>
      <c r="Y19" s="630">
        <f t="shared" si="3"/>
        <v>25.815300000000001</v>
      </c>
      <c r="Z19" s="630">
        <f t="shared" si="3"/>
        <v>26.04045</v>
      </c>
      <c r="AA19" s="630">
        <f t="shared" si="3"/>
        <v>26.26465</v>
      </c>
      <c r="AB19" s="630">
        <f t="shared" si="3"/>
        <v>26.498349999999999</v>
      </c>
      <c r="AC19" s="630">
        <f t="shared" si="3"/>
        <v>26.454419999999999</v>
      </c>
      <c r="AD19" s="630">
        <f t="shared" si="3"/>
        <v>26.695999999999998</v>
      </c>
      <c r="AE19" s="630">
        <f t="shared" si="3"/>
        <v>26.930059999999997</v>
      </c>
      <c r="AF19" s="630">
        <f t="shared" si="3"/>
        <v>27.1754</v>
      </c>
    </row>
  </sheetData>
  <mergeCells count="22">
    <mergeCell ref="Y7:AB7"/>
    <mergeCell ref="AC7:AF7"/>
    <mergeCell ref="B1:AC1"/>
    <mergeCell ref="B2:AC4"/>
    <mergeCell ref="B6:C8"/>
    <mergeCell ref="D6:R6"/>
    <mergeCell ref="E7:H7"/>
    <mergeCell ref="I7:L7"/>
    <mergeCell ref="M7:P7"/>
    <mergeCell ref="Q7:R7"/>
    <mergeCell ref="U7:X7"/>
    <mergeCell ref="T6:AF6"/>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FF00"/>
  </sheetPr>
  <dimension ref="B1:CW91"/>
  <sheetViews>
    <sheetView topLeftCell="A19" zoomScale="70" zoomScaleNormal="70" workbookViewId="0">
      <selection activeCell="Q37" sqref="Q37"/>
    </sheetView>
  </sheetViews>
  <sheetFormatPr defaultColWidth="11.5546875" defaultRowHeight="14.4" x14ac:dyDescent="0.3"/>
  <cols>
    <col min="2" max="2" width="49.33203125" customWidth="1"/>
    <col min="6" max="6" width="12.21875" customWidth="1"/>
    <col min="7" max="7" width="10.44140625" customWidth="1"/>
    <col min="9" max="9" width="12" customWidth="1"/>
  </cols>
  <sheetData>
    <row r="1" spans="2:29" ht="18" customHeight="1" x14ac:dyDescent="0.3">
      <c r="B1" s="1247" t="s">
        <v>526</v>
      </c>
      <c r="C1" s="1247"/>
      <c r="D1" s="1247"/>
      <c r="E1" s="1247"/>
      <c r="F1" s="1247"/>
      <c r="G1" s="1247"/>
      <c r="H1" s="1247"/>
      <c r="I1" s="1247"/>
      <c r="J1" s="1247"/>
      <c r="K1" s="1247"/>
      <c r="L1" s="1247"/>
      <c r="M1" s="1247"/>
      <c r="N1" s="1247"/>
      <c r="O1" s="1247"/>
      <c r="P1" s="1247"/>
      <c r="Q1" s="1247"/>
      <c r="R1" s="1247"/>
      <c r="S1" s="1247"/>
      <c r="T1" s="1247"/>
      <c r="U1" s="1247"/>
      <c r="V1" s="1247"/>
      <c r="W1" s="1247"/>
      <c r="X1" s="1247"/>
      <c r="Y1" s="1247"/>
      <c r="Z1" s="1247"/>
      <c r="AA1" s="1247"/>
      <c r="AB1" s="1247"/>
      <c r="AC1" s="1247"/>
    </row>
    <row r="2" spans="2:29" ht="34.5" customHeight="1" x14ac:dyDescent="0.3">
      <c r="B2" s="1174" t="s">
        <v>934</v>
      </c>
      <c r="C2" s="1145"/>
      <c r="D2" s="1145"/>
      <c r="E2" s="1145"/>
      <c r="F2" s="1145"/>
      <c r="G2" s="1145"/>
      <c r="H2" s="1145"/>
      <c r="I2" s="1145"/>
      <c r="J2" s="1145"/>
      <c r="K2" s="1145"/>
      <c r="L2" s="1145"/>
      <c r="M2" s="1145"/>
      <c r="N2" s="1145"/>
      <c r="O2" s="1145"/>
      <c r="P2" s="1145"/>
      <c r="Q2" s="1145"/>
      <c r="R2" s="1145"/>
      <c r="S2" s="1145"/>
      <c r="T2" s="1145"/>
      <c r="U2" s="1145"/>
      <c r="V2" s="1145"/>
      <c r="W2" s="1145"/>
      <c r="X2" s="1145"/>
      <c r="Y2" s="1145"/>
      <c r="Z2" s="1145"/>
      <c r="AA2" s="1145"/>
      <c r="AB2" s="1145"/>
      <c r="AC2" s="1145"/>
    </row>
    <row r="3" spans="2:29" ht="3" customHeight="1" x14ac:dyDescent="0.3">
      <c r="B3" s="1145"/>
      <c r="C3" s="1145"/>
      <c r="D3" s="1145"/>
      <c r="E3" s="1145"/>
      <c r="F3" s="1145"/>
      <c r="G3" s="1145"/>
      <c r="H3" s="1145"/>
      <c r="I3" s="1145"/>
      <c r="J3" s="1145"/>
      <c r="K3" s="1145"/>
      <c r="L3" s="1145"/>
      <c r="M3" s="1145"/>
      <c r="N3" s="1145"/>
      <c r="O3" s="1145"/>
      <c r="P3" s="1145"/>
      <c r="Q3" s="1145"/>
      <c r="R3" s="1145"/>
      <c r="S3" s="1145"/>
      <c r="T3" s="1145"/>
      <c r="U3" s="1145"/>
      <c r="V3" s="1145"/>
      <c r="W3" s="1145"/>
      <c r="X3" s="1145"/>
      <c r="Y3" s="1145"/>
      <c r="Z3" s="1145"/>
      <c r="AA3" s="1145"/>
      <c r="AB3" s="1145"/>
      <c r="AC3" s="1145"/>
    </row>
    <row r="4" spans="2:29" ht="10.199999999999999" customHeight="1" x14ac:dyDescent="0.3">
      <c r="B4" s="1145"/>
      <c r="C4" s="1145"/>
      <c r="D4" s="1145"/>
      <c r="E4" s="1145"/>
      <c r="F4" s="1145"/>
      <c r="G4" s="1145"/>
      <c r="H4" s="1145"/>
      <c r="I4" s="1145"/>
      <c r="J4" s="1145"/>
      <c r="K4" s="1145"/>
      <c r="L4" s="1145"/>
      <c r="M4" s="1145"/>
      <c r="N4" s="1145"/>
      <c r="O4" s="1145"/>
      <c r="P4" s="1145"/>
      <c r="Q4" s="1145"/>
      <c r="R4" s="1145"/>
      <c r="S4" s="1145"/>
      <c r="T4" s="1145"/>
      <c r="U4" s="1145"/>
      <c r="V4" s="1145"/>
      <c r="W4" s="1145"/>
      <c r="X4" s="1145"/>
      <c r="Y4" s="1145"/>
      <c r="Z4" s="1145"/>
      <c r="AA4" s="1145"/>
      <c r="AB4" s="1145"/>
      <c r="AC4" s="1145"/>
    </row>
    <row r="5" spans="2:29" ht="14.25" customHeight="1" x14ac:dyDescent="0.3">
      <c r="B5" s="1145"/>
      <c r="C5" s="1145"/>
      <c r="D5" s="1145"/>
      <c r="E5" s="1145"/>
      <c r="F5" s="1145"/>
      <c r="G5" s="1145"/>
      <c r="H5" s="1145"/>
      <c r="I5" s="1145"/>
      <c r="J5" s="1145"/>
      <c r="K5" s="1145"/>
      <c r="L5" s="1145"/>
      <c r="M5" s="1145"/>
      <c r="N5" s="1145"/>
      <c r="O5" s="1145"/>
      <c r="P5" s="1145"/>
      <c r="Q5" s="1145"/>
      <c r="R5" s="1145"/>
      <c r="S5" s="1145"/>
      <c r="T5" s="1145"/>
      <c r="U5" s="1145"/>
      <c r="V5" s="1145"/>
      <c r="W5" s="1145"/>
      <c r="X5" s="1145"/>
      <c r="Y5" s="1145"/>
      <c r="Z5" s="1145"/>
      <c r="AA5" s="1145"/>
      <c r="AB5" s="1145"/>
      <c r="AC5" s="1145"/>
    </row>
    <row r="6" spans="2:29" ht="14.25" customHeight="1" x14ac:dyDescent="0.3">
      <c r="B6" s="1145"/>
      <c r="C6" s="1145"/>
      <c r="D6" s="1145"/>
      <c r="E6" s="1145"/>
      <c r="F6" s="1145"/>
      <c r="G6" s="1145"/>
      <c r="H6" s="1145"/>
      <c r="I6" s="1145"/>
      <c r="J6" s="1145"/>
      <c r="K6" s="1145"/>
      <c r="L6" s="1145"/>
      <c r="M6" s="1145"/>
      <c r="N6" s="1145"/>
      <c r="O6" s="1145"/>
      <c r="P6" s="1145"/>
      <c r="Q6" s="1145"/>
      <c r="R6" s="1145"/>
      <c r="S6" s="1145"/>
      <c r="T6" s="1145"/>
      <c r="U6" s="1145"/>
      <c r="V6" s="1145"/>
      <c r="W6" s="1145"/>
      <c r="X6" s="1145"/>
      <c r="Y6" s="1145"/>
      <c r="Z6" s="1145"/>
      <c r="AA6" s="1145"/>
      <c r="AB6" s="1145"/>
      <c r="AC6" s="1145"/>
    </row>
    <row r="7" spans="2:29" x14ac:dyDescent="0.3">
      <c r="B7" s="668" t="s">
        <v>381</v>
      </c>
      <c r="C7" s="267"/>
      <c r="D7" s="267"/>
      <c r="E7" s="267"/>
      <c r="F7" s="267"/>
      <c r="G7" s="267"/>
      <c r="H7" s="268"/>
      <c r="I7" s="268"/>
      <c r="J7" s="268"/>
      <c r="K7" s="268"/>
      <c r="L7" s="268"/>
      <c r="M7" s="268"/>
      <c r="N7" s="268"/>
      <c r="O7" s="268"/>
      <c r="P7" s="268"/>
      <c r="Q7" s="268"/>
      <c r="R7" s="268"/>
      <c r="S7" s="268"/>
      <c r="T7" s="268"/>
      <c r="U7" s="268"/>
    </row>
    <row r="8" spans="2:29" ht="14.7" customHeight="1" x14ac:dyDescent="0.3">
      <c r="B8" s="1175" t="s">
        <v>352</v>
      </c>
      <c r="C8" s="1159"/>
      <c r="D8" s="1156" t="s">
        <v>325</v>
      </c>
      <c r="E8" s="1157"/>
      <c r="F8" s="1157"/>
      <c r="G8" s="1157"/>
      <c r="H8" s="1157"/>
      <c r="I8" s="1157"/>
      <c r="J8" s="1157"/>
      <c r="K8" s="1157"/>
      <c r="L8" s="1157"/>
      <c r="M8" s="1157"/>
      <c r="N8" s="1157"/>
      <c r="O8" s="1157"/>
      <c r="P8" s="1157"/>
      <c r="Q8" s="1157"/>
      <c r="R8" s="1157"/>
      <c r="S8" s="1157"/>
      <c r="T8" s="1184" t="s">
        <v>326</v>
      </c>
      <c r="U8" s="1184"/>
      <c r="V8" s="1184"/>
      <c r="W8" s="1184"/>
      <c r="X8" s="1184"/>
      <c r="Y8" s="1184"/>
      <c r="Z8" s="1184"/>
      <c r="AA8" s="1184"/>
      <c r="AB8" s="1184"/>
      <c r="AC8" s="1185"/>
    </row>
    <row r="9" spans="2:29" ht="14.7" customHeight="1" x14ac:dyDescent="0.3">
      <c r="B9" s="1176"/>
      <c r="C9" s="1213"/>
      <c r="D9" s="141">
        <v>2018</v>
      </c>
      <c r="E9" s="1147">
        <v>2019</v>
      </c>
      <c r="F9" s="1148"/>
      <c r="G9" s="1148"/>
      <c r="H9" s="1155"/>
      <c r="I9" s="1147">
        <v>2020</v>
      </c>
      <c r="J9" s="1148"/>
      <c r="K9" s="1148"/>
      <c r="L9" s="1148"/>
      <c r="M9" s="1147">
        <v>2021</v>
      </c>
      <c r="N9" s="1148"/>
      <c r="O9" s="1148"/>
      <c r="P9" s="1148"/>
      <c r="Q9" s="1181">
        <v>2022</v>
      </c>
      <c r="R9" s="1182"/>
      <c r="S9" s="252"/>
      <c r="T9" s="287"/>
      <c r="U9" s="1178">
        <v>2023</v>
      </c>
      <c r="V9" s="1179"/>
      <c r="W9" s="1179"/>
      <c r="X9" s="1179"/>
      <c r="Y9" s="1178">
        <v>2024</v>
      </c>
      <c r="Z9" s="1179"/>
      <c r="AA9" s="1179"/>
      <c r="AB9" s="1180"/>
      <c r="AC9" s="258">
        <v>2025</v>
      </c>
    </row>
    <row r="10" spans="2:29" x14ac:dyDescent="0.3">
      <c r="B10" s="1176"/>
      <c r="C10" s="1213"/>
      <c r="D10" s="152" t="s">
        <v>327</v>
      </c>
      <c r="E10" s="152" t="s">
        <v>328</v>
      </c>
      <c r="F10" s="151" t="s">
        <v>329</v>
      </c>
      <c r="G10" s="151" t="s">
        <v>238</v>
      </c>
      <c r="H10" s="203" t="s">
        <v>327</v>
      </c>
      <c r="I10" s="151" t="s">
        <v>328</v>
      </c>
      <c r="J10" s="151" t="s">
        <v>329</v>
      </c>
      <c r="K10" s="151" t="s">
        <v>238</v>
      </c>
      <c r="L10" s="151" t="s">
        <v>327</v>
      </c>
      <c r="M10" s="152" t="s">
        <v>328</v>
      </c>
      <c r="N10" s="151" t="s">
        <v>329</v>
      </c>
      <c r="O10" s="151" t="s">
        <v>238</v>
      </c>
      <c r="P10" s="151" t="s">
        <v>327</v>
      </c>
      <c r="Q10" s="152" t="s">
        <v>328</v>
      </c>
      <c r="R10" s="151" t="s">
        <v>329</v>
      </c>
      <c r="S10" s="203" t="s">
        <v>238</v>
      </c>
      <c r="T10" s="368" t="s">
        <v>327</v>
      </c>
      <c r="U10" s="355" t="s">
        <v>328</v>
      </c>
      <c r="V10" s="356" t="s">
        <v>329</v>
      </c>
      <c r="W10" s="356" t="s">
        <v>238</v>
      </c>
      <c r="X10" s="356" t="s">
        <v>327</v>
      </c>
      <c r="Y10" s="355" t="s">
        <v>328</v>
      </c>
      <c r="Z10" s="249" t="s">
        <v>329</v>
      </c>
      <c r="AA10" s="356" t="s">
        <v>238</v>
      </c>
      <c r="AB10" s="368" t="s">
        <v>327</v>
      </c>
      <c r="AC10" s="383" t="s">
        <v>328</v>
      </c>
    </row>
    <row r="11" spans="2:29" x14ac:dyDescent="0.3">
      <c r="B11" s="1244" t="s">
        <v>527</v>
      </c>
      <c r="C11" s="1245"/>
      <c r="D11" s="631"/>
      <c r="E11" s="632"/>
      <c r="F11" s="632"/>
      <c r="G11" s="632"/>
      <c r="H11" s="282"/>
      <c r="I11" s="282"/>
      <c r="J11" s="282"/>
      <c r="K11" s="282"/>
      <c r="L11" s="282"/>
      <c r="M11" s="548"/>
      <c r="N11" s="548"/>
      <c r="O11" s="548"/>
      <c r="P11" s="282"/>
      <c r="Q11" s="282"/>
      <c r="R11" s="282"/>
      <c r="S11" s="638"/>
      <c r="T11" s="241"/>
      <c r="U11" s="242"/>
      <c r="V11" s="242"/>
      <c r="W11" s="242"/>
      <c r="X11" s="242"/>
      <c r="Y11" s="242"/>
      <c r="Z11" s="242"/>
      <c r="AA11" s="242"/>
      <c r="AB11" s="242"/>
      <c r="AC11" s="243"/>
    </row>
    <row r="12" spans="2:29" ht="16.95" customHeight="1" x14ac:dyDescent="0.3">
      <c r="B12" s="447" t="s">
        <v>528</v>
      </c>
      <c r="C12" s="154" t="s">
        <v>529</v>
      </c>
      <c r="D12" s="566">
        <f>'Haver Pivoted'!GO31</f>
        <v>2224.3000000000002</v>
      </c>
      <c r="E12" s="477">
        <f>'Haver Pivoted'!GP31</f>
        <v>2303.4</v>
      </c>
      <c r="F12" s="477">
        <f>'Haver Pivoted'!GQ31</f>
        <v>2319.4</v>
      </c>
      <c r="G12" s="477">
        <f>'Haver Pivoted'!GR31</f>
        <v>2333.8000000000002</v>
      </c>
      <c r="H12" s="477">
        <f>'Haver Pivoted'!GS31</f>
        <v>2346.4</v>
      </c>
      <c r="I12" s="477">
        <f>'Haver Pivoted'!GT31</f>
        <v>2407.5</v>
      </c>
      <c r="J12" s="477">
        <f>'Haver Pivoted'!GU31</f>
        <v>4698.7</v>
      </c>
      <c r="K12" s="477">
        <f>'Haver Pivoted'!GV31</f>
        <v>3492.4</v>
      </c>
      <c r="L12" s="477">
        <f>'Haver Pivoted'!GW31</f>
        <v>2881.6</v>
      </c>
      <c r="M12" s="477">
        <f>'Haver Pivoted'!GX31</f>
        <v>5094.8</v>
      </c>
      <c r="N12" s="477">
        <f>'Haver Pivoted'!GY31</f>
        <v>3395.6</v>
      </c>
      <c r="O12" s="477">
        <f>'Haver Pivoted'!GZ31</f>
        <v>3146.3</v>
      </c>
      <c r="P12" s="477">
        <f>'Haver Pivoted'!HA31</f>
        <v>2937.4</v>
      </c>
      <c r="Q12" s="477">
        <f>'Haver Pivoted'!HB31</f>
        <v>2863</v>
      </c>
      <c r="R12" s="477">
        <f>'Haver Pivoted'!HC31</f>
        <v>2846.5</v>
      </c>
      <c r="S12" s="421">
        <f>'Haver Pivoted'!HD31</f>
        <v>2841.4</v>
      </c>
      <c r="T12" s="647">
        <f t="shared" ref="T12:AC12" si="0">SUM(T14:T25)-T24</f>
        <v>2810.8252994609857</v>
      </c>
      <c r="U12" s="431">
        <f>SUM(U14:U25)-U24</f>
        <v>2883.8305922902809</v>
      </c>
      <c r="V12" s="431">
        <f t="shared" si="0"/>
        <v>2913.9856572669041</v>
      </c>
      <c r="W12" s="431">
        <f t="shared" si="0"/>
        <v>2945.0689390492726</v>
      </c>
      <c r="X12" s="431">
        <f t="shared" si="0"/>
        <v>2968.8831360216986</v>
      </c>
      <c r="Y12" s="431">
        <f t="shared" si="0"/>
        <v>3039.1308316959125</v>
      </c>
      <c r="Z12" s="431">
        <f t="shared" si="0"/>
        <v>3073.517764579286</v>
      </c>
      <c r="AA12" s="431">
        <f t="shared" si="0"/>
        <v>3107.0034386879615</v>
      </c>
      <c r="AB12" s="431">
        <f t="shared" si="0"/>
        <v>3139.4833777875365</v>
      </c>
      <c r="AC12" s="682">
        <f t="shared" si="0"/>
        <v>3200.1882245058068</v>
      </c>
    </row>
    <row r="13" spans="2:29" x14ac:dyDescent="0.3">
      <c r="B13" s="447"/>
      <c r="C13" s="154"/>
      <c r="D13" s="566"/>
      <c r="E13" s="477"/>
      <c r="F13" s="477"/>
      <c r="G13" s="477"/>
      <c r="H13" s="477"/>
      <c r="I13" s="477"/>
      <c r="J13" s="477"/>
      <c r="K13" s="477"/>
      <c r="L13" s="477"/>
      <c r="M13" s="477"/>
      <c r="N13" s="477"/>
      <c r="O13" s="477"/>
      <c r="P13" s="154"/>
      <c r="Q13" s="138"/>
      <c r="R13" s="138"/>
      <c r="S13" s="153"/>
      <c r="T13" s="355"/>
      <c r="U13" s="356"/>
      <c r="V13" s="356"/>
      <c r="W13" s="356"/>
      <c r="X13" s="356"/>
      <c r="Y13" s="356"/>
      <c r="Z13" s="356"/>
      <c r="AA13" s="356"/>
      <c r="AB13" s="356"/>
      <c r="AC13" s="368"/>
    </row>
    <row r="14" spans="2:29" ht="35.700000000000003" customHeight="1" x14ac:dyDescent="0.3">
      <c r="B14" s="270" t="s">
        <v>530</v>
      </c>
      <c r="C14" s="154"/>
      <c r="D14" s="566">
        <f>'Unemployment Insurance'!D20+'Unemployment Insurance'!D19</f>
        <v>27.8</v>
      </c>
      <c r="E14" s="477">
        <f>'Unemployment Insurance'!E20+'Unemployment Insurance'!E19</f>
        <v>29.4</v>
      </c>
      <c r="F14" s="477">
        <f>'Unemployment Insurance'!F20+'Unemployment Insurance'!F19</f>
        <v>26.9</v>
      </c>
      <c r="G14" s="477">
        <f>'Unemployment Insurance'!G20+'Unemployment Insurance'!G19</f>
        <v>26.4</v>
      </c>
      <c r="H14" s="477">
        <f>'Unemployment Insurance'!H20+'Unemployment Insurance'!H19</f>
        <v>27.7</v>
      </c>
      <c r="I14" s="477">
        <f>'Unemployment Insurance'!I20+'Unemployment Insurance'!I19</f>
        <v>40.700000000000003</v>
      </c>
      <c r="J14" s="477">
        <f>'Unemployment Insurance'!J20+'Unemployment Insurance'!J19</f>
        <v>1007.5</v>
      </c>
      <c r="K14" s="477">
        <f>'Unemployment Insurance'!K20+'Unemployment Insurance'!K19</f>
        <v>792.89999999999986</v>
      </c>
      <c r="L14" s="477">
        <f>'Unemployment Insurance'!L20+'Unemployment Insurance'!L19</f>
        <v>308.5</v>
      </c>
      <c r="M14" s="477">
        <f>'Unemployment Insurance'!M20+'Unemployment Insurance'!M19</f>
        <v>556.20000000000005</v>
      </c>
      <c r="N14" s="477">
        <f>'Unemployment Insurance'!N20+'Unemployment Insurance'!N19</f>
        <v>448.6</v>
      </c>
      <c r="O14" s="477">
        <f>'Unemployment Insurance'!O20+'Unemployment Insurance'!O19</f>
        <v>245.1</v>
      </c>
      <c r="P14" s="477">
        <f>'Unemployment Insurance'!P20+'Unemployment Insurance'!P19</f>
        <v>33.799999999999997</v>
      </c>
      <c r="Q14" s="477">
        <f>'Unemployment Insurance'!Q20+'Unemployment Insurance'!Q19</f>
        <v>23.6</v>
      </c>
      <c r="R14" s="477">
        <f>'Unemployment Insurance'!R20+'Unemployment Insurance'!R19</f>
        <v>18.600000000000001</v>
      </c>
      <c r="S14" s="425">
        <f>'Unemployment Insurance'!S20+'Unemployment Insurance'!S19</f>
        <v>18.5</v>
      </c>
      <c r="T14" s="647">
        <f>'Unemployment Insurance'!T20+'Unemployment Insurance'!T19</f>
        <v>18.420560747663554</v>
      </c>
      <c r="U14" s="431">
        <f>'Unemployment Insurance'!U20+'Unemployment Insurance'!U19</f>
        <v>18.067289719626174</v>
      </c>
      <c r="V14" s="431">
        <f>'Unemployment Insurance'!V20+'Unemployment Insurance'!V19</f>
        <v>17.764485981308418</v>
      </c>
      <c r="W14" s="431">
        <f>'Unemployment Insurance'!W20+'Unemployment Insurance'!W19</f>
        <v>17.820000000000007</v>
      </c>
      <c r="X14" s="431">
        <f>'Unemployment Insurance'!X20+'Unemployment Insurance'!X19</f>
        <v>17.920934579439262</v>
      </c>
      <c r="Y14" s="431">
        <f>'Unemployment Insurance'!Y20+'Unemployment Insurance'!Y19</f>
        <v>18.279252336448607</v>
      </c>
      <c r="Z14" s="431">
        <f>'Unemployment Insurance'!Z20+'Unemployment Insurance'!Z19</f>
        <v>20.045607476635524</v>
      </c>
      <c r="AA14" s="431">
        <f>'Unemployment Insurance'!AA20+'Unemployment Insurance'!AA19</f>
        <v>20.292897196261695</v>
      </c>
      <c r="AB14" s="431">
        <f>'Unemployment Insurance'!AB20+'Unemployment Insurance'!AB19</f>
        <v>20.600747663551413</v>
      </c>
      <c r="AC14" s="682">
        <f>'Unemployment Insurance'!AC20+'Unemployment Insurance'!AC19</f>
        <v>20.898504672897207</v>
      </c>
    </row>
    <row r="15" spans="2:29" ht="17.7" customHeight="1" x14ac:dyDescent="0.3">
      <c r="B15" s="270" t="s">
        <v>55</v>
      </c>
      <c r="C15" s="154"/>
      <c r="D15" s="566">
        <f>Medicare!D10</f>
        <v>755.3</v>
      </c>
      <c r="E15" s="477">
        <f>Medicare!E10</f>
        <v>772.6</v>
      </c>
      <c r="F15" s="477">
        <f>Medicare!F10</f>
        <v>785.8</v>
      </c>
      <c r="G15" s="477">
        <f>Medicare!G10</f>
        <v>793.7</v>
      </c>
      <c r="H15" s="477">
        <f>Medicare!H10</f>
        <v>796.3</v>
      </c>
      <c r="I15" s="477">
        <f>Medicare!I10</f>
        <v>795.3</v>
      </c>
      <c r="J15" s="477">
        <f>Medicare!J10</f>
        <v>808</v>
      </c>
      <c r="K15" s="477">
        <f>Medicare!K10</f>
        <v>822.1</v>
      </c>
      <c r="L15" s="477">
        <f>Medicare!L10</f>
        <v>837.5</v>
      </c>
      <c r="M15" s="477">
        <f>Medicare!M10</f>
        <v>857.6</v>
      </c>
      <c r="N15" s="477">
        <f>Medicare!N10</f>
        <v>875.4</v>
      </c>
      <c r="O15" s="477">
        <f>Medicare!O10</f>
        <v>889.5</v>
      </c>
      <c r="P15" s="477">
        <f>Medicare!P10</f>
        <v>900</v>
      </c>
      <c r="Q15" s="477">
        <f>Medicare!Q10</f>
        <v>908</v>
      </c>
      <c r="R15" s="477">
        <f>Medicare!R10</f>
        <v>911.8</v>
      </c>
      <c r="S15" s="425">
        <f>Medicare!S10</f>
        <v>920.3</v>
      </c>
      <c r="T15" s="647">
        <f>Medicare!T10</f>
        <v>942.65830121332203</v>
      </c>
      <c r="U15" s="431">
        <f>Medicare!U10</f>
        <v>965.55978794565488</v>
      </c>
      <c r="V15" s="431">
        <f>Medicare!V10</f>
        <v>989.017656660596</v>
      </c>
      <c r="W15" s="431">
        <f>Medicare!W10</f>
        <v>1013.0454244242726</v>
      </c>
      <c r="X15" s="431">
        <f>Medicare!X10</f>
        <v>1037.4736868172592</v>
      </c>
      <c r="Y15" s="431">
        <f>Medicare!Y10</f>
        <v>1062.4910047344636</v>
      </c>
      <c r="Z15" s="431">
        <f>Medicare!Z10</f>
        <v>1088.11158247765</v>
      </c>
      <c r="AA15" s="431">
        <f>Medicare!AA10</f>
        <v>1114.3499668666996</v>
      </c>
      <c r="AB15" s="431">
        <f>Medicare!AB10</f>
        <v>1141.2210554989849</v>
      </c>
      <c r="AC15" s="682">
        <f>Medicare!AC10</f>
        <v>1168.7401052079097</v>
      </c>
    </row>
    <row r="16" spans="2:29" ht="18" customHeight="1" x14ac:dyDescent="0.3">
      <c r="B16" s="447" t="s">
        <v>531</v>
      </c>
      <c r="C16" s="154"/>
      <c r="D16" s="283"/>
      <c r="E16" s="138"/>
      <c r="F16" s="138"/>
      <c r="G16" s="138"/>
      <c r="H16" s="477">
        <f>'Rebate Checks'!H10 +'Rebate Checks'!H11</f>
        <v>0</v>
      </c>
      <c r="I16" s="477">
        <f>'Rebate Checks'!I10 +'Rebate Checks'!I11</f>
        <v>0</v>
      </c>
      <c r="J16" s="477">
        <f>'Rebate Checks'!J10 +'Rebate Checks'!J11</f>
        <v>1078.0999999999999</v>
      </c>
      <c r="K16" s="477">
        <f>'Rebate Checks'!K10 +'Rebate Checks'!K11</f>
        <v>15.6</v>
      </c>
      <c r="L16" s="477">
        <f>'Rebate Checks'!L10 +'Rebate Checks'!L11</f>
        <v>5</v>
      </c>
      <c r="M16" s="477">
        <f>'Rebate Checks'!M10 +'Rebate Checks'!M11</f>
        <v>1933.6999999999998</v>
      </c>
      <c r="N16" s="477">
        <f>'Rebate Checks'!N10 +'Rebate Checks'!N11</f>
        <v>290.10000000000002</v>
      </c>
      <c r="O16" s="477">
        <f>'Rebate Checks'!O10 +'Rebate Checks'!O11</f>
        <v>38.9</v>
      </c>
      <c r="P16" s="477">
        <f>'Rebate Checks'!P10 +'Rebate Checks'!P11</f>
        <v>14.2</v>
      </c>
      <c r="Q16" s="477">
        <f>'Rebate Checks'!Q10 +'Rebate Checks'!Q11</f>
        <v>0</v>
      </c>
      <c r="R16" s="477">
        <f>'Rebate Checks'!Q10 +'Rebate Checks'!R11</f>
        <v>0</v>
      </c>
      <c r="S16" s="425">
        <f>'Rebate Checks'!S10 +'Rebate Checks'!S11</f>
        <v>0</v>
      </c>
      <c r="T16" s="647">
        <f>'Rebate Checks'!T10 +'Rebate Checks'!T11</f>
        <v>0</v>
      </c>
      <c r="U16" s="431">
        <f>'Rebate Checks'!U10 +'Rebate Checks'!U11</f>
        <v>0</v>
      </c>
      <c r="V16" s="431">
        <f>'Rebate Checks'!V10 +'Rebate Checks'!V11</f>
        <v>0</v>
      </c>
      <c r="W16" s="431">
        <f>'Rebate Checks'!W10 +'Rebate Checks'!W11</f>
        <v>0</v>
      </c>
      <c r="X16" s="431">
        <f>'Rebate Checks'!X10 +'Rebate Checks'!X11</f>
        <v>0</v>
      </c>
      <c r="Y16" s="431">
        <f>'Rebate Checks'!Y10 +'Rebate Checks'!Y11</f>
        <v>0</v>
      </c>
      <c r="Z16" s="431">
        <f>'Rebate Checks'!Z10 +'Rebate Checks'!Z11</f>
        <v>0</v>
      </c>
      <c r="AA16" s="431">
        <f>'Rebate Checks'!AA10 +'Rebate Checks'!AA11</f>
        <v>0</v>
      </c>
      <c r="AB16" s="431">
        <f>'Rebate Checks'!AB10 +'Rebate Checks'!AB11</f>
        <v>0</v>
      </c>
      <c r="AC16" s="682">
        <f>'Rebate Checks'!AC10 +'Rebate Checks'!AC11</f>
        <v>0</v>
      </c>
    </row>
    <row r="17" spans="2:101" ht="19.95" customHeight="1" x14ac:dyDescent="0.3">
      <c r="B17" s="271" t="s">
        <v>534</v>
      </c>
      <c r="C17" s="257"/>
      <c r="D17" s="639"/>
      <c r="E17" s="608"/>
      <c r="F17" s="608"/>
      <c r="G17" s="608"/>
      <c r="H17" s="533"/>
      <c r="I17" s="533"/>
      <c r="J17" s="533"/>
      <c r="K17" s="533"/>
      <c r="L17" s="533"/>
      <c r="M17" s="533">
        <f>'ARP Quarterly'!C5</f>
        <v>0</v>
      </c>
      <c r="N17" s="533">
        <f>'ARP Quarterly'!D5</f>
        <v>33.921840000000024</v>
      </c>
      <c r="O17" s="533">
        <f>'ARP Quarterly'!E5</f>
        <v>44.966160000000031</v>
      </c>
      <c r="P17" s="533">
        <f>'ARP Quarterly'!F5</f>
        <v>52.756999999999998</v>
      </c>
      <c r="Q17" s="533">
        <f>'ARP Quarterly'!G5</f>
        <v>52.756999999999998</v>
      </c>
      <c r="R17" s="533">
        <f>'ARP Quarterly'!H5</f>
        <v>52.756999999999998</v>
      </c>
      <c r="S17" s="575">
        <f>'ARP Quarterly'!I5</f>
        <v>52.756999999999998</v>
      </c>
      <c r="T17" s="648">
        <f>'ARP Quarterly'!J5</f>
        <v>12</v>
      </c>
      <c r="U17" s="550">
        <f>'ARP Quarterly'!K5</f>
        <v>12</v>
      </c>
      <c r="V17" s="550">
        <f>'ARP Quarterly'!L5</f>
        <v>12</v>
      </c>
      <c r="W17" s="550">
        <f>'ARP Quarterly'!M5</f>
        <v>12</v>
      </c>
      <c r="X17" s="550">
        <f>'ARP Quarterly'!N5</f>
        <v>4.2219999999999995</v>
      </c>
      <c r="Y17" s="550">
        <f>'ARP Quarterly'!O5</f>
        <v>4.2219999999999995</v>
      </c>
      <c r="Z17" s="550">
        <f>'ARP Quarterly'!P5</f>
        <v>4.2219999999999995</v>
      </c>
      <c r="AA17" s="550">
        <f>'ARP Quarterly'!Q5</f>
        <v>4.2219999999999995</v>
      </c>
      <c r="AB17" s="550">
        <f>'ARP Quarterly'!R5</f>
        <v>2.3719999999999999</v>
      </c>
      <c r="AC17" s="662">
        <f>'ARP Quarterly'!S5</f>
        <v>2.3719999999999999</v>
      </c>
    </row>
    <row r="18" spans="2:101" ht="22.2" customHeight="1" x14ac:dyDescent="0.3">
      <c r="B18" s="270" t="s">
        <v>218</v>
      </c>
      <c r="C18" s="669"/>
      <c r="D18" s="281"/>
      <c r="E18" s="149"/>
      <c r="F18" s="149"/>
      <c r="G18" s="149"/>
      <c r="H18" s="149"/>
      <c r="I18" s="149"/>
      <c r="J18" s="149"/>
      <c r="K18" s="149"/>
      <c r="L18" s="149"/>
      <c r="M18" s="477">
        <f>'ARP Quarterly'!C4</f>
        <v>0</v>
      </c>
      <c r="N18" s="477">
        <f>'ARP Quarterly'!D4</f>
        <v>0</v>
      </c>
      <c r="O18" s="477">
        <f>'ARP Quarterly'!E4</f>
        <v>3.1040000000000418</v>
      </c>
      <c r="P18" s="477">
        <f>'ARP Quarterly'!F4</f>
        <v>19.719000000000005</v>
      </c>
      <c r="Q18" s="477">
        <f>'ARP Quarterly'!G4</f>
        <v>19.719000000000005</v>
      </c>
      <c r="R18" s="477">
        <f>'ARP Quarterly'!H4</f>
        <v>19.719000000000005</v>
      </c>
      <c r="S18" s="425">
        <f>'ARP Quarterly'!I4</f>
        <v>19.719000000000005</v>
      </c>
      <c r="T18" s="647">
        <f>'ARP Quarterly'!J4</f>
        <v>1.4159999999999999</v>
      </c>
      <c r="U18" s="431">
        <f>'ARP Quarterly'!K4</f>
        <v>1.4159999999999999</v>
      </c>
      <c r="V18" s="431">
        <f>'ARP Quarterly'!L4</f>
        <v>1.4159999999999999</v>
      </c>
      <c r="W18" s="431">
        <f>'ARP Quarterly'!M4</f>
        <v>1.4159999999999999</v>
      </c>
      <c r="X18" s="431">
        <f>'ARP Quarterly'!N4</f>
        <v>1.4790000000000001</v>
      </c>
      <c r="Y18" s="431">
        <f>'ARP Quarterly'!O4</f>
        <v>1.4790000000000001</v>
      </c>
      <c r="Z18" s="431">
        <f>'ARP Quarterly'!P4</f>
        <v>1.4790000000000001</v>
      </c>
      <c r="AA18" s="431">
        <f>'ARP Quarterly'!Q4</f>
        <v>1.4790000000000001</v>
      </c>
      <c r="AB18" s="431">
        <f>'ARP Quarterly'!R4</f>
        <v>1.63</v>
      </c>
      <c r="AC18" s="682">
        <f>'ARP Quarterly'!S4</f>
        <v>1.63</v>
      </c>
      <c r="AE18" s="669"/>
      <c r="AF18" s="669"/>
      <c r="AG18" s="669"/>
      <c r="AH18" s="669"/>
      <c r="AI18" s="669"/>
      <c r="AJ18" s="669"/>
      <c r="AK18" s="669"/>
      <c r="AL18" s="669"/>
      <c r="AM18" s="669"/>
      <c r="AN18" s="669"/>
      <c r="AO18" s="669"/>
      <c r="AP18" s="669"/>
      <c r="AQ18" s="669"/>
      <c r="AR18" s="669"/>
      <c r="AS18" s="669"/>
      <c r="AT18" s="669"/>
      <c r="AU18" s="669"/>
      <c r="AV18" s="669"/>
      <c r="AW18" s="669"/>
      <c r="AX18" s="669"/>
      <c r="AY18" s="669"/>
      <c r="AZ18" s="669"/>
      <c r="BA18" s="669"/>
      <c r="BB18" s="669"/>
      <c r="BC18" s="669"/>
      <c r="BD18" s="669"/>
      <c r="BE18" s="669"/>
      <c r="BF18" s="669"/>
      <c r="BG18" s="669"/>
      <c r="BH18" s="669"/>
      <c r="BI18" s="669"/>
      <c r="BJ18" s="669"/>
      <c r="BK18" s="669"/>
      <c r="BL18" s="669"/>
      <c r="BM18" s="669"/>
      <c r="BN18" s="669"/>
      <c r="BO18" s="669"/>
      <c r="BP18" s="669"/>
      <c r="BQ18" s="669"/>
      <c r="BR18" s="669"/>
      <c r="BS18" s="669"/>
      <c r="BT18" s="669"/>
      <c r="BU18" s="669"/>
      <c r="BV18" s="669"/>
      <c r="BW18" s="669"/>
      <c r="BX18" s="669"/>
      <c r="BY18" s="669"/>
      <c r="BZ18" s="669"/>
      <c r="CA18" s="669"/>
      <c r="CB18" s="669"/>
      <c r="CC18" s="669"/>
      <c r="CD18" s="669"/>
      <c r="CE18" s="669"/>
      <c r="CF18" s="669"/>
      <c r="CG18" s="669"/>
      <c r="CH18" s="669"/>
      <c r="CI18" s="669"/>
      <c r="CJ18" s="669"/>
      <c r="CK18" s="669"/>
      <c r="CL18" s="669"/>
      <c r="CM18" s="669"/>
      <c r="CN18" s="669"/>
      <c r="CO18" s="669"/>
      <c r="CP18" s="669"/>
      <c r="CQ18" s="669"/>
      <c r="CR18" s="669"/>
      <c r="CS18" s="669"/>
      <c r="CT18" s="669"/>
      <c r="CU18" s="669"/>
      <c r="CV18" s="669"/>
      <c r="CW18" s="669"/>
    </row>
    <row r="19" spans="2:101" ht="19.5" customHeight="1" x14ac:dyDescent="0.3">
      <c r="B19" s="270" t="s">
        <v>49</v>
      </c>
      <c r="C19" s="669"/>
      <c r="D19" s="281">
        <f>'Provider Relief'!D11</f>
        <v>0</v>
      </c>
      <c r="E19" s="149">
        <f>'Provider Relief'!E11</f>
        <v>0</v>
      </c>
      <c r="F19" s="149">
        <f>'Provider Relief'!F11</f>
        <v>0</v>
      </c>
      <c r="G19" s="149">
        <f>'Provider Relief'!G11</f>
        <v>0</v>
      </c>
      <c r="H19" s="149">
        <f>'Provider Relief'!H11</f>
        <v>0</v>
      </c>
      <c r="I19" s="149">
        <f>'Provider Relief'!I11</f>
        <v>0</v>
      </c>
      <c r="J19" s="149">
        <f>'Provider Relief'!J11</f>
        <v>160.9</v>
      </c>
      <c r="K19" s="149">
        <f>'Provider Relief'!K11</f>
        <v>58.4</v>
      </c>
      <c r="L19" s="149">
        <f>'Provider Relief'!L11</f>
        <v>34.5</v>
      </c>
      <c r="M19" s="149">
        <f>'Provider Relief'!M11</f>
        <v>21.4</v>
      </c>
      <c r="N19" s="149">
        <f>'Provider Relief'!N11</f>
        <v>13.3</v>
      </c>
      <c r="O19" s="149">
        <f>'Provider Relief'!O11</f>
        <v>18.7</v>
      </c>
      <c r="P19" s="149">
        <f>'Provider Relief'!P11</f>
        <v>32.200000000000003</v>
      </c>
      <c r="Q19" s="149">
        <f>'Provider Relief'!Q11</f>
        <v>26.9</v>
      </c>
      <c r="R19" s="149">
        <f>'Provider Relief'!R11</f>
        <v>20</v>
      </c>
      <c r="S19" s="299">
        <f>'Provider Relief'!S11</f>
        <v>8.1</v>
      </c>
      <c r="T19" s="649">
        <f>'Provider Relief'!T11</f>
        <v>0</v>
      </c>
      <c r="U19" s="650">
        <f>'Provider Relief'!U11</f>
        <v>0</v>
      </c>
      <c r="V19" s="650">
        <f>'Provider Relief'!V11</f>
        <v>0</v>
      </c>
      <c r="W19" s="650">
        <f>'Provider Relief'!W11</f>
        <v>0</v>
      </c>
      <c r="X19" s="650">
        <f>'Provider Relief'!X11</f>
        <v>0</v>
      </c>
      <c r="Y19" s="650">
        <f>'Provider Relief'!Y11</f>
        <v>0</v>
      </c>
      <c r="Z19" s="650">
        <f>'Provider Relief'!Z11</f>
        <v>0</v>
      </c>
      <c r="AA19" s="650">
        <f>'Provider Relief'!AA11</f>
        <v>0</v>
      </c>
      <c r="AB19" s="650">
        <f>'Provider Relief'!AB11</f>
        <v>0</v>
      </c>
      <c r="AC19" s="670">
        <f>'Provider Relief'!AC11</f>
        <v>0</v>
      </c>
      <c r="AE19" s="669"/>
      <c r="AF19" s="669"/>
      <c r="AG19" s="669"/>
      <c r="AH19" s="669"/>
      <c r="AI19" s="669"/>
      <c r="AJ19" s="669"/>
      <c r="AK19" s="669"/>
      <c r="AL19" s="669"/>
      <c r="AM19" s="669"/>
      <c r="AN19" s="669"/>
      <c r="AO19" s="669"/>
      <c r="AP19" s="669"/>
      <c r="AQ19" s="669"/>
      <c r="AR19" s="669"/>
      <c r="AS19" s="669"/>
      <c r="AT19" s="669"/>
      <c r="AU19" s="669"/>
      <c r="AV19" s="669"/>
      <c r="AW19" s="669"/>
      <c r="AX19" s="669"/>
      <c r="AY19" s="669"/>
      <c r="AZ19" s="669"/>
      <c r="BA19" s="669"/>
      <c r="BB19" s="669"/>
      <c r="BC19" s="669"/>
      <c r="BD19" s="669"/>
      <c r="BE19" s="669"/>
      <c r="BF19" s="669"/>
      <c r="BG19" s="669"/>
      <c r="BH19" s="669"/>
      <c r="BI19" s="669"/>
      <c r="BJ19" s="669"/>
      <c r="BK19" s="669"/>
      <c r="BL19" s="669"/>
      <c r="BM19" s="669"/>
      <c r="BN19" s="669"/>
      <c r="BO19" s="669"/>
      <c r="BP19" s="669"/>
      <c r="BQ19" s="669"/>
      <c r="BR19" s="669"/>
      <c r="BS19" s="669"/>
      <c r="BT19" s="669"/>
      <c r="BU19" s="669"/>
      <c r="BV19" s="669"/>
      <c r="BW19" s="669"/>
      <c r="BX19" s="669"/>
      <c r="BY19" s="669"/>
      <c r="BZ19" s="669"/>
      <c r="CA19" s="669"/>
      <c r="CB19" s="669"/>
      <c r="CC19" s="669"/>
      <c r="CD19" s="669"/>
      <c r="CE19" s="669"/>
      <c r="CF19" s="669"/>
      <c r="CG19" s="669"/>
      <c r="CH19" s="669"/>
      <c r="CI19" s="669"/>
      <c r="CJ19" s="669"/>
      <c r="CK19" s="669"/>
      <c r="CL19" s="669"/>
      <c r="CM19" s="669"/>
      <c r="CN19" s="669"/>
      <c r="CO19" s="669"/>
      <c r="CP19" s="669"/>
      <c r="CQ19" s="669"/>
      <c r="CR19" s="669"/>
      <c r="CS19" s="669"/>
      <c r="CT19" s="669"/>
      <c r="CU19" s="669"/>
      <c r="CV19" s="669"/>
      <c r="CW19" s="669"/>
    </row>
    <row r="20" spans="2:101" ht="36.450000000000003" customHeight="1" x14ac:dyDescent="0.3">
      <c r="B20" s="270" t="s">
        <v>1541</v>
      </c>
      <c r="C20" s="154"/>
      <c r="D20" s="283">
        <f>D63</f>
        <v>0</v>
      </c>
      <c r="E20" s="138">
        <f t="shared" ref="E20:AC20" si="1">E63</f>
        <v>0</v>
      </c>
      <c r="F20" s="138">
        <f t="shared" si="1"/>
        <v>0</v>
      </c>
      <c r="G20" s="138">
        <f t="shared" si="1"/>
        <v>0</v>
      </c>
      <c r="H20" s="138">
        <f t="shared" si="1"/>
        <v>0</v>
      </c>
      <c r="I20" s="477">
        <f t="shared" si="1"/>
        <v>5.0234999999999914</v>
      </c>
      <c r="J20" s="477">
        <f t="shared" si="1"/>
        <v>45.406499999999987</v>
      </c>
      <c r="K20" s="477">
        <f t="shared" si="1"/>
        <v>50.178499999999993</v>
      </c>
      <c r="L20" s="477">
        <f t="shared" si="1"/>
        <v>60.014499999999991</v>
      </c>
      <c r="M20" s="477">
        <f t="shared" si="1"/>
        <v>86.04249999999999</v>
      </c>
      <c r="N20" s="477">
        <f t="shared" si="1"/>
        <v>100.69149999999999</v>
      </c>
      <c r="O20" s="477">
        <f t="shared" si="1"/>
        <v>95.460499999999996</v>
      </c>
      <c r="P20" s="477">
        <f t="shared" si="1"/>
        <v>100.72550000000001</v>
      </c>
      <c r="Q20" s="477">
        <f t="shared" si="1"/>
        <v>80.643499999999989</v>
      </c>
      <c r="R20" s="477">
        <f t="shared" si="1"/>
        <v>63.702499999999993</v>
      </c>
      <c r="S20" s="425">
        <f t="shared" si="1"/>
        <v>58.451499999999989</v>
      </c>
      <c r="T20" s="647">
        <f t="shared" si="1"/>
        <v>65.757937499999983</v>
      </c>
      <c r="U20" s="431">
        <f t="shared" si="1"/>
        <v>62.470040624999982</v>
      </c>
      <c r="V20" s="431">
        <f t="shared" si="1"/>
        <v>62.470040624999982</v>
      </c>
      <c r="W20" s="431">
        <f t="shared" si="1"/>
        <v>62.470040624999982</v>
      </c>
      <c r="X20" s="431">
        <f t="shared" si="1"/>
        <v>62.470040624999982</v>
      </c>
      <c r="Y20" s="431">
        <f t="shared" si="1"/>
        <v>62.470040624999982</v>
      </c>
      <c r="Z20" s="431">
        <f t="shared" si="1"/>
        <v>62.470040624999982</v>
      </c>
      <c r="AA20" s="431">
        <f t="shared" si="1"/>
        <v>62.470040624999982</v>
      </c>
      <c r="AB20" s="431">
        <f t="shared" si="1"/>
        <v>62.470040624999982</v>
      </c>
      <c r="AC20" s="682">
        <f t="shared" si="1"/>
        <v>62.470040624999982</v>
      </c>
      <c r="AE20" s="154"/>
      <c r="AF20" s="154"/>
      <c r="AG20" s="154"/>
      <c r="AH20" s="154"/>
      <c r="AI20" s="154"/>
      <c r="AJ20" s="154"/>
      <c r="AK20" s="154"/>
      <c r="AL20" s="154"/>
      <c r="AM20" s="154"/>
      <c r="AN20" s="154"/>
      <c r="AO20" s="154"/>
      <c r="AP20" s="154"/>
      <c r="AQ20" s="154"/>
      <c r="AR20" s="154"/>
      <c r="AS20" s="154"/>
      <c r="AT20" s="154"/>
      <c r="AU20" s="154"/>
      <c r="AV20" s="154"/>
      <c r="AW20" s="154"/>
      <c r="AX20" s="154"/>
      <c r="AY20" s="154"/>
      <c r="AZ20" s="154"/>
      <c r="BA20" s="154"/>
      <c r="BB20" s="154"/>
      <c r="BC20" s="154"/>
      <c r="BD20" s="154"/>
      <c r="BE20" s="154"/>
      <c r="BF20" s="154"/>
      <c r="BG20" s="154"/>
      <c r="BH20" s="154"/>
      <c r="BI20" s="154"/>
      <c r="BJ20" s="154"/>
      <c r="BK20" s="154"/>
      <c r="BL20" s="154"/>
      <c r="BM20" s="154"/>
      <c r="BN20" s="154"/>
      <c r="BO20" s="154"/>
      <c r="BP20" s="154"/>
      <c r="BQ20" s="154"/>
      <c r="BR20" s="154"/>
      <c r="BS20" s="154"/>
      <c r="BT20" s="154"/>
      <c r="BU20" s="154"/>
      <c r="BV20" s="154"/>
      <c r="BW20" s="154"/>
      <c r="BX20" s="154"/>
      <c r="BY20" s="154"/>
      <c r="BZ20" s="154"/>
      <c r="CA20" s="154"/>
      <c r="CB20" s="154"/>
      <c r="CC20" s="154"/>
      <c r="CD20" s="154"/>
      <c r="CE20" s="154"/>
      <c r="CF20" s="154"/>
      <c r="CG20" s="154"/>
      <c r="CH20" s="154"/>
      <c r="CI20" s="154"/>
      <c r="CJ20" s="154"/>
      <c r="CK20" s="154"/>
      <c r="CL20" s="154"/>
      <c r="CM20" s="154"/>
      <c r="CN20" s="154"/>
      <c r="CO20" s="154"/>
      <c r="CP20" s="154"/>
      <c r="CQ20" s="154"/>
      <c r="CR20" s="154"/>
      <c r="CS20" s="154"/>
      <c r="CT20" s="154"/>
      <c r="CU20" s="154"/>
      <c r="CV20" s="154"/>
    </row>
    <row r="21" spans="2:101" ht="15.45" customHeight="1" x14ac:dyDescent="0.3">
      <c r="B21" s="270" t="s">
        <v>865</v>
      </c>
      <c r="C21" s="154" t="s">
        <v>894</v>
      </c>
      <c r="D21" s="281">
        <v>30</v>
      </c>
      <c r="E21" s="149">
        <v>30</v>
      </c>
      <c r="F21" s="149">
        <v>30</v>
      </c>
      <c r="G21" s="149">
        <v>30</v>
      </c>
      <c r="H21" s="149">
        <v>30</v>
      </c>
      <c r="I21" s="149">
        <v>30</v>
      </c>
      <c r="J21" s="149">
        <v>30</v>
      </c>
      <c r="K21" s="147">
        <v>30.2</v>
      </c>
      <c r="L21" s="147">
        <v>30.2</v>
      </c>
      <c r="M21" s="147">
        <f>'Haver Pivoted'!GX89</f>
        <v>34.4</v>
      </c>
      <c r="N21" s="147">
        <f>'Haver Pivoted'!GY89</f>
        <v>34.4</v>
      </c>
      <c r="O21" s="147">
        <f>'Haver Pivoted'!GZ89</f>
        <v>218.933333333333</v>
      </c>
      <c r="P21" s="147">
        <f>'Haver Pivoted'!HA89</f>
        <v>223.13333333333301</v>
      </c>
      <c r="Q21" s="147">
        <f>'Haver Pivoted'!HB89</f>
        <v>94.3</v>
      </c>
      <c r="R21" s="147">
        <f>'Haver Pivoted'!HC89</f>
        <v>94.3</v>
      </c>
      <c r="S21" s="633">
        <f>'Haver Pivoted'!HD89</f>
        <v>94.3</v>
      </c>
      <c r="T21" s="647">
        <f t="shared" ref="T21" si="2">S21</f>
        <v>94.3</v>
      </c>
      <c r="U21" s="431">
        <v>34</v>
      </c>
      <c r="V21" s="431">
        <v>34</v>
      </c>
      <c r="W21" s="431">
        <v>34</v>
      </c>
      <c r="X21" s="431">
        <v>34</v>
      </c>
      <c r="Y21" s="431">
        <v>34</v>
      </c>
      <c r="Z21" s="431">
        <v>34</v>
      </c>
      <c r="AA21" s="431">
        <v>34</v>
      </c>
      <c r="AB21" s="431">
        <v>34</v>
      </c>
      <c r="AC21" s="682">
        <v>34</v>
      </c>
    </row>
    <row r="22" spans="2:101" ht="21.45" customHeight="1" x14ac:dyDescent="0.3">
      <c r="B22" s="270" t="s">
        <v>532</v>
      </c>
      <c r="C22" s="154"/>
      <c r="D22" s="283"/>
      <c r="E22" s="138"/>
      <c r="F22" s="138"/>
      <c r="G22" s="138"/>
      <c r="H22" s="477"/>
      <c r="I22" s="477"/>
      <c r="J22" s="477">
        <f>PPP!J53</f>
        <v>57.2</v>
      </c>
      <c r="K22" s="477">
        <f>PPP!K53</f>
        <v>81.2</v>
      </c>
      <c r="L22" s="477">
        <f>PPP!L53</f>
        <v>24.4</v>
      </c>
      <c r="M22" s="477">
        <f>PPP!M53</f>
        <v>11.7</v>
      </c>
      <c r="N22" s="477">
        <f>PPP!N53</f>
        <v>28.5</v>
      </c>
      <c r="O22" s="477">
        <f>PPP!O53</f>
        <v>18.8</v>
      </c>
      <c r="P22" s="477">
        <f>PPP!P53</f>
        <v>1.6</v>
      </c>
      <c r="Q22" s="477">
        <f>PPP!Q53</f>
        <v>0</v>
      </c>
      <c r="R22" s="477">
        <f>PPP!Q61</f>
        <v>0</v>
      </c>
      <c r="S22" s="425">
        <f>PPP!S53</f>
        <v>0</v>
      </c>
      <c r="T22" s="647">
        <f>PPP!T53</f>
        <v>0</v>
      </c>
      <c r="U22" s="431">
        <f>PPP!U53</f>
        <v>0</v>
      </c>
      <c r="V22" s="431">
        <f>PPP!V53</f>
        <v>0</v>
      </c>
      <c r="W22" s="431">
        <f>PPP!W53</f>
        <v>0</v>
      </c>
      <c r="X22" s="431">
        <f>PPP!X53</f>
        <v>0</v>
      </c>
      <c r="Y22" s="431">
        <f>PPP!Y53</f>
        <v>0</v>
      </c>
      <c r="Z22" s="431">
        <f>PPP!Z53</f>
        <v>0</v>
      </c>
      <c r="AA22" s="431">
        <f>PPP!AA53</f>
        <v>0</v>
      </c>
      <c r="AB22" s="431">
        <f>PPP!AB53</f>
        <v>0</v>
      </c>
      <c r="AC22" s="682">
        <f>PPP!AC53</f>
        <v>0</v>
      </c>
    </row>
    <row r="23" spans="2:101" ht="21.45" customHeight="1" x14ac:dyDescent="0.3">
      <c r="B23" s="447" t="s">
        <v>866</v>
      </c>
      <c r="C23" s="154"/>
      <c r="D23" s="566">
        <f t="shared" ref="D23:AC23" si="3">D79</f>
        <v>0</v>
      </c>
      <c r="E23" s="477">
        <f t="shared" si="3"/>
        <v>0</v>
      </c>
      <c r="F23" s="477">
        <f t="shared" si="3"/>
        <v>0</v>
      </c>
      <c r="G23" s="477">
        <f t="shared" si="3"/>
        <v>0</v>
      </c>
      <c r="H23" s="477">
        <f t="shared" si="3"/>
        <v>0</v>
      </c>
      <c r="I23" s="477">
        <f t="shared" si="3"/>
        <v>-5.0235000000002401</v>
      </c>
      <c r="J23" s="477">
        <f t="shared" si="3"/>
        <v>-36.906500000000278</v>
      </c>
      <c r="K23" s="477">
        <f t="shared" si="3"/>
        <v>86.321499999999787</v>
      </c>
      <c r="L23" s="477">
        <f t="shared" si="3"/>
        <v>18.985499999999547</v>
      </c>
      <c r="M23" s="477">
        <f t="shared" si="3"/>
        <v>6.8144999999999527</v>
      </c>
      <c r="N23" s="477">
        <f t="shared" si="3"/>
        <v>-23.256340000000137</v>
      </c>
      <c r="O23" s="477">
        <f t="shared" si="3"/>
        <v>-28.106993333332866</v>
      </c>
      <c r="P23" s="477">
        <f t="shared" si="3"/>
        <v>-48.677833333332956</v>
      </c>
      <c r="Q23" s="477">
        <f t="shared" si="3"/>
        <v>-29.785220000000209</v>
      </c>
      <c r="R23" s="477">
        <f t="shared" si="3"/>
        <v>-28.244220000000269</v>
      </c>
      <c r="S23" s="425">
        <f t="shared" si="3"/>
        <v>-31.593219999999974</v>
      </c>
      <c r="T23" s="647">
        <f t="shared" si="3"/>
        <v>-31.593219999999974</v>
      </c>
      <c r="U23" s="431">
        <f t="shared" si="3"/>
        <v>-31.593219999999974</v>
      </c>
      <c r="V23" s="431">
        <f t="shared" si="3"/>
        <v>-31.593219999999974</v>
      </c>
      <c r="W23" s="431">
        <f t="shared" si="3"/>
        <v>-31.593219999999974</v>
      </c>
      <c r="X23" s="431">
        <f t="shared" si="3"/>
        <v>-31.593219999999974</v>
      </c>
      <c r="Y23" s="431">
        <f t="shared" si="3"/>
        <v>-31.593219999999974</v>
      </c>
      <c r="Z23" s="431">
        <f t="shared" si="3"/>
        <v>-31.593219999999974</v>
      </c>
      <c r="AA23" s="431">
        <f t="shared" si="3"/>
        <v>-31.593219999999974</v>
      </c>
      <c r="AB23" s="431">
        <f t="shared" si="3"/>
        <v>-31.593219999999974</v>
      </c>
      <c r="AC23" s="682">
        <f t="shared" si="3"/>
        <v>-31.593219999999974</v>
      </c>
    </row>
    <row r="24" spans="2:101" ht="21" customHeight="1" x14ac:dyDescent="0.3">
      <c r="B24" s="271" t="s">
        <v>863</v>
      </c>
      <c r="C24" s="257"/>
      <c r="D24" s="639">
        <f t="shared" ref="D24:AC24" si="4">D18+D19</f>
        <v>0</v>
      </c>
      <c r="E24" s="608">
        <f t="shared" si="4"/>
        <v>0</v>
      </c>
      <c r="F24" s="608">
        <f t="shared" si="4"/>
        <v>0</v>
      </c>
      <c r="G24" s="608">
        <f t="shared" si="4"/>
        <v>0</v>
      </c>
      <c r="H24" s="608">
        <f t="shared" si="4"/>
        <v>0</v>
      </c>
      <c r="I24" s="608">
        <f t="shared" si="4"/>
        <v>0</v>
      </c>
      <c r="J24" s="608">
        <f t="shared" si="4"/>
        <v>160.9</v>
      </c>
      <c r="K24" s="608">
        <f t="shared" si="4"/>
        <v>58.4</v>
      </c>
      <c r="L24" s="608">
        <f t="shared" si="4"/>
        <v>34.5</v>
      </c>
      <c r="M24" s="608">
        <f t="shared" si="4"/>
        <v>21.4</v>
      </c>
      <c r="N24" s="608">
        <f t="shared" si="4"/>
        <v>13.3</v>
      </c>
      <c r="O24" s="608">
        <f t="shared" si="4"/>
        <v>21.804000000000041</v>
      </c>
      <c r="P24" s="533">
        <f>P18+P19</f>
        <v>51.919000000000011</v>
      </c>
      <c r="Q24" s="608">
        <f t="shared" si="4"/>
        <v>46.619</v>
      </c>
      <c r="R24" s="608">
        <f t="shared" si="4"/>
        <v>39.719000000000008</v>
      </c>
      <c r="S24" s="640">
        <f t="shared" si="4"/>
        <v>27.819000000000003</v>
      </c>
      <c r="T24" s="609">
        <f t="shared" si="4"/>
        <v>1.4159999999999999</v>
      </c>
      <c r="U24" s="610">
        <f t="shared" si="4"/>
        <v>1.4159999999999999</v>
      </c>
      <c r="V24" s="610">
        <f t="shared" si="4"/>
        <v>1.4159999999999999</v>
      </c>
      <c r="W24" s="610">
        <f t="shared" si="4"/>
        <v>1.4159999999999999</v>
      </c>
      <c r="X24" s="610">
        <f t="shared" si="4"/>
        <v>1.4790000000000001</v>
      </c>
      <c r="Y24" s="610">
        <f t="shared" si="4"/>
        <v>1.4790000000000001</v>
      </c>
      <c r="Z24" s="610">
        <f t="shared" si="4"/>
        <v>1.4790000000000001</v>
      </c>
      <c r="AA24" s="610">
        <f t="shared" si="4"/>
        <v>1.4790000000000001</v>
      </c>
      <c r="AB24" s="610">
        <f t="shared" si="4"/>
        <v>1.63</v>
      </c>
      <c r="AC24" s="621">
        <f t="shared" si="4"/>
        <v>1.63</v>
      </c>
    </row>
    <row r="25" spans="2:101" ht="44.7" customHeight="1" x14ac:dyDescent="0.3">
      <c r="B25" s="270" t="s">
        <v>871</v>
      </c>
      <c r="C25" s="154"/>
      <c r="D25" s="566">
        <f t="shared" ref="D25:AC25" si="5">D77</f>
        <v>1411.2</v>
      </c>
      <c r="E25" s="477">
        <f t="shared" si="5"/>
        <v>1471.4</v>
      </c>
      <c r="F25" s="477">
        <f t="shared" si="5"/>
        <v>1476.7</v>
      </c>
      <c r="G25" s="477">
        <f t="shared" si="5"/>
        <v>1483.7</v>
      </c>
      <c r="H25" s="477">
        <f t="shared" si="5"/>
        <v>1492.4000000000003</v>
      </c>
      <c r="I25" s="477">
        <f t="shared" si="5"/>
        <v>1541.5000000000002</v>
      </c>
      <c r="J25" s="477">
        <f t="shared" si="5"/>
        <v>1548.5000000000002</v>
      </c>
      <c r="K25" s="477">
        <f t="shared" si="5"/>
        <v>1555.5000000000002</v>
      </c>
      <c r="L25" s="477">
        <f t="shared" si="5"/>
        <v>1562.5000000000002</v>
      </c>
      <c r="M25" s="477">
        <f t="shared" si="5"/>
        <v>1586.9430000000002</v>
      </c>
      <c r="N25" s="477">
        <f t="shared" si="5"/>
        <v>1593.9430000000002</v>
      </c>
      <c r="O25" s="477">
        <f t="shared" si="5"/>
        <v>1600.9430000000002</v>
      </c>
      <c r="P25" s="477">
        <f>P77</f>
        <v>1607.9430000000002</v>
      </c>
      <c r="Q25" s="477">
        <f t="shared" si="5"/>
        <v>1686.8657200000002</v>
      </c>
      <c r="R25" s="477">
        <f t="shared" si="5"/>
        <v>1693.8657200000002</v>
      </c>
      <c r="S25" s="425">
        <f t="shared" si="5"/>
        <v>1700.8657200000002</v>
      </c>
      <c r="T25" s="647">
        <f t="shared" si="5"/>
        <v>1707.8657200000002</v>
      </c>
      <c r="U25" s="431">
        <f t="shared" si="5"/>
        <v>1821.9106940000001</v>
      </c>
      <c r="V25" s="431">
        <f t="shared" si="5"/>
        <v>1828.9106940000001</v>
      </c>
      <c r="W25" s="431">
        <f t="shared" si="5"/>
        <v>1835.9106940000001</v>
      </c>
      <c r="X25" s="431">
        <f t="shared" si="5"/>
        <v>1842.9106940000001</v>
      </c>
      <c r="Y25" s="431">
        <f t="shared" si="5"/>
        <v>1887.7827540000001</v>
      </c>
      <c r="Z25" s="431">
        <f t="shared" si="5"/>
        <v>1894.7827540000001</v>
      </c>
      <c r="AA25" s="431">
        <f t="shared" si="5"/>
        <v>1901.7827540000001</v>
      </c>
      <c r="AB25" s="431">
        <f t="shared" si="5"/>
        <v>1908.7827540000001</v>
      </c>
      <c r="AC25" s="682">
        <f t="shared" si="5"/>
        <v>1941.6707940000001</v>
      </c>
    </row>
    <row r="26" spans="2:101" ht="44.7" customHeight="1" x14ac:dyDescent="0.3">
      <c r="B26" s="400" t="s">
        <v>883</v>
      </c>
      <c r="D26" s="566"/>
      <c r="E26" s="477"/>
      <c r="F26" s="477"/>
      <c r="G26" s="477"/>
      <c r="H26" s="477"/>
      <c r="I26" s="477"/>
      <c r="J26" s="477"/>
      <c r="K26" s="477"/>
      <c r="L26" s="477"/>
      <c r="M26" s="477"/>
      <c r="N26" s="477"/>
      <c r="O26" s="477"/>
      <c r="P26" s="477"/>
      <c r="Q26" s="477">
        <v>-2.5</v>
      </c>
      <c r="R26" s="477">
        <v>-2.5</v>
      </c>
      <c r="S26" s="425">
        <v>-2.5</v>
      </c>
      <c r="T26" s="647">
        <v>-6</v>
      </c>
      <c r="U26" s="431">
        <v>-6</v>
      </c>
      <c r="V26" s="431">
        <v>-6</v>
      </c>
      <c r="W26" s="431">
        <v>-6</v>
      </c>
      <c r="X26" s="431">
        <v>-4.3</v>
      </c>
      <c r="Y26" s="431">
        <v>-4.3</v>
      </c>
      <c r="Z26" s="431">
        <v>-4.3</v>
      </c>
      <c r="AA26" s="431">
        <v>-4.3</v>
      </c>
      <c r="AB26" s="431">
        <v>-4.8</v>
      </c>
      <c r="AC26" s="682">
        <v>-4.8</v>
      </c>
    </row>
    <row r="27" spans="2:101" ht="44.7" customHeight="1" x14ac:dyDescent="0.3">
      <c r="B27" s="400" t="s">
        <v>1282</v>
      </c>
      <c r="D27" s="566"/>
      <c r="E27" s="477"/>
      <c r="F27" s="477"/>
      <c r="G27" s="477"/>
      <c r="H27" s="477"/>
      <c r="I27" s="477"/>
      <c r="J27" s="477"/>
      <c r="K27" s="477"/>
      <c r="L27" s="477"/>
      <c r="M27" s="477"/>
      <c r="N27" s="477"/>
      <c r="O27" s="477"/>
      <c r="P27" s="477"/>
      <c r="Q27" s="477"/>
      <c r="R27" s="477"/>
      <c r="S27" s="641">
        <f>'IRA and CHIPS'!E191</f>
        <v>-0.622</v>
      </c>
      <c r="T27" s="651">
        <f>'IRA and CHIPS'!F191</f>
        <v>21.89</v>
      </c>
      <c r="U27" s="652">
        <f>'IRA and CHIPS'!G191</f>
        <v>21.89</v>
      </c>
      <c r="V27" s="652">
        <f>'IRA and CHIPS'!H191</f>
        <v>21.89</v>
      </c>
      <c r="W27" s="652">
        <f>'IRA and CHIPS'!I191</f>
        <v>21.89</v>
      </c>
      <c r="X27" s="652">
        <f>'IRA and CHIPS'!J191</f>
        <v>15.439</v>
      </c>
      <c r="Y27" s="652">
        <f>'IRA and CHIPS'!K191</f>
        <v>15.439</v>
      </c>
      <c r="Z27" s="652">
        <f>'IRA and CHIPS'!L191</f>
        <v>15.439</v>
      </c>
      <c r="AA27" s="652">
        <f>'IRA and CHIPS'!M191</f>
        <v>15.439</v>
      </c>
      <c r="AB27" s="652">
        <f>'IRA and CHIPS'!N191</f>
        <v>16.966999999999999</v>
      </c>
      <c r="AC27" s="653">
        <f>'IRA and CHIPS'!O191</f>
        <v>16.966999999999999</v>
      </c>
    </row>
    <row r="28" spans="2:101" ht="31.2" customHeight="1" x14ac:dyDescent="0.3">
      <c r="B28" s="543" t="s">
        <v>867</v>
      </c>
      <c r="C28" s="257"/>
      <c r="D28" s="642">
        <f>D25+SUM(D20:D23) + D26</f>
        <v>1441.2</v>
      </c>
      <c r="E28" s="643">
        <f t="shared" ref="E28:O28" si="6">E25+SUM(E20:E23) + E26</f>
        <v>1501.4</v>
      </c>
      <c r="F28" s="643">
        <f t="shared" si="6"/>
        <v>1506.7</v>
      </c>
      <c r="G28" s="643">
        <f t="shared" si="6"/>
        <v>1513.7</v>
      </c>
      <c r="H28" s="643">
        <f t="shared" si="6"/>
        <v>1522.4000000000003</v>
      </c>
      <c r="I28" s="643">
        <f t="shared" si="6"/>
        <v>1571.5</v>
      </c>
      <c r="J28" s="643">
        <f t="shared" si="6"/>
        <v>1644.1999999999998</v>
      </c>
      <c r="K28" s="643">
        <f>K25+SUM(K20:K23) + K26</f>
        <v>1803.4</v>
      </c>
      <c r="L28" s="643">
        <f t="shared" si="6"/>
        <v>1696.0999999999997</v>
      </c>
      <c r="M28" s="643">
        <f t="shared" si="6"/>
        <v>1725.9</v>
      </c>
      <c r="N28" s="643">
        <f t="shared" si="6"/>
        <v>1734.2781600000001</v>
      </c>
      <c r="O28" s="643">
        <f t="shared" si="6"/>
        <v>1906.0298400000004</v>
      </c>
      <c r="P28" s="643">
        <f>P25+SUM(P20:P23) + P26</f>
        <v>1884.7240000000002</v>
      </c>
      <c r="Q28" s="643">
        <f>Q25+SUM(Q20:Q23) + Q26</f>
        <v>1829.5239999999999</v>
      </c>
      <c r="R28" s="643">
        <f t="shared" ref="R28" si="7">R25+SUM(R20:R23) + R26</f>
        <v>1821.124</v>
      </c>
      <c r="S28" s="644">
        <f>S25+SUM(S20:S23) + S26+S27</f>
        <v>1818.9020000000003</v>
      </c>
      <c r="T28" s="657">
        <f t="shared" ref="T28:AC28" si="8">T25+SUM(T20:T23) + T26+T27</f>
        <v>1852.2204375000003</v>
      </c>
      <c r="U28" s="658">
        <f t="shared" si="8"/>
        <v>1902.6775146250002</v>
      </c>
      <c r="V28" s="658">
        <f t="shared" si="8"/>
        <v>1909.6775146250002</v>
      </c>
      <c r="W28" s="658">
        <f t="shared" si="8"/>
        <v>1916.6775146250002</v>
      </c>
      <c r="X28" s="658">
        <f t="shared" si="8"/>
        <v>1918.9265146250002</v>
      </c>
      <c r="Y28" s="658">
        <f t="shared" si="8"/>
        <v>1963.7985746250001</v>
      </c>
      <c r="Z28" s="658">
        <f t="shared" si="8"/>
        <v>1970.7985746250001</v>
      </c>
      <c r="AA28" s="658">
        <f t="shared" si="8"/>
        <v>1977.7985746250001</v>
      </c>
      <c r="AB28" s="658">
        <f t="shared" si="8"/>
        <v>1985.8265746250001</v>
      </c>
      <c r="AC28" s="659">
        <f t="shared" si="8"/>
        <v>2018.7146146250002</v>
      </c>
    </row>
    <row r="29" spans="2:101" ht="31.2" customHeight="1" x14ac:dyDescent="0.3">
      <c r="B29" s="1244" t="s">
        <v>535</v>
      </c>
      <c r="C29" s="1245"/>
      <c r="D29" s="565"/>
      <c r="E29" s="533"/>
      <c r="F29" s="533"/>
      <c r="G29" s="533"/>
      <c r="H29" s="533"/>
      <c r="I29" s="533"/>
      <c r="J29" s="533"/>
      <c r="K29" s="533"/>
      <c r="L29" s="533"/>
      <c r="M29" s="533"/>
      <c r="N29" s="533"/>
      <c r="O29" s="533"/>
      <c r="P29" s="533"/>
      <c r="Q29" s="533"/>
      <c r="R29" s="533"/>
      <c r="S29" s="575"/>
      <c r="T29" s="648"/>
      <c r="U29" s="550"/>
      <c r="V29" s="550"/>
      <c r="W29" s="550"/>
      <c r="X29" s="550"/>
      <c r="Y29" s="550"/>
      <c r="Z29" s="550"/>
      <c r="AA29" s="550"/>
      <c r="AB29" s="550"/>
      <c r="AC29" s="662"/>
    </row>
    <row r="30" spans="2:101" x14ac:dyDescent="0.3">
      <c r="B30" s="447" t="s">
        <v>873</v>
      </c>
      <c r="C30" s="154" t="s">
        <v>536</v>
      </c>
      <c r="D30" s="283">
        <f>'Haver Pivoted'!GO37</f>
        <v>734.3</v>
      </c>
      <c r="E30" s="138">
        <f>'Haver Pivoted'!GP37</f>
        <v>745.2</v>
      </c>
      <c r="F30" s="138">
        <f>'Haver Pivoted'!GQ37</f>
        <v>763.2</v>
      </c>
      <c r="G30" s="138">
        <f>'Haver Pivoted'!GR37</f>
        <v>773.5</v>
      </c>
      <c r="H30" s="138">
        <f>'Haver Pivoted'!GS37</f>
        <v>773.8</v>
      </c>
      <c r="I30" s="138">
        <f>'Haver Pivoted'!GT37</f>
        <v>762.4</v>
      </c>
      <c r="J30" s="138">
        <f>'Haver Pivoted'!GU37</f>
        <v>813.3</v>
      </c>
      <c r="K30" s="138">
        <f>'Haver Pivoted'!GV37</f>
        <v>851.9</v>
      </c>
      <c r="L30" s="138">
        <f>'Haver Pivoted'!GW37</f>
        <v>840.6</v>
      </c>
      <c r="M30" s="138">
        <f>'Haver Pivoted'!GX37</f>
        <v>868</v>
      </c>
      <c r="N30" s="138">
        <f>'Haver Pivoted'!GY37</f>
        <v>910.1</v>
      </c>
      <c r="O30" s="138">
        <f>'Haver Pivoted'!GZ37</f>
        <v>918.1</v>
      </c>
      <c r="P30" s="138">
        <f>'Haver Pivoted'!HA37</f>
        <v>915.2</v>
      </c>
      <c r="Q30" s="138">
        <f>'Haver Pivoted'!HB37</f>
        <v>934.7</v>
      </c>
      <c r="R30" s="138">
        <f>'Haver Pivoted'!HC37</f>
        <v>962.7</v>
      </c>
      <c r="S30" s="1056">
        <f>'Haver Pivoted'!HD37</f>
        <v>986.8</v>
      </c>
      <c r="T30" s="654"/>
      <c r="U30" s="655"/>
      <c r="V30" s="655"/>
      <c r="W30" s="655"/>
      <c r="X30" s="655"/>
      <c r="Y30" s="655"/>
      <c r="Z30" s="655"/>
      <c r="AA30" s="655"/>
      <c r="AB30" s="655"/>
      <c r="AC30" s="683"/>
    </row>
    <row r="31" spans="2:101" x14ac:dyDescent="0.3">
      <c r="B31" s="177" t="s">
        <v>209</v>
      </c>
      <c r="C31" s="154"/>
      <c r="D31" s="566">
        <f>Medicaid!D32</f>
        <v>589.5</v>
      </c>
      <c r="E31" s="477">
        <f>Medicaid!E32</f>
        <v>598.70000000000005</v>
      </c>
      <c r="F31" s="477">
        <f>Medicaid!F32</f>
        <v>614.4</v>
      </c>
      <c r="G31" s="477">
        <f>Medicaid!G32</f>
        <v>622.4</v>
      </c>
      <c r="H31" s="477">
        <f>Medicaid!H32</f>
        <v>620.70000000000005</v>
      </c>
      <c r="I31" s="477">
        <f>Medicaid!I32</f>
        <v>606.6</v>
      </c>
      <c r="J31" s="477">
        <f>Medicaid!J32</f>
        <v>654.70000000000005</v>
      </c>
      <c r="K31" s="477">
        <f>Medicaid!K32</f>
        <v>690.7</v>
      </c>
      <c r="L31" s="477">
        <f>Medicaid!L32</f>
        <v>678.3</v>
      </c>
      <c r="M31" s="477">
        <f>Medicaid!M32</f>
        <v>704.4</v>
      </c>
      <c r="N31" s="477">
        <f>Medicaid!N32</f>
        <v>744.8</v>
      </c>
      <c r="O31" s="477">
        <f>Medicaid!O32</f>
        <v>748.2</v>
      </c>
      <c r="P31" s="477">
        <f>Medicaid!P32</f>
        <v>745</v>
      </c>
      <c r="Q31" s="477">
        <f>Medicaid!Q32</f>
        <v>763.1</v>
      </c>
      <c r="R31" s="477">
        <f>Medicaid!R32</f>
        <v>789.5</v>
      </c>
      <c r="S31" s="1058">
        <f>Medicaid!S32</f>
        <v>790</v>
      </c>
      <c r="T31" s="647">
        <f>Medicaid!T32</f>
        <v>790.23732193063006</v>
      </c>
      <c r="U31" s="431">
        <f>Medicaid!U32</f>
        <v>790.4747151545497</v>
      </c>
      <c r="V31" s="431">
        <f>Medicaid!V32</f>
        <v>790.71217969317593</v>
      </c>
      <c r="W31" s="431">
        <f>Medicaid!W32</f>
        <v>790.94971556793223</v>
      </c>
      <c r="X31" s="431">
        <f>Medicaid!X32</f>
        <v>782.21270195589079</v>
      </c>
      <c r="Y31" s="431">
        <f>Medicaid!Y32</f>
        <v>773.57219941826349</v>
      </c>
      <c r="Z31" s="431">
        <f>Medicaid!Z32</f>
        <v>765.02714187138622</v>
      </c>
      <c r="AA31" s="431">
        <f>Medicaid!AA32</f>
        <v>756.57647500780183</v>
      </c>
      <c r="AB31" s="431">
        <f>Medicaid!AB32</f>
        <v>748.2191561661773</v>
      </c>
      <c r="AC31" s="682">
        <f>Medicaid!AC32</f>
        <v>739.95415420265795</v>
      </c>
    </row>
    <row r="32" spans="2:101" ht="14.55" customHeight="1" x14ac:dyDescent="0.3">
      <c r="B32" s="543" t="s">
        <v>874</v>
      </c>
      <c r="C32" s="257"/>
      <c r="D32" s="565">
        <f>D30-D31</f>
        <v>144.79999999999995</v>
      </c>
      <c r="E32" s="533">
        <f t="shared" ref="E32:O32" si="9">E30-E31</f>
        <v>146.5</v>
      </c>
      <c r="F32" s="533">
        <f t="shared" si="9"/>
        <v>148.80000000000007</v>
      </c>
      <c r="G32" s="533">
        <f t="shared" si="9"/>
        <v>151.10000000000002</v>
      </c>
      <c r="H32" s="533">
        <f t="shared" si="9"/>
        <v>153.09999999999991</v>
      </c>
      <c r="I32" s="533">
        <f t="shared" si="9"/>
        <v>155.79999999999995</v>
      </c>
      <c r="J32" s="533">
        <f t="shared" si="9"/>
        <v>158.59999999999991</v>
      </c>
      <c r="K32" s="533">
        <f t="shared" si="9"/>
        <v>161.19999999999993</v>
      </c>
      <c r="L32" s="533">
        <f t="shared" si="9"/>
        <v>162.30000000000007</v>
      </c>
      <c r="M32" s="533">
        <f t="shared" si="9"/>
        <v>163.60000000000002</v>
      </c>
      <c r="N32" s="533">
        <f t="shared" si="9"/>
        <v>165.30000000000007</v>
      </c>
      <c r="O32" s="533">
        <f t="shared" si="9"/>
        <v>169.89999999999998</v>
      </c>
      <c r="P32" s="533">
        <f>P30-P31</f>
        <v>170.20000000000005</v>
      </c>
      <c r="Q32" s="533">
        <f>Q30-Q31</f>
        <v>171.60000000000002</v>
      </c>
      <c r="R32" s="533">
        <f>R30-R31</f>
        <v>173.20000000000005</v>
      </c>
      <c r="S32" s="634">
        <f>S30-S31</f>
        <v>196.79999999999995</v>
      </c>
      <c r="T32" s="648">
        <f>S32*(1+AVERAGE($F$34:$I$34))+T33</f>
        <v>177.85179962461578</v>
      </c>
      <c r="U32" s="550">
        <f t="shared" ref="U32:AC32" si="10">T32*(1+AVERAGE($F$34:$I$34))</f>
        <v>180.60976738544733</v>
      </c>
      <c r="V32" s="550">
        <f t="shared" si="10"/>
        <v>183.41050326100046</v>
      </c>
      <c r="W32" s="550">
        <f t="shared" si="10"/>
        <v>186.25467046121651</v>
      </c>
      <c r="X32" s="550">
        <f t="shared" si="10"/>
        <v>189.14294248050757</v>
      </c>
      <c r="Y32" s="550">
        <f t="shared" si="10"/>
        <v>192.07600325723899</v>
      </c>
      <c r="Z32" s="550">
        <f t="shared" si="10"/>
        <v>195.05454733568487</v>
      </c>
      <c r="AA32" s="550">
        <f t="shared" si="10"/>
        <v>198.07928003049508</v>
      </c>
      <c r="AB32" s="550">
        <f t="shared" si="10"/>
        <v>201.15091759371273</v>
      </c>
      <c r="AC32" s="662">
        <f t="shared" si="10"/>
        <v>204.27018738438153</v>
      </c>
    </row>
    <row r="33" spans="2:29" ht="14.55" customHeight="1" x14ac:dyDescent="0.3">
      <c r="B33" s="543" t="s">
        <v>2110</v>
      </c>
      <c r="C33" s="257"/>
      <c r="D33" s="565"/>
      <c r="E33" s="533"/>
      <c r="F33" s="533"/>
      <c r="G33" s="533"/>
      <c r="H33" s="533"/>
      <c r="I33" s="533"/>
      <c r="J33" s="533"/>
      <c r="K33" s="533"/>
      <c r="L33" s="533"/>
      <c r="M33" s="533"/>
      <c r="N33" s="533"/>
      <c r="O33" s="533"/>
      <c r="P33" s="533"/>
      <c r="Q33" s="533"/>
      <c r="R33" s="533"/>
      <c r="S33" s="634"/>
      <c r="T33" s="648">
        <v>-22</v>
      </c>
      <c r="U33" s="550"/>
      <c r="V33" s="550"/>
      <c r="W33" s="550"/>
      <c r="X33" s="550"/>
      <c r="Y33" s="550"/>
      <c r="Z33" s="550"/>
      <c r="AA33" s="550"/>
      <c r="AB33" s="550"/>
      <c r="AC33" s="662"/>
    </row>
    <row r="34" spans="2:29" x14ac:dyDescent="0.3">
      <c r="B34" s="601" t="s">
        <v>875</v>
      </c>
      <c r="C34" s="264"/>
      <c r="D34" s="569"/>
      <c r="E34" s="541">
        <f>E32/D32-1</f>
        <v>1.1740331491713052E-2</v>
      </c>
      <c r="F34" s="541">
        <f t="shared" ref="F34:N34" si="11">F32/E32-1</f>
        <v>1.5699658703072217E-2</v>
      </c>
      <c r="G34" s="541">
        <f t="shared" si="11"/>
        <v>1.5456989247311537E-2</v>
      </c>
      <c r="H34" s="541">
        <f t="shared" si="11"/>
        <v>1.3236267372600086E-2</v>
      </c>
      <c r="I34" s="541">
        <f t="shared" si="11"/>
        <v>1.7635532331809589E-2</v>
      </c>
      <c r="J34" s="541">
        <f t="shared" si="11"/>
        <v>1.7971758664954818E-2</v>
      </c>
      <c r="K34" s="541">
        <f t="shared" si="11"/>
        <v>1.639344262295106E-2</v>
      </c>
      <c r="L34" s="541">
        <f t="shared" si="11"/>
        <v>6.823821339951186E-3</v>
      </c>
      <c r="M34" s="541">
        <f t="shared" si="11"/>
        <v>8.0098582871224178E-3</v>
      </c>
      <c r="N34" s="541">
        <f t="shared" si="11"/>
        <v>1.0391198044010119E-2</v>
      </c>
      <c r="O34" s="541">
        <f>O32/N32-1</f>
        <v>2.7828191167573513E-2</v>
      </c>
      <c r="P34" s="541">
        <f t="shared" ref="P34:S34" si="12">P32/O32-1</f>
        <v>1.7657445556213958E-3</v>
      </c>
      <c r="Q34" s="541">
        <f t="shared" si="12"/>
        <v>8.2256169212688857E-3</v>
      </c>
      <c r="R34" s="541">
        <f t="shared" si="12"/>
        <v>9.3240093240094524E-3</v>
      </c>
      <c r="S34" s="531">
        <f t="shared" si="12"/>
        <v>0.13625866050808266</v>
      </c>
      <c r="T34" s="656"/>
      <c r="U34" s="560"/>
      <c r="V34" s="560"/>
      <c r="W34" s="560"/>
      <c r="X34" s="560"/>
      <c r="Y34" s="560"/>
      <c r="Z34" s="560"/>
      <c r="AA34" s="560"/>
      <c r="AB34" s="560"/>
      <c r="AC34" s="561"/>
    </row>
    <row r="36" spans="2:29" x14ac:dyDescent="0.3">
      <c r="R36" s="1054">
        <v>2846.5</v>
      </c>
      <c r="S36" s="1054">
        <v>2837.9</v>
      </c>
      <c r="T36" s="1054">
        <v>2806.9512609095837</v>
      </c>
      <c r="U36" s="1054">
        <v>2880.0767188720565</v>
      </c>
      <c r="V36" s="1054">
        <v>2910.230101605689</v>
      </c>
      <c r="W36" s="1054">
        <v>2941.3136917992724</v>
      </c>
      <c r="X36" s="1054">
        <v>2965.1284495193622</v>
      </c>
      <c r="Y36" s="1054">
        <v>3035.3618458477818</v>
      </c>
      <c r="Z36" s="1054">
        <v>3069.7585918152668</v>
      </c>
      <c r="AA36" s="1054">
        <v>3103.2456397557185</v>
      </c>
      <c r="AB36" s="1054">
        <v>3135.727289135667</v>
      </c>
      <c r="AC36" s="1054">
        <v>3196.4229300595453</v>
      </c>
    </row>
    <row r="38" spans="2:29" x14ac:dyDescent="0.3">
      <c r="R38" s="1054">
        <v>18.600000000000001</v>
      </c>
      <c r="S38" s="1054">
        <v>18.600000000000001</v>
      </c>
      <c r="T38" s="1054">
        <v>18.522897196261681</v>
      </c>
      <c r="U38" s="1054">
        <v>18.167663551401869</v>
      </c>
      <c r="V38" s="1054">
        <v>17.863177570093459</v>
      </c>
      <c r="W38" s="1054">
        <v>17.919</v>
      </c>
      <c r="X38" s="1054">
        <v>18.020495327102804</v>
      </c>
      <c r="Y38" s="1054">
        <v>18.380803738317756</v>
      </c>
      <c r="Z38" s="1054">
        <v>20.156971962616822</v>
      </c>
      <c r="AA38" s="1054">
        <v>20.405635514018691</v>
      </c>
      <c r="AB38" s="1054">
        <v>20.715196261682241</v>
      </c>
      <c r="AC38" s="1054">
        <v>21.014607476635511</v>
      </c>
    </row>
    <row r="39" spans="2:29" x14ac:dyDescent="0.3">
      <c r="R39" s="1054">
        <v>911.8</v>
      </c>
      <c r="S39" s="1054">
        <v>920.3</v>
      </c>
      <c r="T39" s="1054">
        <v>942.65830121332203</v>
      </c>
      <c r="U39" s="1054">
        <v>965.55978794565488</v>
      </c>
      <c r="V39" s="1054">
        <v>989.017656660596</v>
      </c>
      <c r="W39" s="1054">
        <v>1013.0454244242726</v>
      </c>
      <c r="X39" s="1054">
        <v>1037.4736868172592</v>
      </c>
      <c r="Y39" s="1054">
        <v>1062.4910047344636</v>
      </c>
      <c r="Z39" s="1054">
        <v>1088.11158247765</v>
      </c>
      <c r="AA39" s="1054">
        <v>1114.3499668666996</v>
      </c>
      <c r="AB39" s="1054">
        <v>1141.2210554989849</v>
      </c>
      <c r="AC39" s="1054">
        <v>1168.7401052079097</v>
      </c>
    </row>
    <row r="40" spans="2:29" x14ac:dyDescent="0.3">
      <c r="R40" s="1054">
        <v>0</v>
      </c>
      <c r="S40" s="1054">
        <v>0</v>
      </c>
      <c r="T40" s="1054">
        <v>0</v>
      </c>
      <c r="U40" s="1054">
        <v>0</v>
      </c>
      <c r="V40" s="1054">
        <v>0</v>
      </c>
      <c r="W40" s="1054">
        <v>0</v>
      </c>
      <c r="X40" s="1054">
        <v>0</v>
      </c>
      <c r="Y40" s="1054">
        <v>0</v>
      </c>
      <c r="Z40" s="1054">
        <v>0</v>
      </c>
      <c r="AA40" s="1054">
        <v>0</v>
      </c>
      <c r="AB40" s="1054">
        <v>0</v>
      </c>
      <c r="AC40" s="1054">
        <v>0</v>
      </c>
    </row>
    <row r="41" spans="2:29" x14ac:dyDescent="0.3">
      <c r="R41" s="1054">
        <v>52.756999999999998</v>
      </c>
      <c r="S41" s="1054">
        <v>52.756999999999998</v>
      </c>
      <c r="T41" s="1054">
        <v>12</v>
      </c>
      <c r="U41" s="1054">
        <v>12</v>
      </c>
      <c r="V41" s="1054">
        <v>12</v>
      </c>
      <c r="W41" s="1054">
        <v>12</v>
      </c>
      <c r="X41" s="1054">
        <v>4.2219999999999995</v>
      </c>
      <c r="Y41" s="1054">
        <v>4.2219999999999995</v>
      </c>
      <c r="Z41" s="1054">
        <v>4.2219999999999995</v>
      </c>
      <c r="AA41" s="1054">
        <v>4.2219999999999995</v>
      </c>
      <c r="AB41" s="1054">
        <v>2.3719999999999999</v>
      </c>
      <c r="AC41" s="1054">
        <v>2.3719999999999999</v>
      </c>
    </row>
    <row r="42" spans="2:29" x14ac:dyDescent="0.3">
      <c r="R42" s="1054">
        <v>19.719000000000005</v>
      </c>
      <c r="S42" s="1054">
        <v>19.719000000000005</v>
      </c>
      <c r="T42" s="1054">
        <v>1.4159999999999999</v>
      </c>
      <c r="U42" s="1054">
        <v>1.4159999999999999</v>
      </c>
      <c r="V42" s="1054">
        <v>1.4159999999999999</v>
      </c>
      <c r="W42" s="1054">
        <v>1.4159999999999999</v>
      </c>
      <c r="X42" s="1054">
        <v>1.4790000000000001</v>
      </c>
      <c r="Y42" s="1054">
        <v>1.4790000000000001</v>
      </c>
      <c r="Z42" s="1054">
        <v>1.4790000000000001</v>
      </c>
      <c r="AA42" s="1054">
        <v>1.4790000000000001</v>
      </c>
      <c r="AB42" s="1054">
        <v>1.63</v>
      </c>
      <c r="AC42" s="1054">
        <v>1.63</v>
      </c>
    </row>
    <row r="43" spans="2:29" x14ac:dyDescent="0.3">
      <c r="R43">
        <v>20</v>
      </c>
      <c r="S43">
        <v>8.1</v>
      </c>
      <c r="T43">
        <v>0</v>
      </c>
      <c r="U43">
        <v>0</v>
      </c>
      <c r="V43">
        <v>0</v>
      </c>
      <c r="W43">
        <v>0</v>
      </c>
      <c r="X43">
        <v>0</v>
      </c>
      <c r="Y43">
        <v>0</v>
      </c>
      <c r="Z43">
        <v>0</v>
      </c>
      <c r="AA43">
        <v>0</v>
      </c>
      <c r="AB43">
        <v>0</v>
      </c>
      <c r="AC43">
        <v>0</v>
      </c>
    </row>
    <row r="44" spans="2:29" x14ac:dyDescent="0.3">
      <c r="R44" s="1054">
        <v>63.702499999999993</v>
      </c>
      <c r="S44" s="1054">
        <v>55.440499999999993</v>
      </c>
      <c r="T44" s="1054">
        <v>62.370562499999991</v>
      </c>
      <c r="U44" s="1054">
        <v>59.252034374999987</v>
      </c>
      <c r="V44" s="1054">
        <v>59.252034374999987</v>
      </c>
      <c r="W44" s="1054">
        <v>59.252034374999987</v>
      </c>
      <c r="X44" s="1054">
        <v>59.252034374999987</v>
      </c>
      <c r="Y44" s="1054">
        <v>59.252034374999987</v>
      </c>
      <c r="Z44" s="1054">
        <v>59.252034374999987</v>
      </c>
      <c r="AA44" s="1054">
        <v>59.252034374999987</v>
      </c>
      <c r="AB44" s="1054">
        <v>59.252034374999987</v>
      </c>
      <c r="AC44" s="1054">
        <v>59.252034374999987</v>
      </c>
    </row>
    <row r="45" spans="2:29" x14ac:dyDescent="0.3">
      <c r="R45" s="1055">
        <v>94.3</v>
      </c>
      <c r="S45" s="1055">
        <v>94.3</v>
      </c>
      <c r="T45" s="1054">
        <v>94.3</v>
      </c>
      <c r="U45" s="1054">
        <v>34</v>
      </c>
      <c r="V45" s="1054">
        <v>34</v>
      </c>
      <c r="W45" s="1054">
        <v>34</v>
      </c>
      <c r="X45" s="1054">
        <v>34</v>
      </c>
      <c r="Y45" s="1054">
        <v>34</v>
      </c>
      <c r="Z45" s="1054">
        <v>34</v>
      </c>
      <c r="AA45" s="1054">
        <v>34</v>
      </c>
      <c r="AB45" s="1054">
        <v>34</v>
      </c>
      <c r="AC45" s="1054">
        <v>34</v>
      </c>
    </row>
    <row r="46" spans="2:29" x14ac:dyDescent="0.3">
      <c r="R46" s="1054">
        <v>0</v>
      </c>
      <c r="S46" s="1054">
        <v>0</v>
      </c>
      <c r="T46" s="1054">
        <v>0</v>
      </c>
      <c r="U46" s="1054">
        <v>0</v>
      </c>
      <c r="V46" s="1054">
        <v>0</v>
      </c>
      <c r="W46" s="1054">
        <v>0</v>
      </c>
      <c r="X46" s="1054">
        <v>0</v>
      </c>
      <c r="Y46" s="1054">
        <v>0</v>
      </c>
      <c r="Z46" s="1054">
        <v>0</v>
      </c>
      <c r="AA46" s="1054">
        <v>0</v>
      </c>
      <c r="AB46" s="1054">
        <v>0</v>
      </c>
      <c r="AC46" s="1054">
        <v>0</v>
      </c>
    </row>
    <row r="47" spans="2:29" x14ac:dyDescent="0.3">
      <c r="R47" s="1054">
        <v>-28.244220000000269</v>
      </c>
      <c r="S47" s="1054">
        <v>-32.182220000000143</v>
      </c>
      <c r="T47" s="1054">
        <v>-32.182220000000143</v>
      </c>
      <c r="U47" s="1054">
        <v>-32.182220000000143</v>
      </c>
      <c r="V47" s="1054">
        <v>-32.182220000000143</v>
      </c>
      <c r="W47" s="1054">
        <v>-32.182220000000143</v>
      </c>
      <c r="X47" s="1054">
        <v>-32.182220000000143</v>
      </c>
      <c r="Y47" s="1054">
        <v>-32.182220000000143</v>
      </c>
      <c r="Z47" s="1054">
        <v>-32.182220000000143</v>
      </c>
      <c r="AA47" s="1054">
        <v>-32.182220000000143</v>
      </c>
      <c r="AB47" s="1054">
        <v>-32.182220000000143</v>
      </c>
      <c r="AC47" s="1054">
        <v>-32.182220000000143</v>
      </c>
    </row>
    <row r="48" spans="2:29" x14ac:dyDescent="0.3">
      <c r="R48">
        <v>39.719000000000008</v>
      </c>
      <c r="S48">
        <v>27.819000000000003</v>
      </c>
      <c r="T48">
        <v>1.4159999999999999</v>
      </c>
      <c r="U48">
        <v>1.4159999999999999</v>
      </c>
      <c r="V48">
        <v>1.4159999999999999</v>
      </c>
      <c r="W48">
        <v>1.4159999999999999</v>
      </c>
      <c r="X48">
        <v>1.4790000000000001</v>
      </c>
      <c r="Y48">
        <v>1.4790000000000001</v>
      </c>
      <c r="Z48">
        <v>1.4790000000000001</v>
      </c>
      <c r="AA48">
        <v>1.4790000000000001</v>
      </c>
      <c r="AB48">
        <v>1.63</v>
      </c>
      <c r="AC48">
        <v>1.63</v>
      </c>
    </row>
    <row r="49" spans="2:29" x14ac:dyDescent="0.3">
      <c r="C49" s="689" t="s">
        <v>1543</v>
      </c>
      <c r="D49" s="690">
        <v>2022</v>
      </c>
      <c r="E49" s="690">
        <v>2023</v>
      </c>
      <c r="F49" s="128">
        <v>2024</v>
      </c>
      <c r="R49" s="1054">
        <v>1693.8657200000002</v>
      </c>
      <c r="S49" s="1054">
        <v>1700.8657200000002</v>
      </c>
      <c r="T49" s="1054">
        <v>1707.8657200000002</v>
      </c>
      <c r="U49" s="1054">
        <v>1821.8634530000002</v>
      </c>
      <c r="V49" s="1054">
        <v>1828.8634530000002</v>
      </c>
      <c r="W49" s="1054">
        <v>1835.8634530000002</v>
      </c>
      <c r="X49" s="1054">
        <v>1842.8634530000002</v>
      </c>
      <c r="Y49" s="1054">
        <v>1887.7192230000001</v>
      </c>
      <c r="Z49" s="1054">
        <v>1894.7192230000001</v>
      </c>
      <c r="AA49" s="1054">
        <v>1901.7192230000001</v>
      </c>
      <c r="AB49" s="1054">
        <v>1908.7192230000001</v>
      </c>
      <c r="AC49" s="1054">
        <v>1941.596403</v>
      </c>
    </row>
    <row r="50" spans="2:29" x14ac:dyDescent="0.3">
      <c r="C50" s="49" t="s">
        <v>160</v>
      </c>
      <c r="D50" s="37">
        <v>159</v>
      </c>
      <c r="E50" s="37">
        <v>140</v>
      </c>
      <c r="F50" s="292">
        <v>110</v>
      </c>
      <c r="R50" s="1054">
        <v>-2.5</v>
      </c>
      <c r="S50" s="1054">
        <v>-2.5</v>
      </c>
      <c r="T50" s="1054">
        <v>-6</v>
      </c>
      <c r="U50" s="1054">
        <v>-6</v>
      </c>
      <c r="V50" s="1054">
        <v>-6</v>
      </c>
      <c r="W50" s="1054">
        <v>-6</v>
      </c>
      <c r="X50" s="1054">
        <v>-4.3</v>
      </c>
      <c r="Y50" s="1054">
        <v>-4.3</v>
      </c>
      <c r="Z50" s="1054">
        <v>-4.3</v>
      </c>
      <c r="AA50" s="1054">
        <v>-4.3</v>
      </c>
      <c r="AB50" s="1054">
        <v>-4.8</v>
      </c>
      <c r="AC50" s="1054">
        <v>-4.8</v>
      </c>
    </row>
    <row r="51" spans="2:29" x14ac:dyDescent="0.3">
      <c r="C51" s="49"/>
      <c r="D51" s="37"/>
      <c r="E51" s="37"/>
      <c r="F51" s="292"/>
      <c r="R51" s="1054"/>
      <c r="S51" s="1054">
        <v>-0.622</v>
      </c>
      <c r="T51" s="1054">
        <v>21.89</v>
      </c>
      <c r="U51" s="1054">
        <v>21.89</v>
      </c>
      <c r="V51" s="1054">
        <v>21.89</v>
      </c>
      <c r="W51" s="1054">
        <v>21.89</v>
      </c>
      <c r="X51" s="1054">
        <v>15.439</v>
      </c>
      <c r="Y51" s="1054">
        <v>15.439</v>
      </c>
      <c r="Z51" s="1054">
        <v>15.439</v>
      </c>
      <c r="AA51" s="1054">
        <v>15.439</v>
      </c>
      <c r="AB51" s="1054">
        <v>16.966999999999999</v>
      </c>
      <c r="AC51" s="1054">
        <v>16.966999999999999</v>
      </c>
    </row>
    <row r="52" spans="2:29" x14ac:dyDescent="0.3">
      <c r="C52" s="409"/>
      <c r="D52" s="38"/>
      <c r="E52" s="38"/>
      <c r="F52" s="294"/>
      <c r="G52" s="539"/>
      <c r="R52" s="1054">
        <v>1821.124</v>
      </c>
      <c r="S52" s="1054">
        <v>1815.3019999999999</v>
      </c>
      <c r="T52" s="1054">
        <v>1848.2440625000002</v>
      </c>
      <c r="U52" s="1054">
        <v>1898.8232673750001</v>
      </c>
      <c r="V52" s="1054">
        <v>1905.8232673750001</v>
      </c>
      <c r="W52" s="1054">
        <v>1912.8232673750001</v>
      </c>
      <c r="X52" s="1054">
        <v>1915.0722673750001</v>
      </c>
      <c r="Y52" s="1054">
        <v>1959.928037375</v>
      </c>
      <c r="Z52" s="1054">
        <v>1966.928037375</v>
      </c>
      <c r="AA52" s="1054">
        <v>1973.928037375</v>
      </c>
      <c r="AB52" s="1054">
        <v>1981.9560373750001</v>
      </c>
      <c r="AC52" s="1054">
        <v>2014.833217375</v>
      </c>
    </row>
    <row r="53" spans="2:29" x14ac:dyDescent="0.3">
      <c r="R53" s="1054"/>
      <c r="S53" s="1054"/>
      <c r="T53" s="1054"/>
      <c r="U53" s="1054"/>
      <c r="V53" s="1054"/>
      <c r="W53" s="1054"/>
      <c r="X53" s="1054"/>
      <c r="Y53" s="1054"/>
      <c r="Z53" s="1054"/>
      <c r="AA53" s="1054"/>
      <c r="AB53" s="1054"/>
      <c r="AC53" s="1054"/>
    </row>
    <row r="54" spans="2:29" x14ac:dyDescent="0.3">
      <c r="R54">
        <v>962.7</v>
      </c>
      <c r="S54" s="1057">
        <v>974.3</v>
      </c>
    </row>
    <row r="55" spans="2:29" x14ac:dyDescent="0.3">
      <c r="R55" s="1054">
        <v>789.5</v>
      </c>
      <c r="S55" s="1059">
        <v>799.4</v>
      </c>
      <c r="T55" s="1054">
        <v>813.9154697797394</v>
      </c>
      <c r="U55" s="1054">
        <v>828.69451081657985</v>
      </c>
      <c r="V55" s="1054">
        <v>843.74190902572923</v>
      </c>
      <c r="W55" s="1054">
        <v>859.06253722483177</v>
      </c>
      <c r="X55" s="1054">
        <v>849.71099575502819</v>
      </c>
      <c r="Y55" s="1054">
        <v>840.46125284362051</v>
      </c>
      <c r="Z55" s="1054">
        <v>831.31220033677926</v>
      </c>
      <c r="AA55" s="1054">
        <v>822.26274214376235</v>
      </c>
      <c r="AB55" s="1054">
        <v>813.31179410559946</v>
      </c>
      <c r="AC55" s="1054">
        <v>804.45828386520543</v>
      </c>
    </row>
    <row r="56" spans="2:29" x14ac:dyDescent="0.3">
      <c r="R56" s="1054">
        <v>173.20000000000005</v>
      </c>
      <c r="S56" s="1054">
        <v>174.89999999999998</v>
      </c>
      <c r="T56" s="1054">
        <v>177.61219387370579</v>
      </c>
      <c r="U56" s="1054">
        <v>180.36644604134281</v>
      </c>
      <c r="V56" s="1054">
        <v>183.16340870558193</v>
      </c>
      <c r="W56" s="1054">
        <v>186.00374418287385</v>
      </c>
      <c r="X56" s="1054">
        <v>188.88812506028458</v>
      </c>
      <c r="Y56" s="1054">
        <v>191.81723435476303</v>
      </c>
      <c r="Z56" s="1054">
        <v>194.79176567487843</v>
      </c>
      <c r="AA56" s="1054">
        <v>197.81242338506567</v>
      </c>
      <c r="AB56" s="1054">
        <v>200.87992277241776</v>
      </c>
      <c r="AC56" s="1054">
        <v>203.99499021606471</v>
      </c>
    </row>
    <row r="57" spans="2:29" x14ac:dyDescent="0.3">
      <c r="P57" s="438"/>
      <c r="Q57" s="438"/>
      <c r="R57" s="547">
        <v>9.3240093240094524E-3</v>
      </c>
      <c r="S57" s="547">
        <v>9.8152424942259398E-3</v>
      </c>
      <c r="T57" s="438"/>
      <c r="U57" s="438"/>
      <c r="V57" s="438"/>
      <c r="W57" s="438"/>
      <c r="X57" s="438"/>
      <c r="Y57" s="438"/>
      <c r="Z57" s="438"/>
      <c r="AA57" s="438"/>
      <c r="AB57" s="438"/>
      <c r="AC57" s="438"/>
    </row>
    <row r="58" spans="2:29" x14ac:dyDescent="0.3">
      <c r="B58" s="179" t="s">
        <v>400</v>
      </c>
      <c r="D58" s="477"/>
      <c r="E58" s="477"/>
      <c r="F58" s="477"/>
      <c r="G58" s="477"/>
      <c r="H58" s="477"/>
      <c r="I58" s="477"/>
      <c r="J58" s="477"/>
      <c r="K58" s="477"/>
      <c r="L58" s="477"/>
      <c r="M58" s="477"/>
      <c r="N58" s="477"/>
      <c r="O58" s="477"/>
      <c r="P58" s="477"/>
      <c r="Q58" s="477"/>
      <c r="R58" s="477"/>
      <c r="S58" s="477"/>
      <c r="T58" s="477"/>
      <c r="U58" s="477"/>
      <c r="V58" s="477"/>
      <c r="W58" s="477"/>
      <c r="X58" s="477"/>
      <c r="Y58" s="477"/>
      <c r="Z58" s="477"/>
      <c r="AA58" s="477"/>
      <c r="AB58" s="477"/>
      <c r="AC58" s="477"/>
    </row>
    <row r="59" spans="2:29" ht="45.75" customHeight="1" x14ac:dyDescent="0.3">
      <c r="B59" s="1246" t="s">
        <v>539</v>
      </c>
      <c r="C59" s="1246"/>
      <c r="D59" s="1246"/>
      <c r="E59" s="1246"/>
      <c r="F59" s="1246"/>
      <c r="G59" s="1246"/>
      <c r="H59" s="1246"/>
      <c r="I59" s="1246"/>
      <c r="J59" s="1246"/>
      <c r="K59" s="1246"/>
      <c r="L59" s="1246"/>
      <c r="M59" s="1246"/>
      <c r="N59" s="1246"/>
      <c r="O59" s="1246"/>
      <c r="P59" s="1246"/>
      <c r="Q59" s="1246"/>
      <c r="R59" s="1246"/>
      <c r="S59" s="1246"/>
      <c r="T59" s="1246"/>
      <c r="U59" s="1246"/>
      <c r="V59" s="1246"/>
      <c r="W59" s="1246"/>
      <c r="X59" s="1246"/>
      <c r="Y59" s="1246"/>
      <c r="Z59" s="1246"/>
      <c r="AA59" s="1246"/>
      <c r="AB59" s="1246"/>
      <c r="AC59" s="1246"/>
    </row>
    <row r="60" spans="2:29" ht="14.7" customHeight="1" x14ac:dyDescent="0.3">
      <c r="B60" s="1176" t="s">
        <v>540</v>
      </c>
      <c r="C60" s="1177"/>
      <c r="D60" s="1156" t="s">
        <v>325</v>
      </c>
      <c r="E60" s="1157"/>
      <c r="F60" s="1157"/>
      <c r="G60" s="1157"/>
      <c r="H60" s="1157"/>
      <c r="I60" s="1157"/>
      <c r="J60" s="1157"/>
      <c r="K60" s="1157"/>
      <c r="L60" s="1157"/>
      <c r="M60" s="1157"/>
      <c r="N60" s="1157"/>
      <c r="O60" s="1157"/>
      <c r="P60" s="1157"/>
      <c r="Q60" s="1157"/>
      <c r="R60" s="1157"/>
      <c r="S60" s="1157"/>
      <c r="T60" s="1184" t="s">
        <v>326</v>
      </c>
      <c r="U60" s="1184"/>
      <c r="V60" s="1184"/>
      <c r="W60" s="1184"/>
      <c r="X60" s="1184"/>
      <c r="Y60" s="1184"/>
      <c r="Z60" s="1184"/>
      <c r="AA60" s="1184"/>
      <c r="AB60" s="1184"/>
      <c r="AC60" s="1185"/>
    </row>
    <row r="61" spans="2:29" x14ac:dyDescent="0.3">
      <c r="B61" s="1176"/>
      <c r="C61" s="1177"/>
      <c r="D61" s="141">
        <v>2018</v>
      </c>
      <c r="E61" s="1147">
        <v>2019</v>
      </c>
      <c r="F61" s="1148"/>
      <c r="G61" s="1148"/>
      <c r="H61" s="1155"/>
      <c r="I61" s="1147">
        <v>2020</v>
      </c>
      <c r="J61" s="1148"/>
      <c r="K61" s="1148"/>
      <c r="L61" s="1148"/>
      <c r="M61" s="1147">
        <v>2021</v>
      </c>
      <c r="N61" s="1148"/>
      <c r="O61" s="1148"/>
      <c r="P61" s="1148"/>
      <c r="Q61" s="1181">
        <v>2022</v>
      </c>
      <c r="R61" s="1182"/>
      <c r="S61" s="252"/>
      <c r="T61" s="287"/>
      <c r="U61" s="1178">
        <v>2023</v>
      </c>
      <c r="V61" s="1179"/>
      <c r="W61" s="1179"/>
      <c r="X61" s="1179"/>
      <c r="Y61" s="1178">
        <v>2024</v>
      </c>
      <c r="Z61" s="1179"/>
      <c r="AA61" s="1179"/>
      <c r="AB61" s="1180"/>
      <c r="AC61" s="258">
        <v>2025</v>
      </c>
    </row>
    <row r="62" spans="2:29" x14ac:dyDescent="0.3">
      <c r="B62" s="1187"/>
      <c r="C62" s="1188"/>
      <c r="D62" s="152" t="s">
        <v>327</v>
      </c>
      <c r="E62" s="152" t="s">
        <v>328</v>
      </c>
      <c r="F62" s="151" t="s">
        <v>329</v>
      </c>
      <c r="G62" s="151" t="s">
        <v>238</v>
      </c>
      <c r="H62" s="203" t="s">
        <v>327</v>
      </c>
      <c r="I62" s="151" t="s">
        <v>328</v>
      </c>
      <c r="J62" s="151" t="s">
        <v>329</v>
      </c>
      <c r="K62" s="151" t="s">
        <v>238</v>
      </c>
      <c r="L62" s="151" t="s">
        <v>327</v>
      </c>
      <c r="M62" s="152" t="s">
        <v>328</v>
      </c>
      <c r="N62" s="151" t="s">
        <v>329</v>
      </c>
      <c r="O62" s="151" t="s">
        <v>238</v>
      </c>
      <c r="P62" s="151" t="s">
        <v>327</v>
      </c>
      <c r="Q62" s="173" t="s">
        <v>328</v>
      </c>
      <c r="R62" s="175" t="s">
        <v>329</v>
      </c>
      <c r="S62" s="155" t="s">
        <v>238</v>
      </c>
      <c r="T62" s="368" t="s">
        <v>327</v>
      </c>
      <c r="U62" s="355" t="s">
        <v>328</v>
      </c>
      <c r="V62" s="356" t="s">
        <v>329</v>
      </c>
      <c r="W62" s="356" t="s">
        <v>238</v>
      </c>
      <c r="X62" s="356" t="s">
        <v>327</v>
      </c>
      <c r="Y62" s="355" t="s">
        <v>328</v>
      </c>
      <c r="Z62" s="249" t="s">
        <v>329</v>
      </c>
      <c r="AA62" s="356" t="s">
        <v>238</v>
      </c>
      <c r="AB62" s="368" t="s">
        <v>327</v>
      </c>
      <c r="AC62" s="383" t="s">
        <v>328</v>
      </c>
    </row>
    <row r="63" spans="2:29" x14ac:dyDescent="0.3">
      <c r="B63" s="177" t="s">
        <v>1542</v>
      </c>
      <c r="D63" s="286"/>
      <c r="E63" s="282"/>
      <c r="F63" s="282"/>
      <c r="G63" s="282"/>
      <c r="H63" s="282"/>
      <c r="I63" s="548">
        <f>(I64-AVERAGE($E64:$H64))</f>
        <v>5.0234999999999914</v>
      </c>
      <c r="J63" s="548">
        <f t="shared" ref="J63:N63" si="13">(J64-AVERAGE($E64:$H64))</f>
        <v>45.406499999999987</v>
      </c>
      <c r="K63" s="548">
        <f t="shared" si="13"/>
        <v>50.178499999999993</v>
      </c>
      <c r="L63" s="548">
        <f t="shared" si="13"/>
        <v>60.014499999999991</v>
      </c>
      <c r="M63" s="548">
        <f t="shared" si="13"/>
        <v>86.04249999999999</v>
      </c>
      <c r="N63" s="548">
        <f t="shared" si="13"/>
        <v>100.69149999999999</v>
      </c>
      <c r="O63" s="548">
        <f>(O64-AVERAGE($E64:$H64))</f>
        <v>95.460499999999996</v>
      </c>
      <c r="P63" s="548">
        <f>(P64-AVERAGE($E64:$H64))</f>
        <v>100.72550000000001</v>
      </c>
      <c r="Q63" s="477">
        <f>(Q64-AVERAGE($E64:$H64))</f>
        <v>80.643499999999989</v>
      </c>
      <c r="R63" s="477">
        <f>(R64-AVERAGE($E64:$H64))</f>
        <v>63.702499999999993</v>
      </c>
      <c r="S63" s="421">
        <f>(S64-AVERAGE($E64:$H64))</f>
        <v>58.451499999999989</v>
      </c>
      <c r="T63" s="661">
        <f>S63*1.125</f>
        <v>65.757937499999983</v>
      </c>
      <c r="U63" s="661">
        <f t="shared" ref="U63" si="14">T63*0.95</f>
        <v>62.470040624999982</v>
      </c>
      <c r="V63" s="661">
        <f>U63</f>
        <v>62.470040624999982</v>
      </c>
      <c r="W63" s="661">
        <f t="shared" ref="W63:AC63" si="15">V63</f>
        <v>62.470040624999982</v>
      </c>
      <c r="X63" s="661">
        <f t="shared" si="15"/>
        <v>62.470040624999982</v>
      </c>
      <c r="Y63" s="661">
        <f t="shared" si="15"/>
        <v>62.470040624999982</v>
      </c>
      <c r="Z63" s="661">
        <f t="shared" si="15"/>
        <v>62.470040624999982</v>
      </c>
      <c r="AA63" s="661">
        <f t="shared" si="15"/>
        <v>62.470040624999982</v>
      </c>
      <c r="AB63" s="661">
        <f t="shared" si="15"/>
        <v>62.470040624999982</v>
      </c>
      <c r="AC63" s="661">
        <f t="shared" si="15"/>
        <v>62.470040624999982</v>
      </c>
    </row>
    <row r="64" spans="2:29" x14ac:dyDescent="0.3">
      <c r="B64" s="177" t="s">
        <v>160</v>
      </c>
      <c r="C64" s="154" t="s">
        <v>541</v>
      </c>
      <c r="D64" s="283">
        <f>'Haver Pivoted'!GO66</f>
        <v>57.347000000000001</v>
      </c>
      <c r="E64" s="138">
        <f>'Haver Pivoted'!GP66</f>
        <v>56.009</v>
      </c>
      <c r="F64" s="138">
        <f>'Haver Pivoted'!GQ66</f>
        <v>54.273000000000003</v>
      </c>
      <c r="G64" s="138">
        <f>'Haver Pivoted'!GR66</f>
        <v>54.103999999999999</v>
      </c>
      <c r="H64" s="138">
        <f>'Haver Pivoted'!GS66</f>
        <v>54.46</v>
      </c>
      <c r="I64" s="138">
        <f>'Haver Pivoted'!GT66</f>
        <v>59.734999999999999</v>
      </c>
      <c r="J64" s="138">
        <f>'Haver Pivoted'!GU66</f>
        <v>100.11799999999999</v>
      </c>
      <c r="K64" s="138">
        <f>'Haver Pivoted'!GV66</f>
        <v>104.89</v>
      </c>
      <c r="L64" s="138">
        <f>'Haver Pivoted'!GW66</f>
        <v>114.726</v>
      </c>
      <c r="M64" s="138">
        <f>'Haver Pivoted'!GX66</f>
        <v>140.75399999999999</v>
      </c>
      <c r="N64" s="138">
        <f>'Haver Pivoted'!GY66</f>
        <v>155.40299999999999</v>
      </c>
      <c r="O64" s="138">
        <f>'Haver Pivoted'!GZ66</f>
        <v>150.172</v>
      </c>
      <c r="P64" s="138">
        <f>'Haver Pivoted'!HA66</f>
        <v>155.43700000000001</v>
      </c>
      <c r="Q64" s="138">
        <f>'Haver Pivoted'!HB66</f>
        <v>135.35499999999999</v>
      </c>
      <c r="R64" s="138">
        <f>'Haver Pivoted'!HC66</f>
        <v>118.414</v>
      </c>
      <c r="S64" s="203">
        <f>'Haver Pivoted'!HD66</f>
        <v>113.163</v>
      </c>
      <c r="T64" s="356"/>
      <c r="U64" s="356"/>
      <c r="V64" s="356"/>
      <c r="W64" s="356"/>
      <c r="X64" s="356"/>
      <c r="Y64" s="356"/>
      <c r="Z64" s="356"/>
      <c r="AA64" s="356"/>
      <c r="AB64" s="356"/>
      <c r="AC64" s="368"/>
    </row>
    <row r="65" spans="2:29" ht="28.95" customHeight="1" x14ac:dyDescent="0.3">
      <c r="B65" s="148" t="s">
        <v>542</v>
      </c>
      <c r="C65" s="264"/>
      <c r="D65" s="284"/>
      <c r="E65" s="156"/>
      <c r="F65" s="156"/>
      <c r="G65" s="156"/>
      <c r="H65" s="156"/>
      <c r="I65" s="156"/>
      <c r="J65" s="156">
        <f t="shared" ref="J65:S65" si="16">J64-$H64</f>
        <v>45.657999999999994</v>
      </c>
      <c r="K65" s="156">
        <f t="shared" si="16"/>
        <v>50.43</v>
      </c>
      <c r="L65" s="156">
        <f t="shared" si="16"/>
        <v>60.265999999999998</v>
      </c>
      <c r="M65" s="156">
        <f t="shared" si="16"/>
        <v>86.293999999999983</v>
      </c>
      <c r="N65" s="156">
        <f>N64-$H64</f>
        <v>100.94299999999998</v>
      </c>
      <c r="O65" s="156">
        <f>O64-$H64</f>
        <v>95.711999999999989</v>
      </c>
      <c r="P65" s="156">
        <f t="shared" si="16"/>
        <v>100.977</v>
      </c>
      <c r="Q65" s="156">
        <f t="shared" si="16"/>
        <v>80.894999999999982</v>
      </c>
      <c r="R65" s="156">
        <f t="shared" si="16"/>
        <v>63.954000000000001</v>
      </c>
      <c r="S65" s="155">
        <f t="shared" si="16"/>
        <v>58.702999999999996</v>
      </c>
      <c r="T65" s="274"/>
      <c r="U65" s="274"/>
      <c r="V65" s="274"/>
      <c r="W65" s="274"/>
      <c r="X65" s="274"/>
      <c r="Y65" s="274"/>
      <c r="Z65" s="274"/>
      <c r="AA65" s="274"/>
      <c r="AB65" s="274"/>
      <c r="AC65" s="275"/>
    </row>
    <row r="66" spans="2:29" ht="28.95" customHeight="1" x14ac:dyDescent="0.3">
      <c r="B66" s="154"/>
      <c r="C66" s="154"/>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row>
    <row r="67" spans="2:29" ht="28.95" customHeight="1" x14ac:dyDescent="0.3">
      <c r="B67" s="154"/>
      <c r="C67" s="154"/>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row>
    <row r="68" spans="2:29" ht="28.95" customHeight="1" x14ac:dyDescent="0.3">
      <c r="B68" s="154"/>
      <c r="C68" s="154"/>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row>
    <row r="69" spans="2:29" ht="35.700000000000003" customHeight="1" x14ac:dyDescent="0.3"/>
    <row r="70" spans="2:29" x14ac:dyDescent="0.3">
      <c r="B70" s="179" t="s">
        <v>413</v>
      </c>
    </row>
    <row r="71" spans="2:29" x14ac:dyDescent="0.3">
      <c r="B71" s="1149" t="s">
        <v>872</v>
      </c>
      <c r="C71" s="1150"/>
      <c r="D71" s="1156" t="s">
        <v>325</v>
      </c>
      <c r="E71" s="1157"/>
      <c r="F71" s="1157"/>
      <c r="G71" s="1157"/>
      <c r="H71" s="1157"/>
      <c r="I71" s="1157"/>
      <c r="J71" s="1157"/>
      <c r="K71" s="1157"/>
      <c r="L71" s="1157"/>
      <c r="M71" s="1157"/>
      <c r="N71" s="1157"/>
      <c r="O71" s="1157"/>
      <c r="P71" s="1157"/>
      <c r="Q71" s="1157"/>
      <c r="R71" s="1157"/>
      <c r="S71" s="1157"/>
      <c r="T71" s="1184" t="s">
        <v>326</v>
      </c>
      <c r="U71" s="1184"/>
      <c r="V71" s="1184"/>
      <c r="W71" s="1184"/>
      <c r="X71" s="1184"/>
      <c r="Y71" s="1184"/>
      <c r="Z71" s="1184"/>
      <c r="AA71" s="1184"/>
      <c r="AB71" s="1184"/>
      <c r="AC71" s="1185"/>
    </row>
    <row r="72" spans="2:29" x14ac:dyDescent="0.3">
      <c r="B72" s="1151"/>
      <c r="C72" s="1152"/>
      <c r="D72" s="141">
        <v>2018</v>
      </c>
      <c r="E72" s="1147">
        <v>2019</v>
      </c>
      <c r="F72" s="1148"/>
      <c r="G72" s="1148"/>
      <c r="H72" s="1155"/>
      <c r="I72" s="1147">
        <v>2020</v>
      </c>
      <c r="J72" s="1148"/>
      <c r="K72" s="1148"/>
      <c r="L72" s="1148"/>
      <c r="M72" s="1147">
        <v>2021</v>
      </c>
      <c r="N72" s="1148"/>
      <c r="O72" s="1148"/>
      <c r="P72" s="1148"/>
      <c r="Q72" s="1181">
        <v>2022</v>
      </c>
      <c r="R72" s="1182"/>
      <c r="S72" s="252"/>
      <c r="T72" s="287"/>
      <c r="U72" s="1178">
        <v>2023</v>
      </c>
      <c r="V72" s="1179"/>
      <c r="W72" s="1179"/>
      <c r="X72" s="1179"/>
      <c r="Y72" s="1178">
        <v>2024</v>
      </c>
      <c r="Z72" s="1179"/>
      <c r="AA72" s="1179"/>
      <c r="AB72" s="1180"/>
      <c r="AC72" s="258">
        <v>2025</v>
      </c>
    </row>
    <row r="73" spans="2:29" x14ac:dyDescent="0.3">
      <c r="B73" s="1151"/>
      <c r="C73" s="1152"/>
      <c r="D73" s="152" t="s">
        <v>327</v>
      </c>
      <c r="E73" s="152" t="s">
        <v>328</v>
      </c>
      <c r="F73" s="151" t="s">
        <v>329</v>
      </c>
      <c r="G73" s="151" t="s">
        <v>238</v>
      </c>
      <c r="H73" s="203" t="s">
        <v>327</v>
      </c>
      <c r="I73" s="151" t="s">
        <v>328</v>
      </c>
      <c r="J73" s="151" t="s">
        <v>329</v>
      </c>
      <c r="K73" s="151" t="s">
        <v>238</v>
      </c>
      <c r="L73" s="151" t="s">
        <v>327</v>
      </c>
      <c r="M73" s="152" t="s">
        <v>328</v>
      </c>
      <c r="N73" s="151" t="s">
        <v>329</v>
      </c>
      <c r="O73" s="151" t="s">
        <v>238</v>
      </c>
      <c r="P73" s="151" t="s">
        <v>327</v>
      </c>
      <c r="Q73" s="173" t="s">
        <v>328</v>
      </c>
      <c r="R73" s="175" t="s">
        <v>329</v>
      </c>
      <c r="S73" s="155" t="s">
        <v>238</v>
      </c>
      <c r="T73" s="368" t="s">
        <v>327</v>
      </c>
      <c r="U73" s="355" t="s">
        <v>328</v>
      </c>
      <c r="V73" s="356" t="s">
        <v>329</v>
      </c>
      <c r="W73" s="356" t="s">
        <v>238</v>
      </c>
      <c r="X73" s="356" t="s">
        <v>327</v>
      </c>
      <c r="Y73" s="355" t="s">
        <v>328</v>
      </c>
      <c r="Z73" s="249" t="s">
        <v>329</v>
      </c>
      <c r="AA73" s="356" t="s">
        <v>238</v>
      </c>
      <c r="AB73" s="368" t="s">
        <v>327</v>
      </c>
      <c r="AC73" s="383" t="s">
        <v>328</v>
      </c>
    </row>
    <row r="74" spans="2:29" x14ac:dyDescent="0.3">
      <c r="B74" s="542" t="s">
        <v>528</v>
      </c>
      <c r="C74" s="437" t="s">
        <v>529</v>
      </c>
      <c r="D74" s="570">
        <f>'Haver Pivoted'!GO31</f>
        <v>2224.3000000000002</v>
      </c>
      <c r="E74" s="548">
        <f>'Haver Pivoted'!GP31</f>
        <v>2303.4</v>
      </c>
      <c r="F74" s="548">
        <f>'Haver Pivoted'!GQ31</f>
        <v>2319.4</v>
      </c>
      <c r="G74" s="548">
        <f>'Haver Pivoted'!GR31</f>
        <v>2333.8000000000002</v>
      </c>
      <c r="H74" s="548">
        <f>'Haver Pivoted'!GS31</f>
        <v>2346.4</v>
      </c>
      <c r="I74" s="548">
        <f>'Haver Pivoted'!GT31</f>
        <v>2407.5</v>
      </c>
      <c r="J74" s="548">
        <f>'Haver Pivoted'!GU31</f>
        <v>4698.7</v>
      </c>
      <c r="K74" s="548">
        <f>'Haver Pivoted'!GV31</f>
        <v>3492.4</v>
      </c>
      <c r="L74" s="548">
        <f>'Haver Pivoted'!GW31</f>
        <v>2881.6</v>
      </c>
      <c r="M74" s="548">
        <f>'Haver Pivoted'!GX31</f>
        <v>5094.8</v>
      </c>
      <c r="N74" s="548">
        <f>'Haver Pivoted'!GY31</f>
        <v>3395.6</v>
      </c>
      <c r="O74" s="548">
        <f>'Haver Pivoted'!GZ31</f>
        <v>3146.3</v>
      </c>
      <c r="P74" s="548">
        <f>'Haver Pivoted'!HA31</f>
        <v>2937.4</v>
      </c>
      <c r="Q74" s="477">
        <f>'Haver Pivoted'!HB31</f>
        <v>2863</v>
      </c>
      <c r="R74" s="477">
        <f>'Haver Pivoted'!HC31</f>
        <v>2846.5</v>
      </c>
      <c r="S74" s="421">
        <f>'Haver Pivoted'!HD31</f>
        <v>2841.4</v>
      </c>
      <c r="T74" s="660"/>
      <c r="U74" s="660"/>
      <c r="V74" s="660"/>
      <c r="W74" s="660"/>
      <c r="X74" s="660"/>
      <c r="Y74" s="660"/>
      <c r="Z74" s="660"/>
      <c r="AA74" s="660"/>
      <c r="AB74" s="660"/>
      <c r="AC74" s="287"/>
    </row>
    <row r="75" spans="2:29" ht="27.6" customHeight="1" x14ac:dyDescent="0.3">
      <c r="B75" s="185" t="s">
        <v>868</v>
      </c>
      <c r="C75" s="154"/>
      <c r="D75" s="603">
        <f t="shared" ref="D75:S75" si="17">SUM(D14:D22)</f>
        <v>813.09999999999991</v>
      </c>
      <c r="E75" s="272">
        <f t="shared" si="17"/>
        <v>832</v>
      </c>
      <c r="F75" s="272">
        <f t="shared" si="17"/>
        <v>842.69999999999993</v>
      </c>
      <c r="G75" s="272">
        <f t="shared" si="17"/>
        <v>850.1</v>
      </c>
      <c r="H75" s="272">
        <f t="shared" si="17"/>
        <v>854</v>
      </c>
      <c r="I75" s="272">
        <f t="shared" si="17"/>
        <v>871.02350000000001</v>
      </c>
      <c r="J75" s="272">
        <f t="shared" si="17"/>
        <v>3187.1064999999999</v>
      </c>
      <c r="K75" s="272">
        <f t="shared" si="17"/>
        <v>1850.5785000000001</v>
      </c>
      <c r="L75" s="272">
        <f t="shared" si="17"/>
        <v>1300.1145000000001</v>
      </c>
      <c r="M75" s="272">
        <f t="shared" si="17"/>
        <v>3501.0425</v>
      </c>
      <c r="N75" s="272">
        <f t="shared" si="17"/>
        <v>1824.9133399999998</v>
      </c>
      <c r="O75" s="272">
        <f t="shared" si="17"/>
        <v>1573.4639933333328</v>
      </c>
      <c r="P75" s="272">
        <f t="shared" si="17"/>
        <v>1378.1348333333328</v>
      </c>
      <c r="Q75" s="272">
        <f t="shared" si="17"/>
        <v>1205.9195</v>
      </c>
      <c r="R75" s="272">
        <f t="shared" si="17"/>
        <v>1180.8785</v>
      </c>
      <c r="S75" s="635">
        <f t="shared" si="17"/>
        <v>1172.1274999999998</v>
      </c>
      <c r="T75" s="655"/>
      <c r="U75" s="655"/>
      <c r="V75" s="655"/>
      <c r="W75" s="655"/>
      <c r="X75" s="655"/>
      <c r="Y75" s="655"/>
      <c r="Z75" s="655"/>
      <c r="AA75" s="655"/>
      <c r="AB75" s="655"/>
      <c r="AC75" s="683"/>
    </row>
    <row r="76" spans="2:29" ht="27.6" customHeight="1" x14ac:dyDescent="0.3">
      <c r="B76" s="185" t="s">
        <v>869</v>
      </c>
      <c r="C76" s="154"/>
      <c r="D76" s="603">
        <f>D74-D75</f>
        <v>1411.2000000000003</v>
      </c>
      <c r="E76" s="272">
        <f t="shared" ref="E76:O76" si="18">E74-E75</f>
        <v>1471.4</v>
      </c>
      <c r="F76" s="272">
        <f t="shared" si="18"/>
        <v>1476.7000000000003</v>
      </c>
      <c r="G76" s="272">
        <f t="shared" si="18"/>
        <v>1483.7000000000003</v>
      </c>
      <c r="H76" s="272">
        <f t="shared" si="18"/>
        <v>1492.4</v>
      </c>
      <c r="I76" s="272">
        <f t="shared" si="18"/>
        <v>1536.4765</v>
      </c>
      <c r="J76" s="272">
        <f t="shared" si="18"/>
        <v>1511.5934999999999</v>
      </c>
      <c r="K76" s="272">
        <f t="shared" si="18"/>
        <v>1641.8215</v>
      </c>
      <c r="L76" s="272">
        <f t="shared" si="18"/>
        <v>1581.4854999999998</v>
      </c>
      <c r="M76" s="272">
        <f t="shared" si="18"/>
        <v>1593.7575000000002</v>
      </c>
      <c r="N76" s="272">
        <f t="shared" si="18"/>
        <v>1570.6866600000001</v>
      </c>
      <c r="O76" s="272">
        <f t="shared" si="18"/>
        <v>1572.8360066666673</v>
      </c>
      <c r="P76" s="272">
        <f>P74-P75</f>
        <v>1559.2651666666673</v>
      </c>
      <c r="Q76" s="272">
        <f>Q74-Q75</f>
        <v>1657.0805</v>
      </c>
      <c r="R76" s="272">
        <f>R74-R75</f>
        <v>1665.6215</v>
      </c>
      <c r="S76" s="635">
        <f>S74-S75</f>
        <v>1669.2725000000003</v>
      </c>
      <c r="T76" s="655"/>
      <c r="U76" s="655"/>
      <c r="V76" s="655"/>
      <c r="W76" s="655"/>
      <c r="X76" s="655"/>
      <c r="Y76" s="655"/>
      <c r="Z76" s="655"/>
      <c r="AA76" s="655"/>
      <c r="AB76" s="655"/>
      <c r="AC76" s="683"/>
    </row>
    <row r="77" spans="2:29" ht="24" customHeight="1" x14ac:dyDescent="0.3">
      <c r="B77" s="177" t="s">
        <v>870</v>
      </c>
      <c r="C77" s="154"/>
      <c r="D77" s="603">
        <f t="shared" ref="D77:I77" si="19">D12-D14-D15-D21</f>
        <v>1411.2</v>
      </c>
      <c r="E77" s="272">
        <f t="shared" si="19"/>
        <v>1471.4</v>
      </c>
      <c r="F77" s="272">
        <f t="shared" si="19"/>
        <v>1476.7</v>
      </c>
      <c r="G77" s="272">
        <f t="shared" si="19"/>
        <v>1483.7</v>
      </c>
      <c r="H77" s="272">
        <f t="shared" si="19"/>
        <v>1492.4000000000003</v>
      </c>
      <c r="I77" s="272">
        <f t="shared" si="19"/>
        <v>1541.5000000000002</v>
      </c>
      <c r="J77" s="645">
        <f>I77+($H$77-$E$77)/3</f>
        <v>1548.5000000000002</v>
      </c>
      <c r="K77" s="645">
        <f>J77+($H$77-$E$77)/3</f>
        <v>1555.5000000000002</v>
      </c>
      <c r="L77" s="645">
        <f>K77+($H$77-$E$77)/3</f>
        <v>1562.5000000000002</v>
      </c>
      <c r="M77" s="646">
        <f>L77+($H$77-$E$77)/3 +(M78-L78)</f>
        <v>1586.9430000000002</v>
      </c>
      <c r="N77" s="645">
        <f>M77+($H$77-$E$77)/3</f>
        <v>1593.9430000000002</v>
      </c>
      <c r="O77" s="645">
        <f>N77+($H$77-$E$77)/3</f>
        <v>1600.9430000000002</v>
      </c>
      <c r="P77" s="645">
        <f>O77+($H$77-$E$77)/3</f>
        <v>1607.9430000000002</v>
      </c>
      <c r="Q77" s="646">
        <f>P77+($H$77-$E$77)/3 + 0.06*Q78</f>
        <v>1686.8657200000002</v>
      </c>
      <c r="R77" s="645">
        <f>Q77+($H$77-$E$77)/3</f>
        <v>1693.8657200000002</v>
      </c>
      <c r="S77" s="685">
        <f>R77+($H$77-$E$77)/3</f>
        <v>1700.8657200000002</v>
      </c>
      <c r="T77" s="671">
        <f>S77+($H$77-$E$77)/3</f>
        <v>1707.8657200000002</v>
      </c>
      <c r="U77" s="672">
        <f>T77+($H$77-$E$77)/3+0.087*U78</f>
        <v>1821.9106940000001</v>
      </c>
      <c r="V77" s="671">
        <f>U77+($H$77-$E$77)/3</f>
        <v>1828.9106940000001</v>
      </c>
      <c r="W77" s="671">
        <f>V77+($H$77-$E$77)/3</f>
        <v>1835.9106940000001</v>
      </c>
      <c r="X77" s="671">
        <f>W77+($H$77-$E$77)/3</f>
        <v>1842.9106940000001</v>
      </c>
      <c r="Y77" s="672">
        <f>X77+($H$77-$E$77)/3 + 0.03*Y78</f>
        <v>1887.7827540000001</v>
      </c>
      <c r="Z77" s="671">
        <f>Y77+($H$77-$E$77)/3</f>
        <v>1894.7827540000001</v>
      </c>
      <c r="AA77" s="671">
        <f>Z77+($H$77-$E$77)/3</f>
        <v>1901.7827540000001</v>
      </c>
      <c r="AB77" s="671">
        <f>AA77+($H$77-$E$77)/3</f>
        <v>1908.7827540000001</v>
      </c>
      <c r="AC77" s="673">
        <f>AB77+($H$77-$E$77)/3 + 0.02*AC78</f>
        <v>1941.6707940000001</v>
      </c>
    </row>
    <row r="78" spans="2:29" x14ac:dyDescent="0.3">
      <c r="B78" s="177" t="s">
        <v>537</v>
      </c>
      <c r="C78" s="154" t="s">
        <v>538</v>
      </c>
      <c r="D78" s="177">
        <f>'Haver Pivoted'!GO88/1000</f>
        <v>983.88599999999997</v>
      </c>
      <c r="E78" s="154">
        <f>'Haver Pivoted'!GP88/1000</f>
        <v>1019.2089999999999</v>
      </c>
      <c r="F78" s="154">
        <f>'Haver Pivoted'!GQ88/1000</f>
        <v>1026.6220000000001</v>
      </c>
      <c r="G78" s="154">
        <f>'Haver Pivoted'!GR88/1000</f>
        <v>1034.357</v>
      </c>
      <c r="H78" s="154">
        <f>'Haver Pivoted'!GS88/1000</f>
        <v>1042.7819999999999</v>
      </c>
      <c r="I78" s="154">
        <f>'Haver Pivoted'!GT88/1000</f>
        <v>1068.2280000000001</v>
      </c>
      <c r="J78" s="154">
        <f>'Haver Pivoted'!GU88/1000</f>
        <v>1074.912</v>
      </c>
      <c r="K78" s="154">
        <f>'Haver Pivoted'!GV88/1000</f>
        <v>1080.3399999999999</v>
      </c>
      <c r="L78" s="154">
        <f>'Haver Pivoted'!GW88/1000</f>
        <v>1088.2329999999999</v>
      </c>
      <c r="M78" s="154">
        <f>'Haver Pivoted'!GX88/1000</f>
        <v>1105.6759999999999</v>
      </c>
      <c r="N78" s="154">
        <f>'Haver Pivoted'!GY88/1000</f>
        <v>1109.3710000000001</v>
      </c>
      <c r="O78" s="154">
        <f>'Haver Pivoted'!GZ88/1000</f>
        <v>1116.8150000000001</v>
      </c>
      <c r="P78" s="154">
        <f>'Haver Pivoted'!HA88/1000</f>
        <v>1126.539</v>
      </c>
      <c r="Q78" s="154">
        <f>'Haver Pivoted'!HB88/1000</f>
        <v>1198.712</v>
      </c>
      <c r="R78" s="154">
        <f>'Haver Pivoted'!HC88/1000</f>
        <v>1206.8920000000001</v>
      </c>
      <c r="S78" s="636">
        <f>'Haver Pivoted'!HD88/1000</f>
        <v>1214.402</v>
      </c>
      <c r="T78" s="655">
        <f t="shared" ref="T78:AC78" si="20">S78+8</f>
        <v>1222.402</v>
      </c>
      <c r="U78" s="655">
        <f t="shared" si="20"/>
        <v>1230.402</v>
      </c>
      <c r="V78" s="655">
        <f t="shared" si="20"/>
        <v>1238.402</v>
      </c>
      <c r="W78" s="655">
        <f t="shared" si="20"/>
        <v>1246.402</v>
      </c>
      <c r="X78" s="655">
        <f t="shared" si="20"/>
        <v>1254.402</v>
      </c>
      <c r="Y78" s="655">
        <f t="shared" si="20"/>
        <v>1262.402</v>
      </c>
      <c r="Z78" s="655">
        <f t="shared" si="20"/>
        <v>1270.402</v>
      </c>
      <c r="AA78" s="655">
        <f t="shared" si="20"/>
        <v>1278.402</v>
      </c>
      <c r="AB78" s="655">
        <f t="shared" si="20"/>
        <v>1286.402</v>
      </c>
      <c r="AC78" s="683">
        <f t="shared" si="20"/>
        <v>1294.402</v>
      </c>
    </row>
    <row r="79" spans="2:29" ht="69" customHeight="1" x14ac:dyDescent="0.3">
      <c r="B79" s="684" t="s">
        <v>1537</v>
      </c>
      <c r="C79" s="264"/>
      <c r="D79" s="676">
        <f>D76-D77</f>
        <v>0</v>
      </c>
      <c r="E79" s="674">
        <f t="shared" ref="E79:O79" si="21">E76-E77</f>
        <v>0</v>
      </c>
      <c r="F79" s="674">
        <f t="shared" si="21"/>
        <v>0</v>
      </c>
      <c r="G79" s="674">
        <f t="shared" si="21"/>
        <v>0</v>
      </c>
      <c r="H79" s="674">
        <f t="shared" si="21"/>
        <v>0</v>
      </c>
      <c r="I79" s="674">
        <f t="shared" si="21"/>
        <v>-5.0235000000002401</v>
      </c>
      <c r="J79" s="674">
        <f t="shared" si="21"/>
        <v>-36.906500000000278</v>
      </c>
      <c r="K79" s="674">
        <f t="shared" si="21"/>
        <v>86.321499999999787</v>
      </c>
      <c r="L79" s="674">
        <f t="shared" si="21"/>
        <v>18.985499999999547</v>
      </c>
      <c r="M79" s="674">
        <f t="shared" si="21"/>
        <v>6.8144999999999527</v>
      </c>
      <c r="N79" s="674">
        <f t="shared" si="21"/>
        <v>-23.256340000000137</v>
      </c>
      <c r="O79" s="674">
        <f t="shared" si="21"/>
        <v>-28.106993333332866</v>
      </c>
      <c r="P79" s="674">
        <f>P76-P77</f>
        <v>-48.677833333332956</v>
      </c>
      <c r="Q79" s="674">
        <f>Q76-Q77</f>
        <v>-29.785220000000209</v>
      </c>
      <c r="R79" s="674">
        <f>R76-R77</f>
        <v>-28.244220000000269</v>
      </c>
      <c r="S79" s="637">
        <f>S76-S77</f>
        <v>-31.593219999999974</v>
      </c>
      <c r="T79" s="675">
        <f>S79</f>
        <v>-31.593219999999974</v>
      </c>
      <c r="U79" s="675">
        <f t="shared" ref="U79:AC79" si="22">T79</f>
        <v>-31.593219999999974</v>
      </c>
      <c r="V79" s="675">
        <f t="shared" si="22"/>
        <v>-31.593219999999974</v>
      </c>
      <c r="W79" s="675">
        <f t="shared" si="22"/>
        <v>-31.593219999999974</v>
      </c>
      <c r="X79" s="675">
        <f t="shared" si="22"/>
        <v>-31.593219999999974</v>
      </c>
      <c r="Y79" s="675">
        <f t="shared" si="22"/>
        <v>-31.593219999999974</v>
      </c>
      <c r="Z79" s="675">
        <f t="shared" si="22"/>
        <v>-31.593219999999974</v>
      </c>
      <c r="AA79" s="675">
        <f t="shared" si="22"/>
        <v>-31.593219999999974</v>
      </c>
      <c r="AB79" s="675">
        <f t="shared" si="22"/>
        <v>-31.593219999999974</v>
      </c>
      <c r="AC79" s="675">
        <f t="shared" si="22"/>
        <v>-31.593219999999974</v>
      </c>
    </row>
    <row r="80" spans="2:29" x14ac:dyDescent="0.3">
      <c r="B80" s="76" t="s">
        <v>1536</v>
      </c>
      <c r="D80" s="154"/>
      <c r="E80" s="154"/>
      <c r="F80" s="154"/>
      <c r="G80" s="154"/>
      <c r="H80" s="154"/>
      <c r="I80" s="154"/>
      <c r="J80" s="154"/>
      <c r="K80" s="154"/>
      <c r="L80" s="154"/>
      <c r="M80" s="272"/>
      <c r="N80" s="272"/>
      <c r="O80" s="272"/>
      <c r="P80" s="154"/>
    </row>
    <row r="81" spans="2:18" x14ac:dyDescent="0.3">
      <c r="B81" s="542" t="s">
        <v>876</v>
      </c>
      <c r="C81" s="666"/>
      <c r="D81" s="678">
        <v>2021</v>
      </c>
      <c r="E81" s="678">
        <v>2022</v>
      </c>
      <c r="F81" s="678">
        <v>2023</v>
      </c>
      <c r="G81" s="679">
        <v>2024</v>
      </c>
      <c r="R81" s="539"/>
    </row>
    <row r="82" spans="2:18" x14ac:dyDescent="0.3">
      <c r="B82" s="677" t="s">
        <v>877</v>
      </c>
      <c r="C82" s="688"/>
      <c r="D82" s="663">
        <v>3605.8330000000001</v>
      </c>
      <c r="E82" s="663">
        <v>2900</v>
      </c>
      <c r="F82" s="663">
        <f>E82*1.02</f>
        <v>2958</v>
      </c>
      <c r="G82" s="664">
        <f>F82*1.06</f>
        <v>3135.48</v>
      </c>
    </row>
    <row r="83" spans="2:18" x14ac:dyDescent="0.3">
      <c r="B83" s="677" t="s">
        <v>880</v>
      </c>
      <c r="C83" s="665"/>
      <c r="D83" s="195">
        <f>AVERAGE(Medicare!L10:O10)</f>
        <v>865</v>
      </c>
      <c r="E83" s="195">
        <f>AVERAGE(Medicare!P10:S10)</f>
        <v>910.02500000000009</v>
      </c>
      <c r="F83" s="195">
        <f>AVERAGE(Medicare!T10:W10)</f>
        <v>977.57029256096143</v>
      </c>
      <c r="G83" s="686">
        <f>AVERAGE(Medicare!X10:AA10)</f>
        <v>1075.6065602240183</v>
      </c>
    </row>
    <row r="84" spans="2:18" ht="13.2" customHeight="1" x14ac:dyDescent="0.3">
      <c r="B84" s="677" t="s">
        <v>878</v>
      </c>
      <c r="C84" s="665"/>
      <c r="D84" s="195">
        <f>D82-D83</f>
        <v>2740.8330000000001</v>
      </c>
      <c r="E84" s="195">
        <f t="shared" ref="E84:G84" si="23">E82-E83</f>
        <v>1989.9749999999999</v>
      </c>
      <c r="F84" s="195">
        <f t="shared" si="23"/>
        <v>1980.4297074390386</v>
      </c>
      <c r="G84" s="686">
        <f t="shared" si="23"/>
        <v>2059.8734397759818</v>
      </c>
    </row>
    <row r="85" spans="2:18" x14ac:dyDescent="0.3">
      <c r="B85" s="677" t="s">
        <v>881</v>
      </c>
      <c r="C85" s="665"/>
      <c r="D85" s="195">
        <f>AVERAGE(L12:O12)</f>
        <v>3629.5749999999998</v>
      </c>
      <c r="E85" s="195">
        <f>AVERAGE(P12:S12)</f>
        <v>2872.0749999999998</v>
      </c>
      <c r="F85" s="195">
        <f>AVERAGE(T12:W12)</f>
        <v>2888.4276220168613</v>
      </c>
      <c r="G85" s="686">
        <f>AVERAGE(X12:AA12)</f>
        <v>3047.1337927462146</v>
      </c>
    </row>
    <row r="86" spans="2:18" x14ac:dyDescent="0.3">
      <c r="B86" s="677" t="s">
        <v>880</v>
      </c>
      <c r="C86" s="665"/>
      <c r="D86" s="195">
        <f>AVERAGE(Medicare!L10:O10)</f>
        <v>865</v>
      </c>
      <c r="E86" s="195">
        <f>AVERAGE(Medicare!P10:S10)</f>
        <v>910.02500000000009</v>
      </c>
      <c r="F86" s="195">
        <f>AVERAGE(Medicare!T10:W10)</f>
        <v>977.57029256096143</v>
      </c>
      <c r="G86" s="686">
        <f>AVERAGE(Medicare!X10:AA10)</f>
        <v>1075.6065602240183</v>
      </c>
    </row>
    <row r="87" spans="2:18" x14ac:dyDescent="0.3">
      <c r="B87" s="677" t="s">
        <v>599</v>
      </c>
      <c r="C87" s="665"/>
      <c r="D87" s="195">
        <f>AVERAGE(L25:O25)</f>
        <v>1586.0822500000002</v>
      </c>
      <c r="E87" s="195">
        <f>AVERAGE(P25:S25)</f>
        <v>1672.3850400000001</v>
      </c>
      <c r="F87" s="195">
        <f>AVERAGE(T25:W25)</f>
        <v>1798.6494505000001</v>
      </c>
      <c r="G87" s="686">
        <f>AVERAGE(X25:AA25)</f>
        <v>1881.8147389999999</v>
      </c>
    </row>
    <row r="88" spans="2:18" ht="27.6" customHeight="1" x14ac:dyDescent="0.3">
      <c r="B88" s="667" t="s">
        <v>879</v>
      </c>
      <c r="C88" s="148"/>
      <c r="D88" s="592"/>
      <c r="E88" s="680">
        <v>1.157</v>
      </c>
      <c r="F88" s="680">
        <v>1.0109999999999999</v>
      </c>
      <c r="G88" s="687">
        <v>1.0529999999999999</v>
      </c>
    </row>
    <row r="89" spans="2:18" x14ac:dyDescent="0.3">
      <c r="B89" s="154" t="s">
        <v>882</v>
      </c>
      <c r="D89" s="681">
        <f>D85-D82</f>
        <v>23.741999999999734</v>
      </c>
      <c r="E89" s="681">
        <f>E85-E82</f>
        <v>-27.925000000000182</v>
      </c>
      <c r="F89" s="681">
        <f>F85-F82</f>
        <v>-69.572377983138722</v>
      </c>
      <c r="G89" s="681">
        <f t="shared" ref="G89" si="24">G85-G82</f>
        <v>-88.346207253785451</v>
      </c>
    </row>
    <row r="91" spans="2:18" x14ac:dyDescent="0.3">
      <c r="B91" t="s">
        <v>877</v>
      </c>
      <c r="D91">
        <v>3605.8330000000001</v>
      </c>
      <c r="E91">
        <v>2832.5949999999998</v>
      </c>
      <c r="F91">
        <v>2833.72</v>
      </c>
      <c r="G91">
        <v>2976.7339999999999</v>
      </c>
    </row>
  </sheetData>
  <mergeCells count="32">
    <mergeCell ref="B1:AC1"/>
    <mergeCell ref="B2:AC6"/>
    <mergeCell ref="B8:C10"/>
    <mergeCell ref="E9:H9"/>
    <mergeCell ref="I9:L9"/>
    <mergeCell ref="U9:X9"/>
    <mergeCell ref="Y9:AB9"/>
    <mergeCell ref="M9:P9"/>
    <mergeCell ref="Q9:R9"/>
    <mergeCell ref="T8:AC8"/>
    <mergeCell ref="D8:S8"/>
    <mergeCell ref="Y72:AB72"/>
    <mergeCell ref="T71:AC71"/>
    <mergeCell ref="D71:S71"/>
    <mergeCell ref="B11:C11"/>
    <mergeCell ref="B59:AC59"/>
    <mergeCell ref="B60:C62"/>
    <mergeCell ref="E61:H61"/>
    <mergeCell ref="I61:L61"/>
    <mergeCell ref="B29:C29"/>
    <mergeCell ref="U61:X61"/>
    <mergeCell ref="Y61:AB61"/>
    <mergeCell ref="T60:AC60"/>
    <mergeCell ref="D60:S60"/>
    <mergeCell ref="B71:C73"/>
    <mergeCell ref="E72:H72"/>
    <mergeCell ref="I72:L72"/>
    <mergeCell ref="U72:X72"/>
    <mergeCell ref="M61:P61"/>
    <mergeCell ref="Q61:R61"/>
    <mergeCell ref="Q72:R72"/>
    <mergeCell ref="M72:P72"/>
  </mergeCells>
  <pageMargins left="0.7" right="0.7" top="0.75" bottom="0.75" header="0.3" footer="0.3"/>
  <pageSetup paperSize="9" orientation="portrait" horizontalDpi="300" verticalDpi="3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58"/>
  <sheetViews>
    <sheetView topLeftCell="C149" zoomScale="90" zoomScaleNormal="90" workbookViewId="0">
      <selection activeCell="C20" sqref="C20"/>
    </sheetView>
  </sheetViews>
  <sheetFormatPr defaultColWidth="11.5546875" defaultRowHeight="14.4" x14ac:dyDescent="0.3"/>
  <cols>
    <col min="1" max="2" width="0" hidden="1" customWidth="1"/>
    <col min="4" max="4" width="45.21875" customWidth="1"/>
    <col min="5" max="5" width="11.21875" customWidth="1"/>
    <col min="13" max="13" width="12.44140625" customWidth="1"/>
    <col min="14" max="15" width="13.44140625" customWidth="1"/>
    <col min="16" max="16" width="11.21875" customWidth="1"/>
    <col min="19" max="19" width="12" customWidth="1"/>
  </cols>
  <sheetData>
    <row r="1" spans="4:56" x14ac:dyDescent="0.3">
      <c r="D1" s="1146" t="s">
        <v>58</v>
      </c>
      <c r="E1" s="1146"/>
      <c r="F1" s="1146"/>
      <c r="G1" s="1146"/>
      <c r="H1" s="1146"/>
      <c r="I1" s="1146"/>
      <c r="J1" s="1146"/>
      <c r="K1" s="1146"/>
      <c r="L1" s="1146"/>
      <c r="M1" s="1146"/>
      <c r="N1" s="1146"/>
      <c r="O1" s="1146"/>
      <c r="P1" s="1146"/>
      <c r="Q1" s="1146"/>
      <c r="R1" s="1146"/>
      <c r="S1" s="1146"/>
      <c r="T1" s="1146"/>
      <c r="U1" s="1146"/>
      <c r="V1" s="1146"/>
      <c r="W1" s="1146"/>
      <c r="X1" s="1146"/>
      <c r="Y1" s="1146"/>
      <c r="Z1" s="1146"/>
      <c r="AA1" s="1146"/>
      <c r="AB1" s="1146"/>
      <c r="AC1" s="1146"/>
    </row>
    <row r="2" spans="4:56" ht="14.25" customHeight="1" x14ac:dyDescent="0.3">
      <c r="D2" s="1145" t="s">
        <v>1005</v>
      </c>
      <c r="E2" s="1145"/>
      <c r="F2" s="1145"/>
      <c r="G2" s="1145"/>
      <c r="H2" s="1145"/>
      <c r="I2" s="1145"/>
      <c r="J2" s="1145"/>
      <c r="K2" s="1145"/>
      <c r="L2" s="1145"/>
      <c r="M2" s="1145"/>
      <c r="N2" s="1145"/>
      <c r="O2" s="1145"/>
      <c r="P2" s="1145"/>
      <c r="Q2" s="1145"/>
      <c r="R2" s="1145"/>
      <c r="S2" s="1145"/>
      <c r="T2" s="1145"/>
      <c r="U2" s="1145"/>
      <c r="V2" s="1145"/>
      <c r="W2" s="1145"/>
      <c r="X2" s="1145"/>
      <c r="Y2" s="1145"/>
      <c r="Z2" s="1145"/>
      <c r="AA2" s="1145"/>
      <c r="AB2" s="1145"/>
      <c r="AC2" s="1145"/>
    </row>
    <row r="3" spans="4:56" ht="84.75" customHeight="1" x14ac:dyDescent="0.3">
      <c r="D3" s="1145"/>
      <c r="E3" s="1145"/>
      <c r="F3" s="1145"/>
      <c r="G3" s="1145"/>
      <c r="H3" s="1145"/>
      <c r="I3" s="1145"/>
      <c r="J3" s="1145"/>
      <c r="K3" s="1145"/>
      <c r="L3" s="1145"/>
      <c r="M3" s="1145"/>
      <c r="N3" s="1145"/>
      <c r="O3" s="1145"/>
      <c r="P3" s="1145"/>
      <c r="Q3" s="1145"/>
      <c r="R3" s="1145"/>
      <c r="S3" s="1145"/>
      <c r="T3" s="1145"/>
      <c r="U3" s="1145"/>
      <c r="V3" s="1145"/>
      <c r="W3" s="1145"/>
      <c r="X3" s="1145"/>
      <c r="Y3" s="1145"/>
      <c r="Z3" s="1145"/>
      <c r="AA3" s="1145"/>
      <c r="AB3" s="1145"/>
      <c r="AC3" s="1145"/>
    </row>
    <row r="4" spans="4:56" x14ac:dyDescent="0.3">
      <c r="D4" s="832" t="s">
        <v>381</v>
      </c>
    </row>
    <row r="5" spans="4:56" x14ac:dyDescent="0.3">
      <c r="D5" s="1175" t="s">
        <v>465</v>
      </c>
      <c r="E5" s="1159"/>
      <c r="F5" s="1256" t="s">
        <v>325</v>
      </c>
      <c r="G5" s="1257"/>
      <c r="H5" s="1257"/>
      <c r="I5" s="1257"/>
      <c r="J5" s="1257"/>
      <c r="K5" s="1257"/>
      <c r="L5" s="1257"/>
      <c r="M5" s="1257"/>
      <c r="N5" s="1257"/>
      <c r="O5" s="1257"/>
      <c r="P5" s="1257"/>
      <c r="Q5" s="1258"/>
      <c r="R5" s="1258"/>
      <c r="S5" s="1258"/>
      <c r="T5" s="1184" t="s">
        <v>326</v>
      </c>
      <c r="U5" s="1184"/>
      <c r="V5" s="1184"/>
      <c r="W5" s="1184"/>
      <c r="X5" s="1184"/>
      <c r="Y5" s="1184"/>
      <c r="Z5" s="1184"/>
      <c r="AA5" s="1184"/>
      <c r="AB5" s="1184"/>
      <c r="AC5" s="1185"/>
      <c r="AD5" s="769"/>
      <c r="AE5" s="769"/>
      <c r="AF5" s="769"/>
      <c r="AG5" s="769"/>
      <c r="AH5" s="769"/>
      <c r="AI5" s="769"/>
      <c r="AJ5" s="769"/>
      <c r="AK5" s="769"/>
      <c r="AL5" s="769"/>
      <c r="AM5" s="769"/>
      <c r="AN5" s="769"/>
      <c r="AO5" s="769"/>
      <c r="AP5" s="769"/>
      <c r="AQ5" s="769"/>
      <c r="AR5" s="769"/>
      <c r="AS5" s="769"/>
      <c r="AT5" s="769"/>
      <c r="AU5" s="769"/>
      <c r="AV5" s="769"/>
      <c r="AW5" s="769"/>
      <c r="AX5" s="769"/>
      <c r="AY5" s="769"/>
      <c r="AZ5" s="769"/>
      <c r="BA5" s="769"/>
      <c r="BB5" s="769"/>
      <c r="BC5" s="769"/>
      <c r="BD5" s="769"/>
    </row>
    <row r="6" spans="4:56" x14ac:dyDescent="0.3">
      <c r="D6" s="1176"/>
      <c r="E6" s="1213"/>
      <c r="F6" s="1195">
        <v>2019</v>
      </c>
      <c r="G6" s="1196"/>
      <c r="H6" s="1203"/>
      <c r="I6" s="1196">
        <v>2020</v>
      </c>
      <c r="J6" s="1196"/>
      <c r="K6" s="1196"/>
      <c r="L6" s="1196"/>
      <c r="M6" s="1147">
        <v>2021</v>
      </c>
      <c r="N6" s="1148"/>
      <c r="O6" s="1148"/>
      <c r="P6" s="1148"/>
      <c r="Q6" s="1181">
        <v>2022</v>
      </c>
      <c r="R6" s="1182"/>
      <c r="S6" s="252"/>
      <c r="T6" s="287"/>
      <c r="U6" s="1251">
        <v>2023</v>
      </c>
      <c r="V6" s="1252"/>
      <c r="W6" s="1252"/>
      <c r="X6" s="1252"/>
      <c r="Y6" s="1178">
        <v>2024</v>
      </c>
      <c r="Z6" s="1179"/>
      <c r="AA6" s="1179"/>
      <c r="AB6" s="1179"/>
      <c r="AC6" s="258">
        <v>2025</v>
      </c>
      <c r="AD6" s="765"/>
      <c r="AE6" s="765"/>
      <c r="AF6" s="765"/>
      <c r="AG6" s="770"/>
      <c r="AH6" s="770"/>
      <c r="AI6" s="770"/>
      <c r="AJ6" s="770"/>
      <c r="AK6" s="770"/>
      <c r="AL6" s="770"/>
      <c r="AM6" s="770"/>
      <c r="AN6" s="770"/>
      <c r="AO6" s="770"/>
      <c r="AP6" s="770"/>
      <c r="AQ6" s="770"/>
      <c r="AR6" s="770"/>
      <c r="AS6" s="770"/>
      <c r="AT6" s="770"/>
      <c r="AU6" s="770"/>
      <c r="AV6" s="770"/>
      <c r="AW6" s="770"/>
      <c r="AX6" s="770"/>
      <c r="AY6" s="770"/>
      <c r="AZ6" s="770"/>
      <c r="BA6" s="770"/>
      <c r="BB6" s="770"/>
      <c r="BC6" s="770"/>
    </row>
    <row r="7" spans="4:56" x14ac:dyDescent="0.3">
      <c r="D7" s="1187"/>
      <c r="E7" s="1214"/>
      <c r="F7" s="152" t="s">
        <v>329</v>
      </c>
      <c r="G7" s="151" t="s">
        <v>238</v>
      </c>
      <c r="H7" s="203" t="s">
        <v>327</v>
      </c>
      <c r="I7" s="151" t="s">
        <v>328</v>
      </c>
      <c r="J7" s="151" t="s">
        <v>329</v>
      </c>
      <c r="K7" s="151" t="s">
        <v>238</v>
      </c>
      <c r="L7" s="151" t="s">
        <v>327</v>
      </c>
      <c r="M7" s="152" t="s">
        <v>328</v>
      </c>
      <c r="N7" s="151" t="s">
        <v>329</v>
      </c>
      <c r="O7" s="151" t="s">
        <v>238</v>
      </c>
      <c r="P7" s="151" t="s">
        <v>327</v>
      </c>
      <c r="Q7" s="152" t="s">
        <v>328</v>
      </c>
      <c r="R7" s="151" t="s">
        <v>329</v>
      </c>
      <c r="S7" s="203" t="s">
        <v>238</v>
      </c>
      <c r="T7" s="275" t="s">
        <v>327</v>
      </c>
      <c r="U7" s="273" t="s">
        <v>328</v>
      </c>
      <c r="V7" s="274" t="s">
        <v>329</v>
      </c>
      <c r="W7" s="274" t="s">
        <v>238</v>
      </c>
      <c r="X7" s="274" t="s">
        <v>327</v>
      </c>
      <c r="Y7" s="273" t="s">
        <v>328</v>
      </c>
      <c r="Z7" s="269" t="s">
        <v>329</v>
      </c>
      <c r="AA7" s="274" t="s">
        <v>238</v>
      </c>
      <c r="AB7" s="274" t="s">
        <v>327</v>
      </c>
      <c r="AC7" s="277" t="s">
        <v>328</v>
      </c>
      <c r="AD7" s="767"/>
      <c r="AE7" s="767"/>
      <c r="AF7" s="767"/>
      <c r="AG7" s="767"/>
      <c r="AH7" s="767"/>
      <c r="AI7" s="767"/>
      <c r="AJ7" s="767"/>
      <c r="AK7" s="767"/>
      <c r="AL7" s="767"/>
      <c r="AM7" s="767"/>
      <c r="AN7" s="767"/>
      <c r="AO7" s="767"/>
      <c r="AP7" s="767"/>
      <c r="AQ7" s="767"/>
      <c r="AR7" s="767"/>
      <c r="AS7" s="767"/>
      <c r="AT7" s="767"/>
      <c r="AU7" s="767"/>
      <c r="AV7" s="767"/>
      <c r="AW7" s="767"/>
      <c r="AX7" s="767"/>
      <c r="AY7" s="767"/>
      <c r="AZ7" s="767"/>
      <c r="BA7" s="767"/>
      <c r="BB7" s="767"/>
      <c r="BC7" s="767"/>
    </row>
    <row r="8" spans="4:56" x14ac:dyDescent="0.3">
      <c r="D8" s="366" t="s">
        <v>527</v>
      </c>
      <c r="E8" s="71"/>
      <c r="F8" s="756"/>
      <c r="G8" s="710"/>
      <c r="H8" s="710"/>
      <c r="I8" s="710"/>
      <c r="J8" s="710"/>
      <c r="K8" s="710"/>
      <c r="L8" s="710"/>
      <c r="M8" s="710"/>
      <c r="N8" s="710"/>
      <c r="O8" s="710"/>
      <c r="P8" s="710"/>
      <c r="Q8" s="710"/>
      <c r="R8" s="710"/>
      <c r="S8" s="711"/>
      <c r="T8" s="723"/>
      <c r="U8" s="723"/>
      <c r="V8" s="723"/>
      <c r="W8" s="723"/>
      <c r="X8" s="723"/>
      <c r="Y8" s="723"/>
      <c r="Z8" s="723"/>
      <c r="AA8" s="723"/>
      <c r="AB8" s="723"/>
      <c r="AC8" s="836"/>
      <c r="AD8" s="766"/>
      <c r="AE8" s="766"/>
      <c r="AF8" s="766"/>
      <c r="AG8" s="766"/>
      <c r="AH8" s="766"/>
      <c r="AI8" s="766"/>
      <c r="AJ8" s="766"/>
      <c r="AK8" s="766"/>
      <c r="AL8" s="766"/>
      <c r="AM8" s="766"/>
      <c r="AN8" s="766"/>
      <c r="AO8" s="766"/>
      <c r="AP8" s="766"/>
      <c r="AQ8" s="766"/>
      <c r="AR8" s="766"/>
      <c r="AS8" s="766"/>
      <c r="AT8" s="766"/>
      <c r="AU8" s="766"/>
      <c r="AV8" s="766"/>
      <c r="AW8" s="766"/>
      <c r="AX8" s="766"/>
      <c r="AY8" s="766"/>
      <c r="AZ8" s="766"/>
      <c r="BA8" s="766"/>
      <c r="BB8" s="766"/>
      <c r="BC8" s="766"/>
    </row>
    <row r="9" spans="4:56" ht="14.55" customHeight="1" x14ac:dyDescent="0.3">
      <c r="D9" s="472" t="s">
        <v>543</v>
      </c>
      <c r="E9" s="724"/>
      <c r="F9" s="833">
        <f t="shared" ref="F9:P9" si="0">SUM(F10:F14)</f>
        <v>3266.5</v>
      </c>
      <c r="G9" s="708">
        <f t="shared" si="0"/>
        <v>3286.9</v>
      </c>
      <c r="H9" s="708">
        <f t="shared" si="0"/>
        <v>3332.3</v>
      </c>
      <c r="I9" s="708">
        <f t="shared" si="0"/>
        <v>3393.2999999999997</v>
      </c>
      <c r="J9" s="708">
        <f t="shared" si="0"/>
        <v>3128.1</v>
      </c>
      <c r="K9" s="708">
        <f t="shared" si="0"/>
        <v>3303.4</v>
      </c>
      <c r="L9" s="708">
        <f t="shared" si="0"/>
        <v>3457.8</v>
      </c>
      <c r="M9" s="708">
        <f>SUM(M10:M14)</f>
        <v>3596.7999999999997</v>
      </c>
      <c r="N9" s="708">
        <f t="shared" si="0"/>
        <v>3753.5</v>
      </c>
      <c r="O9" s="708">
        <f t="shared" si="0"/>
        <v>3871.9000000000005</v>
      </c>
      <c r="P9" s="708">
        <f t="shared" si="0"/>
        <v>4000.8999999999996</v>
      </c>
      <c r="Q9" s="708">
        <f t="shared" ref="Q9:S9" si="1">SUM(Q10:Q14)</f>
        <v>4383.5999999999995</v>
      </c>
      <c r="R9" s="708">
        <f t="shared" si="1"/>
        <v>4444.7999999999993</v>
      </c>
      <c r="S9" s="712">
        <f t="shared" si="1"/>
        <v>4505.2000000000007</v>
      </c>
      <c r="T9" s="725">
        <f t="shared" ref="T9:AC9" si="2">SUM(T10,T13,T14)</f>
        <v>4574.8644920383394</v>
      </c>
      <c r="U9" s="725">
        <f t="shared" si="2"/>
        <v>4528.6569166191493</v>
      </c>
      <c r="V9" s="725">
        <f t="shared" si="2"/>
        <v>4544.8795506226297</v>
      </c>
      <c r="W9" s="725">
        <f t="shared" si="2"/>
        <v>4561.5377512540026</v>
      </c>
      <c r="X9" s="725">
        <f t="shared" si="2"/>
        <v>4564.9831242368391</v>
      </c>
      <c r="Y9" s="725">
        <f t="shared" si="2"/>
        <v>4571.7917472467925</v>
      </c>
      <c r="Z9" s="725">
        <f t="shared" si="2"/>
        <v>4578.7665782937693</v>
      </c>
      <c r="AA9" s="725">
        <f t="shared" si="2"/>
        <v>4585.908584776219</v>
      </c>
      <c r="AB9" s="725">
        <f t="shared" si="2"/>
        <v>4602.1144223049096</v>
      </c>
      <c r="AC9" s="726">
        <f t="shared" si="2"/>
        <v>4613.636665183144</v>
      </c>
      <c r="AD9" s="776"/>
      <c r="AE9" s="776"/>
      <c r="AF9" s="776"/>
      <c r="AG9" s="776"/>
      <c r="AH9" s="776"/>
      <c r="AI9" s="776"/>
      <c r="AJ9" s="776"/>
      <c r="AK9" s="776"/>
      <c r="AL9" s="776"/>
      <c r="AM9" s="776"/>
      <c r="AN9" s="776"/>
      <c r="AO9" s="776"/>
      <c r="AP9" s="776"/>
      <c r="AQ9" s="776"/>
      <c r="AR9" s="776"/>
      <c r="AS9" s="776"/>
      <c r="AT9" s="776"/>
      <c r="AU9" s="776"/>
      <c r="AV9" s="776"/>
      <c r="AW9" s="776"/>
      <c r="AX9" s="776"/>
      <c r="AY9" s="776"/>
      <c r="AZ9" s="776"/>
      <c r="BA9" s="776"/>
      <c r="BB9" s="776"/>
      <c r="BC9" s="776"/>
    </row>
    <row r="10" spans="4:56" x14ac:dyDescent="0.3">
      <c r="D10" s="513" t="s">
        <v>544</v>
      </c>
      <c r="E10" s="53" t="s">
        <v>115</v>
      </c>
      <c r="F10" s="798">
        <f>'Haver Pivoted'!GQ27</f>
        <v>1692.6</v>
      </c>
      <c r="G10" s="707">
        <f>'Haver Pivoted'!GR27</f>
        <v>1700.6</v>
      </c>
      <c r="H10" s="707">
        <f>'Haver Pivoted'!GS27</f>
        <v>1726.4</v>
      </c>
      <c r="I10" s="707">
        <f>'Haver Pivoted'!GT27</f>
        <v>1751.6</v>
      </c>
      <c r="J10" s="707">
        <f>'Haver Pivoted'!GU27</f>
        <v>1610.2</v>
      </c>
      <c r="K10" s="707">
        <f>'Haver Pivoted'!GV27</f>
        <v>1722.1</v>
      </c>
      <c r="L10" s="707">
        <f>'Haver Pivoted'!GW27</f>
        <v>1837.8</v>
      </c>
      <c r="M10" s="707">
        <f>'Haver Pivoted'!GX27</f>
        <v>1965.4</v>
      </c>
      <c r="N10" s="707">
        <f>'Haver Pivoted'!GY27</f>
        <v>2071.9</v>
      </c>
      <c r="O10" s="707">
        <f>'Haver Pivoted'!GZ27</f>
        <v>2158.8000000000002</v>
      </c>
      <c r="P10" s="707">
        <f>'Haver Pivoted'!HA27</f>
        <v>2235.1999999999998</v>
      </c>
      <c r="Q10" s="707">
        <f>'Haver Pivoted'!HB27</f>
        <v>2564.1</v>
      </c>
      <c r="R10" s="707">
        <f>'Haver Pivoted'!HC27</f>
        <v>2598.6</v>
      </c>
      <c r="S10" s="697">
        <f>'Haver Pivoted'!HD27</f>
        <v>2638.6</v>
      </c>
      <c r="T10" s="727">
        <f t="shared" ref="T10:AC10" si="3">SUM(T11:T12)</f>
        <v>2681.3894465673602</v>
      </c>
      <c r="U10" s="727">
        <f t="shared" si="3"/>
        <v>2608.3802151470386</v>
      </c>
      <c r="V10" s="727">
        <f t="shared" si="3"/>
        <v>2597.4171116529733</v>
      </c>
      <c r="W10" s="727">
        <f t="shared" si="3"/>
        <v>2586.4999428123101</v>
      </c>
      <c r="X10" s="727">
        <f t="shared" si="3"/>
        <v>2583.0328568878608</v>
      </c>
      <c r="Y10" s="727">
        <f t="shared" si="3"/>
        <v>2573.6757610302157</v>
      </c>
      <c r="Z10" s="727">
        <f t="shared" si="3"/>
        <v>2564.3525322158343</v>
      </c>
      <c r="AA10" s="727">
        <f t="shared" si="3"/>
        <v>2555.0630478664471</v>
      </c>
      <c r="AB10" s="727">
        <f t="shared" si="3"/>
        <v>2555.0383525136563</v>
      </c>
      <c r="AC10" s="728">
        <f t="shared" si="3"/>
        <v>2554.390821205071</v>
      </c>
      <c r="AD10" s="766"/>
      <c r="AE10" s="766"/>
      <c r="AF10" s="766"/>
      <c r="AG10" s="766"/>
      <c r="AH10" s="766"/>
      <c r="AI10" s="766"/>
      <c r="AJ10" s="766"/>
      <c r="AK10" s="766"/>
      <c r="AL10" s="766"/>
      <c r="AM10" s="766"/>
      <c r="AN10" s="766"/>
      <c r="AO10" s="766"/>
      <c r="AP10" s="766"/>
      <c r="AQ10" s="766"/>
      <c r="AR10" s="766"/>
      <c r="AS10" s="766"/>
      <c r="AT10" s="766"/>
      <c r="AU10" s="766"/>
      <c r="AV10" s="766"/>
      <c r="AW10" s="766"/>
      <c r="AX10" s="766"/>
      <c r="AY10" s="766"/>
      <c r="AZ10" s="766"/>
      <c r="BA10" s="766"/>
      <c r="BB10" s="766"/>
      <c r="BC10" s="766"/>
    </row>
    <row r="11" spans="4:56" ht="15.6" customHeight="1" x14ac:dyDescent="0.3">
      <c r="D11" s="513" t="s">
        <v>1479</v>
      </c>
      <c r="E11" s="53"/>
      <c r="F11" s="798"/>
      <c r="G11" s="707"/>
      <c r="H11" s="707"/>
      <c r="I11" s="707"/>
      <c r="J11" s="707"/>
      <c r="K11" s="707"/>
      <c r="L11" s="707"/>
      <c r="M11" s="707"/>
      <c r="N11" s="707"/>
      <c r="O11" s="707"/>
      <c r="P11" s="707"/>
      <c r="Q11" s="707"/>
      <c r="R11" s="707"/>
      <c r="S11" s="696"/>
      <c r="T11" s="727">
        <f>S10*(1+$J37)^0.25</f>
        <v>2627.5444465673604</v>
      </c>
      <c r="U11" s="727">
        <f>T11*(1+$J37)^0.25</f>
        <v>2616.5352151470388</v>
      </c>
      <c r="V11" s="727">
        <f>U11*(1+$J37)^0.25</f>
        <v>2605.5721116529735</v>
      </c>
      <c r="W11" s="727">
        <f>V11*(1+$J37)^0.25</f>
        <v>2594.6549428123103</v>
      </c>
      <c r="X11" s="727">
        <f>W11*(1+$K37)^0.25</f>
        <v>2585.263856887861</v>
      </c>
      <c r="Y11" s="727">
        <f>X11*(1+$K37)^0.25</f>
        <v>2575.9067610302159</v>
      </c>
      <c r="Z11" s="727">
        <f>Y11*(1+$K37)^0.25</f>
        <v>2566.5835322158346</v>
      </c>
      <c r="AA11" s="727">
        <f>Z11*(1+$K37)^0.25</f>
        <v>2557.2940478664473</v>
      </c>
      <c r="AB11" s="727">
        <f>AA11*(1+$L37)^0.25</f>
        <v>2556.6463525136564</v>
      </c>
      <c r="AC11" s="728">
        <f>AB11*(1+$L37)^0.25</f>
        <v>2555.9988212050712</v>
      </c>
      <c r="AD11" s="766"/>
      <c r="AE11" s="766"/>
      <c r="AF11" s="766"/>
      <c r="AG11" s="766"/>
      <c r="AH11" s="766"/>
      <c r="AI11" s="766"/>
      <c r="AJ11" s="766"/>
      <c r="AK11" s="766"/>
      <c r="AL11" s="766"/>
      <c r="AM11" s="766"/>
      <c r="AN11" s="766"/>
      <c r="AO11" s="766"/>
      <c r="AP11" s="766"/>
      <c r="AQ11" s="766"/>
      <c r="AR11" s="766"/>
      <c r="AS11" s="766"/>
      <c r="AT11" s="766"/>
      <c r="AU11" s="766"/>
      <c r="AV11" s="766"/>
      <c r="AW11" s="766"/>
      <c r="AX11" s="766"/>
      <c r="AY11" s="766"/>
      <c r="AZ11" s="766"/>
      <c r="BA11" s="766"/>
      <c r="BB11" s="766"/>
      <c r="BC11" s="766"/>
    </row>
    <row r="12" spans="4:56" x14ac:dyDescent="0.3">
      <c r="D12" s="749" t="s">
        <v>2115</v>
      </c>
      <c r="E12" s="750"/>
      <c r="F12" s="798"/>
      <c r="G12" s="707"/>
      <c r="H12" s="707"/>
      <c r="I12" s="707"/>
      <c r="J12" s="707"/>
      <c r="K12" s="707"/>
      <c r="L12" s="707"/>
      <c r="M12" s="707"/>
      <c r="N12" s="707"/>
      <c r="O12" s="707"/>
      <c r="P12" s="707"/>
      <c r="Q12" s="707"/>
      <c r="R12" s="707"/>
      <c r="S12" s="696">
        <f>'IRA and CHIPS'!E192</f>
        <v>0</v>
      </c>
      <c r="T12" s="751">
        <f>'IRA and CHIPS'!F192+57</f>
        <v>53.844999999999999</v>
      </c>
      <c r="U12" s="751">
        <f>'IRA and CHIPS'!G192-5</f>
        <v>-8.1549999999999994</v>
      </c>
      <c r="V12" s="751">
        <f>'IRA and CHIPS'!H192-5</f>
        <v>-8.1549999999999994</v>
      </c>
      <c r="W12" s="751">
        <f>'IRA and CHIPS'!I192-5</f>
        <v>-8.1549999999999994</v>
      </c>
      <c r="X12" s="751">
        <f>'IRA and CHIPS'!J192</f>
        <v>-2.2309999999999999</v>
      </c>
      <c r="Y12" s="751">
        <f>'IRA and CHIPS'!K192</f>
        <v>-2.2309999999999999</v>
      </c>
      <c r="Z12" s="751">
        <f>'IRA and CHIPS'!L192</f>
        <v>-2.2309999999999999</v>
      </c>
      <c r="AA12" s="751">
        <f>'IRA and CHIPS'!M192</f>
        <v>-2.2309999999999999</v>
      </c>
      <c r="AB12" s="751">
        <f>'IRA and CHIPS'!N192</f>
        <v>-1.6080000000000001</v>
      </c>
      <c r="AC12" s="729">
        <f>'IRA and CHIPS'!O192</f>
        <v>-1.6080000000000001</v>
      </c>
      <c r="AD12" s="766"/>
      <c r="AE12" s="766"/>
      <c r="AF12" s="766"/>
      <c r="AG12" s="766"/>
      <c r="AH12" s="766"/>
      <c r="AI12" s="766"/>
      <c r="AJ12" s="766"/>
      <c r="AK12" s="766"/>
      <c r="AL12" s="766"/>
      <c r="AM12" s="766"/>
      <c r="AN12" s="766"/>
      <c r="AO12" s="766"/>
      <c r="AP12" s="766"/>
      <c r="AQ12" s="766"/>
      <c r="AR12" s="766"/>
      <c r="AS12" s="766"/>
      <c r="AT12" s="766"/>
      <c r="AU12" s="766"/>
      <c r="AV12" s="766"/>
      <c r="AW12" s="766"/>
      <c r="AX12" s="766"/>
      <c r="AY12" s="766"/>
      <c r="AZ12" s="766"/>
      <c r="BA12" s="766"/>
      <c r="BB12" s="766"/>
      <c r="BC12" s="766"/>
    </row>
    <row r="13" spans="4:56" x14ac:dyDescent="0.3">
      <c r="D13" s="730" t="s">
        <v>545</v>
      </c>
      <c r="E13" s="752" t="s">
        <v>121</v>
      </c>
      <c r="F13" s="798">
        <f>'Haver Pivoted'!GQ30</f>
        <v>1402.6</v>
      </c>
      <c r="G13" s="707">
        <f>'Haver Pivoted'!GR30</f>
        <v>1410</v>
      </c>
      <c r="H13" s="707">
        <f>'Haver Pivoted'!GS30</f>
        <v>1429</v>
      </c>
      <c r="I13" s="707">
        <f>'Haver Pivoted'!GT30</f>
        <v>1455.1</v>
      </c>
      <c r="J13" s="707">
        <f>'Haver Pivoted'!GU30</f>
        <v>1385.3</v>
      </c>
      <c r="K13" s="707">
        <f>'Haver Pivoted'!GV30</f>
        <v>1432.2</v>
      </c>
      <c r="L13" s="707">
        <f>'Haver Pivoted'!GW30</f>
        <v>1465</v>
      </c>
      <c r="M13" s="707">
        <f>'Haver Pivoted'!GX30</f>
        <v>1474.8</v>
      </c>
      <c r="N13" s="707">
        <f>'Haver Pivoted'!GY30</f>
        <v>1504.3</v>
      </c>
      <c r="O13" s="707">
        <f>'Haver Pivoted'!GZ30</f>
        <v>1536.3</v>
      </c>
      <c r="P13" s="707">
        <f>'Haver Pivoted'!HA30</f>
        <v>1578.1</v>
      </c>
      <c r="Q13" s="707">
        <f>'Haver Pivoted'!HB30</f>
        <v>1617.1</v>
      </c>
      <c r="R13" s="707">
        <f>'Haver Pivoted'!HC30</f>
        <v>1636.8</v>
      </c>
      <c r="S13" s="697">
        <f>'Haver Pivoted'!HD30</f>
        <v>1664</v>
      </c>
      <c r="T13" s="753">
        <f>S13*(1+$J38)^0.25</f>
        <v>1688.4639649944929</v>
      </c>
      <c r="U13" s="753">
        <f>T13*(1+$J38)^0.25</f>
        <v>1713.2875968058438</v>
      </c>
      <c r="V13" s="753">
        <f>U13*(1+$J38)^0.25</f>
        <v>1738.4761832203612</v>
      </c>
      <c r="W13" s="753">
        <f>V13*(1+$J38)^0.25</f>
        <v>1764.03508976487</v>
      </c>
      <c r="X13" s="753">
        <f>W13*(1+$K38)^0.25</f>
        <v>1778.8049394721163</v>
      </c>
      <c r="Y13" s="753">
        <f>X13*(1+$K38)^0.25</f>
        <v>1793.6984536470598</v>
      </c>
      <c r="Z13" s="753">
        <f>Y13*(1+$K38)^0.25</f>
        <v>1808.7166677031182</v>
      </c>
      <c r="AA13" s="753">
        <f>Z13*(1+$K38)^0.25</f>
        <v>1823.8606257229824</v>
      </c>
      <c r="AB13" s="753">
        <f>AA13*(1+$L38)^0.25</f>
        <v>1836.0999780298446</v>
      </c>
      <c r="AC13" s="731">
        <f>AB13*(1+$L38)^0.25</f>
        <v>1848.4214647623196</v>
      </c>
      <c r="AD13" s="766"/>
      <c r="AE13" s="766"/>
      <c r="AF13" s="766"/>
      <c r="AG13" s="766"/>
      <c r="AH13" s="766"/>
      <c r="AI13" s="766"/>
      <c r="AJ13" s="766"/>
      <c r="AK13" s="766"/>
      <c r="AL13" s="766"/>
      <c r="AM13" s="766"/>
      <c r="AN13" s="766"/>
      <c r="AO13" s="766"/>
      <c r="AP13" s="766"/>
      <c r="AQ13" s="766"/>
      <c r="AR13" s="766"/>
      <c r="AS13" s="766"/>
      <c r="AT13" s="766"/>
      <c r="AU13" s="766"/>
      <c r="AV13" s="766"/>
      <c r="AW13" s="766"/>
      <c r="AX13" s="766"/>
      <c r="AY13" s="766"/>
      <c r="AZ13" s="766"/>
      <c r="BA13" s="766"/>
      <c r="BB13" s="766"/>
      <c r="BC13" s="766"/>
    </row>
    <row r="14" spans="4:56" x14ac:dyDescent="0.3">
      <c r="D14" s="513" t="s">
        <v>546</v>
      </c>
      <c r="E14" s="53" t="s">
        <v>117</v>
      </c>
      <c r="F14" s="798">
        <f>'Haver Pivoted'!GQ28</f>
        <v>171.3</v>
      </c>
      <c r="G14" s="707">
        <f>'Haver Pivoted'!GR28</f>
        <v>176.3</v>
      </c>
      <c r="H14" s="707">
        <f>'Haver Pivoted'!GS28</f>
        <v>176.9</v>
      </c>
      <c r="I14" s="707">
        <f>'Haver Pivoted'!GT28</f>
        <v>186.6</v>
      </c>
      <c r="J14" s="707">
        <f>'Haver Pivoted'!GU28</f>
        <v>132.6</v>
      </c>
      <c r="K14" s="707">
        <f>'Haver Pivoted'!GV28</f>
        <v>149.1</v>
      </c>
      <c r="L14" s="707">
        <f>'Haver Pivoted'!GW28</f>
        <v>155</v>
      </c>
      <c r="M14" s="707">
        <f>'Haver Pivoted'!GX28</f>
        <v>156.6</v>
      </c>
      <c r="N14" s="707">
        <f>'Haver Pivoted'!GY28</f>
        <v>177.3</v>
      </c>
      <c r="O14" s="707">
        <f>'Haver Pivoted'!GZ28</f>
        <v>176.8</v>
      </c>
      <c r="P14" s="707">
        <f>'Haver Pivoted'!HA28</f>
        <v>187.6</v>
      </c>
      <c r="Q14" s="707">
        <f>'Haver Pivoted'!HB28</f>
        <v>202.4</v>
      </c>
      <c r="R14" s="707">
        <f>'Haver Pivoted'!HC28</f>
        <v>209.4</v>
      </c>
      <c r="S14" s="697">
        <f>'Haver Pivoted'!HD28</f>
        <v>202.6</v>
      </c>
      <c r="T14" s="727">
        <f t="shared" ref="T14:AC14" si="4">SUM(T15:T16)</f>
        <v>205.01108047648628</v>
      </c>
      <c r="U14" s="727">
        <f t="shared" si="4"/>
        <v>206.98910466626651</v>
      </c>
      <c r="V14" s="727">
        <f t="shared" si="4"/>
        <v>208.98625574929559</v>
      </c>
      <c r="W14" s="727">
        <f t="shared" si="4"/>
        <v>211.00271867682298</v>
      </c>
      <c r="X14" s="727">
        <f t="shared" si="4"/>
        <v>203.14532787686258</v>
      </c>
      <c r="Y14" s="727">
        <f t="shared" si="4"/>
        <v>204.41753256951731</v>
      </c>
      <c r="Z14" s="727">
        <f t="shared" si="4"/>
        <v>205.69737837481594</v>
      </c>
      <c r="AA14" s="727">
        <f t="shared" si="4"/>
        <v>206.98491118679013</v>
      </c>
      <c r="AB14" s="727">
        <f t="shared" si="4"/>
        <v>210.97609176140867</v>
      </c>
      <c r="AC14" s="728">
        <f t="shared" si="4"/>
        <v>210.82437921575368</v>
      </c>
      <c r="AD14" s="766"/>
      <c r="AE14" s="766"/>
      <c r="AF14" s="766"/>
      <c r="AG14" s="766"/>
      <c r="AH14" s="766"/>
      <c r="AI14" s="766"/>
      <c r="AJ14" s="766"/>
      <c r="AK14" s="766"/>
      <c r="AL14" s="766"/>
      <c r="AM14" s="766"/>
      <c r="AN14" s="766"/>
      <c r="AO14" s="766"/>
      <c r="AP14" s="766"/>
      <c r="AQ14" s="766"/>
      <c r="AR14" s="766"/>
      <c r="AS14" s="766"/>
      <c r="AT14" s="766"/>
      <c r="AU14" s="766"/>
      <c r="AV14" s="766"/>
      <c r="AW14" s="766"/>
      <c r="AX14" s="766"/>
      <c r="AY14" s="766"/>
      <c r="AZ14" s="766"/>
      <c r="BA14" s="766"/>
      <c r="BB14" s="766"/>
      <c r="BC14" s="766"/>
    </row>
    <row r="15" spans="4:56" x14ac:dyDescent="0.3">
      <c r="D15" s="513" t="s">
        <v>1533</v>
      </c>
      <c r="E15" s="53"/>
      <c r="F15" s="798"/>
      <c r="G15" s="707"/>
      <c r="H15" s="707"/>
      <c r="I15" s="707"/>
      <c r="J15" s="707"/>
      <c r="K15" s="707"/>
      <c r="L15" s="707"/>
      <c r="M15" s="707"/>
      <c r="N15" s="707"/>
      <c r="O15" s="707"/>
      <c r="P15" s="707"/>
      <c r="Q15" s="707"/>
      <c r="R15" s="707"/>
      <c r="S15" s="696"/>
      <c r="T15" s="727">
        <f>S14*(1+$J39)^0.25</f>
        <v>204.55908047648629</v>
      </c>
      <c r="U15" s="727">
        <f>T15*(1+$J39)^0.25</f>
        <v>206.53710466626652</v>
      </c>
      <c r="V15" s="727">
        <f>U15*(1+$J39)^0.25</f>
        <v>208.5342557492956</v>
      </c>
      <c r="W15" s="727">
        <f>V15*(1+$J39)^0.25</f>
        <v>210.55071867682298</v>
      </c>
      <c r="X15" s="727">
        <f>W15*(1+$K39)^0.25</f>
        <v>211.81532787686257</v>
      </c>
      <c r="Y15" s="727">
        <f>X15*(1+$K39)^0.25</f>
        <v>213.08753256951729</v>
      </c>
      <c r="Z15" s="727">
        <f>Y15*(1+$K39)^0.25</f>
        <v>214.36737837481593</v>
      </c>
      <c r="AA15" s="727">
        <f>Z15*(1+$K39)^0.25</f>
        <v>215.65491118679012</v>
      </c>
      <c r="AB15" s="727">
        <f>AA15*(1+$L39)^0.25</f>
        <v>215.50309176140865</v>
      </c>
      <c r="AC15" s="728">
        <f>AB15*(1+$L39)^0.25</f>
        <v>215.35137921575367</v>
      </c>
      <c r="AD15" s="766"/>
      <c r="AE15" s="766"/>
      <c r="AF15" s="766"/>
      <c r="AG15" s="766"/>
      <c r="AH15" s="766"/>
      <c r="AI15" s="766"/>
      <c r="AJ15" s="766"/>
      <c r="AK15" s="766"/>
      <c r="AL15" s="766"/>
      <c r="AM15" s="766"/>
      <c r="AN15" s="766"/>
      <c r="AO15" s="766"/>
      <c r="AP15" s="766"/>
      <c r="AQ15" s="766"/>
      <c r="AR15" s="766"/>
      <c r="AS15" s="766"/>
      <c r="AT15" s="766"/>
      <c r="AU15" s="766"/>
      <c r="AV15" s="766"/>
      <c r="AW15" s="766"/>
      <c r="AX15" s="766"/>
      <c r="AY15" s="766"/>
      <c r="AZ15" s="766"/>
      <c r="BA15" s="766"/>
      <c r="BB15" s="766"/>
      <c r="BC15" s="766"/>
    </row>
    <row r="16" spans="4:56" x14ac:dyDescent="0.3">
      <c r="D16" s="749" t="s">
        <v>1534</v>
      </c>
      <c r="E16" s="750"/>
      <c r="F16" s="798"/>
      <c r="G16" s="707"/>
      <c r="H16" s="707"/>
      <c r="I16" s="707"/>
      <c r="J16" s="707"/>
      <c r="K16" s="707"/>
      <c r="L16" s="707"/>
      <c r="M16" s="707"/>
      <c r="N16" s="707"/>
      <c r="O16" s="707"/>
      <c r="P16" s="707"/>
      <c r="Q16" s="707"/>
      <c r="R16" s="707"/>
      <c r="S16" s="696">
        <f>'IRA and CHIPS'!E193</f>
        <v>0</v>
      </c>
      <c r="T16" s="751">
        <f>'IRA and CHIPS'!F193</f>
        <v>0.45200000000000001</v>
      </c>
      <c r="U16" s="751">
        <f>'IRA and CHIPS'!G193</f>
        <v>0.45200000000000001</v>
      </c>
      <c r="V16" s="751">
        <f>'IRA and CHIPS'!H193</f>
        <v>0.45200000000000001</v>
      </c>
      <c r="W16" s="751">
        <f>'IRA and CHIPS'!I193</f>
        <v>0.45200000000000001</v>
      </c>
      <c r="X16" s="751">
        <f>'IRA and CHIPS'!J193</f>
        <v>-8.67</v>
      </c>
      <c r="Y16" s="751">
        <f>'IRA and CHIPS'!K193</f>
        <v>-8.67</v>
      </c>
      <c r="Z16" s="751">
        <f>'IRA and CHIPS'!L193</f>
        <v>-8.67</v>
      </c>
      <c r="AA16" s="751">
        <f>'IRA and CHIPS'!M193</f>
        <v>-8.67</v>
      </c>
      <c r="AB16" s="751">
        <f>'IRA and CHIPS'!N193</f>
        <v>-4.5270000000000001</v>
      </c>
      <c r="AC16" s="729">
        <f>'IRA and CHIPS'!O193</f>
        <v>-4.5270000000000001</v>
      </c>
      <c r="AD16" s="766"/>
      <c r="AE16" s="766"/>
      <c r="AF16" s="766"/>
      <c r="AG16" s="766"/>
      <c r="AH16" s="766"/>
      <c r="AI16" s="766"/>
      <c r="AJ16" s="766"/>
      <c r="AK16" s="766"/>
      <c r="AL16" s="766"/>
      <c r="AM16" s="766"/>
      <c r="AN16" s="766"/>
      <c r="AO16" s="766"/>
      <c r="AP16" s="766"/>
      <c r="AQ16" s="766"/>
      <c r="AR16" s="766"/>
      <c r="AS16" s="766"/>
      <c r="AT16" s="766"/>
      <c r="AU16" s="766"/>
      <c r="AV16" s="766"/>
      <c r="AW16" s="766"/>
      <c r="AX16" s="766"/>
      <c r="AY16" s="766"/>
      <c r="AZ16" s="766"/>
      <c r="BA16" s="766"/>
      <c r="BB16" s="766"/>
      <c r="BC16" s="766"/>
    </row>
    <row r="17" spans="4:55" ht="14.55" customHeight="1" x14ac:dyDescent="0.3">
      <c r="D17" s="472" t="s">
        <v>547</v>
      </c>
      <c r="E17" s="732" t="s">
        <v>119</v>
      </c>
      <c r="F17" s="834">
        <f>'Haver Pivoted'!GQ29</f>
        <v>215.9</v>
      </c>
      <c r="G17" s="691">
        <f>'Haver Pivoted'!GR29</f>
        <v>196.9</v>
      </c>
      <c r="H17" s="691">
        <f>'Haver Pivoted'!GS29</f>
        <v>226.2</v>
      </c>
      <c r="I17" s="691">
        <f>'Haver Pivoted'!GT29</f>
        <v>183.1</v>
      </c>
      <c r="J17" s="691">
        <f>'Haver Pivoted'!GU29</f>
        <v>177.8</v>
      </c>
      <c r="K17" s="691">
        <f>'Haver Pivoted'!GV29</f>
        <v>218.4</v>
      </c>
      <c r="L17" s="691">
        <f>'Haver Pivoted'!GW29</f>
        <v>226.5</v>
      </c>
      <c r="M17" s="691">
        <f>'Haver Pivoted'!GX29</f>
        <v>249.6</v>
      </c>
      <c r="N17" s="691">
        <f>'Haver Pivoted'!GY29</f>
        <v>281.39999999999998</v>
      </c>
      <c r="O17" s="691">
        <f>'Haver Pivoted'!GZ29</f>
        <v>278.39999999999998</v>
      </c>
      <c r="P17" s="691">
        <f>'Haver Pivoted'!HA29</f>
        <v>304.8</v>
      </c>
      <c r="Q17" s="691">
        <f>'Haver Pivoted'!HB29</f>
        <v>313.8</v>
      </c>
      <c r="R17" s="691">
        <f>'Haver Pivoted'!HC29</f>
        <v>353.2</v>
      </c>
      <c r="S17" s="704">
        <f>'Haver Pivoted'!HD29</f>
        <v>334.6</v>
      </c>
      <c r="T17" s="727">
        <f t="shared" ref="T17:AC17" si="5">T19+T18</f>
        <v>382.19188884072923</v>
      </c>
      <c r="U17" s="727">
        <f t="shared" si="5"/>
        <v>394.91708520104078</v>
      </c>
      <c r="V17" s="727">
        <f t="shared" si="5"/>
        <v>408.10910873050739</v>
      </c>
      <c r="W17" s="727">
        <f t="shared" si="5"/>
        <v>421.78508510638312</v>
      </c>
      <c r="X17" s="727">
        <f t="shared" si="5"/>
        <v>427.08469138358691</v>
      </c>
      <c r="Y17" s="727">
        <f t="shared" si="5"/>
        <v>431.72266035544538</v>
      </c>
      <c r="Z17" s="727">
        <f t="shared" si="5"/>
        <v>436.41563677685053</v>
      </c>
      <c r="AA17" s="727">
        <f t="shared" si="5"/>
        <v>441.16427304964549</v>
      </c>
      <c r="AB17" s="727">
        <f t="shared" si="5"/>
        <v>427.29133875132953</v>
      </c>
      <c r="AC17" s="728">
        <f t="shared" si="5"/>
        <v>423.03821600000856</v>
      </c>
      <c r="AD17" s="776"/>
      <c r="AE17" s="776"/>
      <c r="AF17" s="776"/>
      <c r="AG17" s="776"/>
      <c r="AH17" s="776"/>
      <c r="AI17" s="776"/>
      <c r="AJ17" s="776"/>
      <c r="AK17" s="776"/>
      <c r="AL17" s="776"/>
      <c r="AM17" s="776"/>
      <c r="AN17" s="776"/>
      <c r="AO17" s="776"/>
      <c r="AP17" s="776"/>
      <c r="AQ17" s="776"/>
      <c r="AR17" s="776"/>
      <c r="AS17" s="776"/>
      <c r="AT17" s="776"/>
      <c r="AU17" s="776"/>
      <c r="AV17" s="776"/>
      <c r="AW17" s="776"/>
      <c r="AX17" s="776"/>
      <c r="AY17" s="776"/>
      <c r="AZ17" s="776"/>
      <c r="BA17" s="776"/>
      <c r="BB17" s="776"/>
      <c r="BC17" s="776"/>
    </row>
    <row r="18" spans="4:55" x14ac:dyDescent="0.3">
      <c r="D18" s="261" t="s">
        <v>1480</v>
      </c>
      <c r="E18" s="71"/>
      <c r="F18" s="796"/>
      <c r="G18" s="706"/>
      <c r="H18" s="706"/>
      <c r="I18" s="706"/>
      <c r="J18" s="706"/>
      <c r="K18" s="706"/>
      <c r="L18" s="706"/>
      <c r="M18" s="706"/>
      <c r="N18" s="706"/>
      <c r="O18" s="706"/>
      <c r="P18" s="706"/>
      <c r="Q18" s="709"/>
      <c r="R18" s="706"/>
      <c r="S18" s="696"/>
      <c r="T18" s="727">
        <f>S17*(1+$J40)^0.25</f>
        <v>346.87488884072923</v>
      </c>
      <c r="U18" s="727">
        <f>T18*(1+$J40)^0.25</f>
        <v>359.60008520104077</v>
      </c>
      <c r="V18" s="727">
        <f>U18*(1+$J40)^0.25</f>
        <v>372.79210873050738</v>
      </c>
      <c r="W18" s="727">
        <f>V18*(1+$J40)^0.25</f>
        <v>386.46808510638311</v>
      </c>
      <c r="X18" s="727">
        <f>W18*(1+$K40)^0.25</f>
        <v>391.0516913835869</v>
      </c>
      <c r="Y18" s="727">
        <f>X18*(1+$K40)^0.25</f>
        <v>395.68966035544537</v>
      </c>
      <c r="Z18" s="727">
        <f>Y18*(1+$K40)^0.25</f>
        <v>400.38263677685052</v>
      </c>
      <c r="AA18" s="727">
        <f>Z18*(1+$K40)^0.25</f>
        <v>405.13127304964547</v>
      </c>
      <c r="AB18" s="727">
        <f>AA18*(1+$L40)^0.25</f>
        <v>406.21533875132951</v>
      </c>
      <c r="AC18" s="728">
        <f>AB18*(1+$I40)^0.25</f>
        <v>401.96221600000854</v>
      </c>
      <c r="AD18" s="766"/>
      <c r="AE18" s="766"/>
      <c r="AF18" s="766"/>
      <c r="AG18" s="766"/>
      <c r="AH18" s="766"/>
      <c r="AI18" s="766"/>
      <c r="AJ18" s="766"/>
      <c r="AK18" s="766"/>
      <c r="AL18" s="766"/>
      <c r="AM18" s="766"/>
      <c r="AN18" s="766"/>
      <c r="AO18" s="766"/>
      <c r="AP18" s="766"/>
      <c r="AQ18" s="766"/>
      <c r="AR18" s="766"/>
      <c r="AS18" s="766"/>
      <c r="AT18" s="766"/>
      <c r="AU18" s="766"/>
      <c r="AV18" s="766"/>
      <c r="AW18" s="766"/>
      <c r="AX18" s="766"/>
      <c r="AY18" s="766"/>
      <c r="AZ18" s="766"/>
      <c r="BA18" s="766"/>
      <c r="BB18" s="766"/>
      <c r="BC18" s="766"/>
    </row>
    <row r="19" spans="4:55" ht="14.55" customHeight="1" x14ac:dyDescent="0.3">
      <c r="D19" s="261" t="s">
        <v>1478</v>
      </c>
      <c r="E19" s="732"/>
      <c r="F19" s="835"/>
      <c r="G19" s="713"/>
      <c r="H19" s="713"/>
      <c r="I19" s="713"/>
      <c r="J19" s="713"/>
      <c r="K19" s="713"/>
      <c r="L19" s="713"/>
      <c r="M19" s="713"/>
      <c r="N19" s="713"/>
      <c r="O19" s="713"/>
      <c r="P19" s="713"/>
      <c r="Q19" s="713"/>
      <c r="R19" s="713"/>
      <c r="S19" s="714">
        <f>'IRA and CHIPS'!E194</f>
        <v>0</v>
      </c>
      <c r="T19" s="727">
        <f>'IRA and CHIPS'!F194</f>
        <v>35.317</v>
      </c>
      <c r="U19" s="727">
        <f>'IRA and CHIPS'!G194</f>
        <v>35.317</v>
      </c>
      <c r="V19" s="727">
        <f>'IRA and CHIPS'!H194</f>
        <v>35.317</v>
      </c>
      <c r="W19" s="727">
        <f>'IRA and CHIPS'!I194</f>
        <v>35.317</v>
      </c>
      <c r="X19" s="727">
        <f>'IRA and CHIPS'!J194</f>
        <v>36.033000000000001</v>
      </c>
      <c r="Y19" s="727">
        <f>'IRA and CHIPS'!K194</f>
        <v>36.033000000000001</v>
      </c>
      <c r="Z19" s="727">
        <f>'IRA and CHIPS'!L194</f>
        <v>36.033000000000001</v>
      </c>
      <c r="AA19" s="727">
        <f>'IRA and CHIPS'!M194</f>
        <v>36.033000000000001</v>
      </c>
      <c r="AB19" s="727">
        <f>'IRA and CHIPS'!N194</f>
        <v>21.076000000000001</v>
      </c>
      <c r="AC19" s="728">
        <f>'IRA and CHIPS'!O194</f>
        <v>21.076000000000001</v>
      </c>
      <c r="AD19" s="776"/>
      <c r="AE19" s="776"/>
      <c r="AF19" s="776"/>
      <c r="AG19" s="776"/>
      <c r="AH19" s="776"/>
      <c r="AI19" s="776"/>
      <c r="AJ19" s="776"/>
      <c r="AK19" s="776"/>
      <c r="AL19" s="776"/>
      <c r="AM19" s="776"/>
      <c r="AN19" s="776"/>
      <c r="AO19" s="776"/>
      <c r="AP19" s="776"/>
      <c r="AQ19" s="776"/>
      <c r="AR19" s="776"/>
      <c r="AS19" s="776"/>
      <c r="AT19" s="776"/>
      <c r="AU19" s="776"/>
      <c r="AV19" s="776"/>
      <c r="AW19" s="776"/>
      <c r="AX19" s="776"/>
      <c r="AY19" s="776"/>
      <c r="AZ19" s="776"/>
      <c r="BA19" s="776"/>
      <c r="BB19" s="776"/>
      <c r="BC19" s="776"/>
    </row>
    <row r="20" spans="4:55" x14ac:dyDescent="0.3">
      <c r="D20" s="745" t="s">
        <v>535</v>
      </c>
      <c r="E20" s="387"/>
      <c r="F20" s="796"/>
      <c r="G20" s="706"/>
      <c r="H20" s="706"/>
      <c r="I20" s="706"/>
      <c r="J20" s="706"/>
      <c r="K20" s="706"/>
      <c r="L20" s="706"/>
      <c r="M20" s="706"/>
      <c r="N20" s="706"/>
      <c r="O20" s="706"/>
      <c r="P20" s="706"/>
      <c r="Q20" s="706"/>
      <c r="R20" s="706"/>
      <c r="S20" s="715"/>
      <c r="T20" s="746"/>
      <c r="U20" s="746"/>
      <c r="V20" s="746"/>
      <c r="W20" s="746"/>
      <c r="X20" s="746"/>
      <c r="Y20" s="746"/>
      <c r="Z20" s="746"/>
      <c r="AA20" s="746"/>
      <c r="AB20" s="746"/>
      <c r="AC20" s="747"/>
    </row>
    <row r="21" spans="4:55" ht="14.55" customHeight="1" x14ac:dyDescent="0.3">
      <c r="D21" s="773" t="s">
        <v>543</v>
      </c>
      <c r="E21" s="733"/>
      <c r="F21" s="834">
        <f t="shared" ref="F21:P21" si="6">SUM(F23:F25)</f>
        <v>1894.6</v>
      </c>
      <c r="G21" s="691">
        <f t="shared" si="6"/>
        <v>1889.1999999999998</v>
      </c>
      <c r="H21" s="691">
        <f t="shared" si="6"/>
        <v>1883</v>
      </c>
      <c r="I21" s="691">
        <f t="shared" si="6"/>
        <v>1897.5</v>
      </c>
      <c r="J21" s="691">
        <f t="shared" si="6"/>
        <v>1801.6</v>
      </c>
      <c r="K21" s="691">
        <f t="shared" si="6"/>
        <v>1933.3000000000002</v>
      </c>
      <c r="L21" s="691">
        <f t="shared" si="6"/>
        <v>1955.6</v>
      </c>
      <c r="M21" s="691">
        <f t="shared" si="6"/>
        <v>1992.6</v>
      </c>
      <c r="N21" s="691">
        <f t="shared" si="6"/>
        <v>2088.7000000000003</v>
      </c>
      <c r="O21" s="691">
        <f t="shared" si="6"/>
        <v>2060.8000000000002</v>
      </c>
      <c r="P21" s="691">
        <f t="shared" si="6"/>
        <v>2119.9</v>
      </c>
      <c r="Q21" s="691">
        <f>SUM(Q22:Q25)</f>
        <v>2152.4</v>
      </c>
      <c r="R21" s="691">
        <f t="shared" ref="R21:AC21" si="7">SUM(R22:R25)</f>
        <v>2199.5</v>
      </c>
      <c r="S21" s="716">
        <f t="shared" si="7"/>
        <v>2238.5</v>
      </c>
      <c r="T21" s="734">
        <f t="shared" si="7"/>
        <v>2268.4182561651428</v>
      </c>
      <c r="U21" s="734">
        <f t="shared" si="7"/>
        <v>2295.2562539532132</v>
      </c>
      <c r="V21" s="734">
        <f t="shared" si="7"/>
        <v>2321.7782878540979</v>
      </c>
      <c r="W21" s="734">
        <f t="shared" si="7"/>
        <v>2347.5507271003335</v>
      </c>
      <c r="X21" s="734">
        <f t="shared" si="7"/>
        <v>2371.5299731521227</v>
      </c>
      <c r="Y21" s="734">
        <f t="shared" si="7"/>
        <v>2395.115238871128</v>
      </c>
      <c r="Z21" s="734">
        <f t="shared" si="7"/>
        <v>2417.0388945898803</v>
      </c>
      <c r="AA21" s="734">
        <f t="shared" si="7"/>
        <v>2438.7623017299529</v>
      </c>
      <c r="AB21" s="734">
        <f t="shared" si="7"/>
        <v>2461.5282045683075</v>
      </c>
      <c r="AC21" s="748">
        <f t="shared" si="7"/>
        <v>2483.9169649053383</v>
      </c>
    </row>
    <row r="22" spans="4:55" ht="42" customHeight="1" x14ac:dyDescent="0.3">
      <c r="D22" s="764" t="s">
        <v>898</v>
      </c>
      <c r="E22" s="733"/>
      <c r="F22" s="834"/>
      <c r="G22" s="691"/>
      <c r="H22" s="691"/>
      <c r="I22" s="691"/>
      <c r="J22" s="691"/>
      <c r="K22" s="691"/>
      <c r="L22" s="691"/>
      <c r="M22" s="691"/>
      <c r="N22" s="691"/>
      <c r="O22" s="691"/>
      <c r="P22" s="691"/>
      <c r="Q22" s="358"/>
      <c r="R22" s="358">
        <v>20</v>
      </c>
      <c r="S22" s="403">
        <v>20</v>
      </c>
      <c r="T22" s="390">
        <v>20</v>
      </c>
      <c r="U22" s="390">
        <v>20</v>
      </c>
      <c r="V22" s="390">
        <v>20</v>
      </c>
      <c r="W22" s="390">
        <v>20</v>
      </c>
      <c r="X22" s="390">
        <v>20</v>
      </c>
      <c r="Y22" s="390">
        <v>20</v>
      </c>
      <c r="Z22" s="390">
        <v>20</v>
      </c>
      <c r="AA22" s="390">
        <v>20</v>
      </c>
      <c r="AB22" s="390">
        <v>20</v>
      </c>
      <c r="AC22" s="391">
        <v>20</v>
      </c>
    </row>
    <row r="23" spans="4:55" x14ac:dyDescent="0.3">
      <c r="D23" s="513" t="s">
        <v>548</v>
      </c>
      <c r="E23" s="72" t="s">
        <v>549</v>
      </c>
      <c r="F23" s="798">
        <f>'Haver Pivoted'!GQ33</f>
        <v>529</v>
      </c>
      <c r="G23" s="707">
        <f>'Haver Pivoted'!GR33</f>
        <v>495.2</v>
      </c>
      <c r="H23" s="707">
        <f>'Haver Pivoted'!GS33</f>
        <v>489.6</v>
      </c>
      <c r="I23" s="707">
        <f>'Haver Pivoted'!GT33</f>
        <v>497.5</v>
      </c>
      <c r="J23" s="707">
        <f>'Haver Pivoted'!GU33</f>
        <v>488</v>
      </c>
      <c r="K23" s="707">
        <f>'Haver Pivoted'!GV33</f>
        <v>515.4</v>
      </c>
      <c r="L23" s="707">
        <f>'Haver Pivoted'!GW33</f>
        <v>522.9</v>
      </c>
      <c r="M23" s="707">
        <f>'Haver Pivoted'!GX33</f>
        <v>543.6</v>
      </c>
      <c r="N23" s="707">
        <f>'Haver Pivoted'!GY33</f>
        <v>566.6</v>
      </c>
      <c r="O23" s="707">
        <f>'Haver Pivoted'!GZ33</f>
        <v>534.4</v>
      </c>
      <c r="P23" s="707">
        <f>'Haver Pivoted'!HA33</f>
        <v>570.79999999999995</v>
      </c>
      <c r="Q23" s="707">
        <f>'Haver Pivoted'!HB33</f>
        <v>581.29999999999995</v>
      </c>
      <c r="R23" s="707">
        <f>'Haver Pivoted'!HC33</f>
        <v>589.79999999999995</v>
      </c>
      <c r="S23" s="697">
        <f>'Haver Pivoted'!HD33</f>
        <v>605.4</v>
      </c>
      <c r="T23" s="700">
        <f t="shared" ref="T23:AC23" si="8">$S120*T129*(T149/$S149)</f>
        <v>613.24449202365702</v>
      </c>
      <c r="U23" s="735">
        <f t="shared" si="8"/>
        <v>621.02523648233614</v>
      </c>
      <c r="V23" s="735">
        <f t="shared" si="8"/>
        <v>628.85202084905507</v>
      </c>
      <c r="W23" s="735">
        <f t="shared" si="8"/>
        <v>636.54776855443038</v>
      </c>
      <c r="X23" s="735">
        <f t="shared" si="8"/>
        <v>643.57416682753899</v>
      </c>
      <c r="Y23" s="735">
        <f t="shared" si="8"/>
        <v>650.54390059844513</v>
      </c>
      <c r="Z23" s="735">
        <f t="shared" si="8"/>
        <v>656.95761394148917</v>
      </c>
      <c r="AA23" s="735">
        <f t="shared" si="8"/>
        <v>663.53423772836561</v>
      </c>
      <c r="AB23" s="735">
        <f t="shared" si="8"/>
        <v>670.20648286270853</v>
      </c>
      <c r="AC23" s="736">
        <f t="shared" si="8"/>
        <v>676.63436233130335</v>
      </c>
    </row>
    <row r="24" spans="4:55" x14ac:dyDescent="0.3">
      <c r="D24" s="513" t="s">
        <v>545</v>
      </c>
      <c r="E24" s="72" t="s">
        <v>550</v>
      </c>
      <c r="F24" s="798">
        <f>'Haver Pivoted'!GQ36</f>
        <v>20.8</v>
      </c>
      <c r="G24" s="707">
        <f>'Haver Pivoted'!GR36</f>
        <v>20.7</v>
      </c>
      <c r="H24" s="707">
        <f>'Haver Pivoted'!GS36</f>
        <v>20.7</v>
      </c>
      <c r="I24" s="707">
        <f>'Haver Pivoted'!GT36</f>
        <v>20.7</v>
      </c>
      <c r="J24" s="707">
        <f>'Haver Pivoted'!GU36</f>
        <v>19.8</v>
      </c>
      <c r="K24" s="707">
        <f>'Haver Pivoted'!GV36</f>
        <v>20.5</v>
      </c>
      <c r="L24" s="707">
        <f>'Haver Pivoted'!GW36</f>
        <v>21.3</v>
      </c>
      <c r="M24" s="707">
        <f>'Haver Pivoted'!GX36</f>
        <v>22</v>
      </c>
      <c r="N24" s="707">
        <f>'Haver Pivoted'!GY36</f>
        <v>22.7</v>
      </c>
      <c r="O24" s="707">
        <f>'Haver Pivoted'!GZ36</f>
        <v>23.2</v>
      </c>
      <c r="P24" s="707">
        <f>'Haver Pivoted'!HA36</f>
        <v>23.4</v>
      </c>
      <c r="Q24" s="707">
        <f>'Haver Pivoted'!HB36</f>
        <v>23.4</v>
      </c>
      <c r="R24" s="707">
        <f>'Haver Pivoted'!HC36</f>
        <v>23.6</v>
      </c>
      <c r="S24" s="697">
        <f>'Haver Pivoted'!HD36</f>
        <v>24</v>
      </c>
      <c r="T24" s="700">
        <f t="shared" ref="T24:AC24" si="9">$S121*T130*(T150/$S150)</f>
        <v>24.26098017737889</v>
      </c>
      <c r="U24" s="735">
        <f t="shared" si="9"/>
        <v>24.508391929613794</v>
      </c>
      <c r="V24" s="735">
        <f t="shared" si="9"/>
        <v>24.753047595491328</v>
      </c>
      <c r="W24" s="735">
        <f t="shared" si="9"/>
        <v>24.987102929225117</v>
      </c>
      <c r="X24" s="735">
        <f t="shared" si="9"/>
        <v>25.184269107098686</v>
      </c>
      <c r="Y24" s="735">
        <f t="shared" si="9"/>
        <v>25.394155683544753</v>
      </c>
      <c r="Z24" s="735">
        <f t="shared" si="9"/>
        <v>25.603830253347937</v>
      </c>
      <c r="AA24" s="735">
        <f t="shared" si="9"/>
        <v>25.818804989222997</v>
      </c>
      <c r="AB24" s="735">
        <f t="shared" si="9"/>
        <v>26.031871665312181</v>
      </c>
      <c r="AC24" s="736">
        <f t="shared" si="9"/>
        <v>26.241122221829617</v>
      </c>
    </row>
    <row r="25" spans="4:55" x14ac:dyDescent="0.3">
      <c r="D25" s="513" t="s">
        <v>546</v>
      </c>
      <c r="E25" s="72" t="s">
        <v>551</v>
      </c>
      <c r="F25" s="798">
        <f>'Haver Pivoted'!GQ34</f>
        <v>1344.8</v>
      </c>
      <c r="G25" s="707">
        <f>'Haver Pivoted'!GR34</f>
        <v>1373.3</v>
      </c>
      <c r="H25" s="707">
        <f>'Haver Pivoted'!GS34</f>
        <v>1372.7</v>
      </c>
      <c r="I25" s="707">
        <f>'Haver Pivoted'!GT34</f>
        <v>1379.3</v>
      </c>
      <c r="J25" s="707">
        <f>'Haver Pivoted'!GU34</f>
        <v>1293.8</v>
      </c>
      <c r="K25" s="707">
        <f>'Haver Pivoted'!GV34</f>
        <v>1397.4</v>
      </c>
      <c r="L25" s="707">
        <f>'Haver Pivoted'!GW34</f>
        <v>1411.4</v>
      </c>
      <c r="M25" s="707">
        <f>'Haver Pivoted'!GX34</f>
        <v>1427</v>
      </c>
      <c r="N25" s="707">
        <f>'Haver Pivoted'!GY34</f>
        <v>1499.4</v>
      </c>
      <c r="O25" s="707">
        <f>'Haver Pivoted'!GZ34</f>
        <v>1503.2</v>
      </c>
      <c r="P25" s="707">
        <f>'Haver Pivoted'!HA34</f>
        <v>1525.7</v>
      </c>
      <c r="Q25" s="707">
        <f>'Haver Pivoted'!HB34</f>
        <v>1547.7</v>
      </c>
      <c r="R25" s="707">
        <f>'Haver Pivoted'!HC34</f>
        <v>1566.1</v>
      </c>
      <c r="S25" s="697">
        <f>'Haver Pivoted'!HD34</f>
        <v>1589.1</v>
      </c>
      <c r="T25" s="700">
        <f t="shared" ref="T25:AC25" si="10">$S126*T131*(T152/$S152)</f>
        <v>1610.9127839641069</v>
      </c>
      <c r="U25" s="735">
        <f t="shared" si="10"/>
        <v>1629.7226255412634</v>
      </c>
      <c r="V25" s="735">
        <f t="shared" si="10"/>
        <v>1648.1732194095514</v>
      </c>
      <c r="W25" s="735">
        <f t="shared" si="10"/>
        <v>1666.015855616678</v>
      </c>
      <c r="X25" s="735">
        <f t="shared" si="10"/>
        <v>1682.771537217485</v>
      </c>
      <c r="Y25" s="735">
        <f t="shared" si="10"/>
        <v>1699.1771825891383</v>
      </c>
      <c r="Z25" s="735">
        <f t="shared" si="10"/>
        <v>1714.477450395043</v>
      </c>
      <c r="AA25" s="735">
        <f t="shared" si="10"/>
        <v>1729.4092590123644</v>
      </c>
      <c r="AB25" s="735">
        <f t="shared" si="10"/>
        <v>1745.2898500402869</v>
      </c>
      <c r="AC25" s="736">
        <f t="shared" si="10"/>
        <v>1761.0414803522053</v>
      </c>
    </row>
    <row r="26" spans="4:55" ht="14.55" customHeight="1" x14ac:dyDescent="0.3">
      <c r="D26" s="777" t="s">
        <v>547</v>
      </c>
      <c r="E26" s="797" t="s">
        <v>552</v>
      </c>
      <c r="F26" s="835">
        <f>'Haver Pivoted'!GQ35</f>
        <v>74.5</v>
      </c>
      <c r="G26" s="713">
        <f>'Haver Pivoted'!GR35</f>
        <v>73.400000000000006</v>
      </c>
      <c r="H26" s="713">
        <f>'Haver Pivoted'!GS35</f>
        <v>72.099999999999994</v>
      </c>
      <c r="I26" s="713">
        <f>'Haver Pivoted'!GT35</f>
        <v>67.7</v>
      </c>
      <c r="J26" s="713">
        <f>'Haver Pivoted'!GU35</f>
        <v>65</v>
      </c>
      <c r="K26" s="713">
        <f>'Haver Pivoted'!GV35</f>
        <v>80.900000000000006</v>
      </c>
      <c r="L26" s="713">
        <f>'Haver Pivoted'!GW35</f>
        <v>84.8</v>
      </c>
      <c r="M26" s="713">
        <f>'Haver Pivoted'!GX35</f>
        <v>88</v>
      </c>
      <c r="N26" s="713">
        <f>'Haver Pivoted'!GY35</f>
        <v>90.3</v>
      </c>
      <c r="O26" s="713">
        <f>'Haver Pivoted'!GZ35</f>
        <v>94.4</v>
      </c>
      <c r="P26" s="713">
        <f>'Haver Pivoted'!HA35</f>
        <v>110.5</v>
      </c>
      <c r="Q26" s="713">
        <f>'Haver Pivoted'!HB35</f>
        <v>165.9</v>
      </c>
      <c r="R26" s="713">
        <f>'Haver Pivoted'!HC35</f>
        <v>109.8</v>
      </c>
      <c r="S26" s="695">
        <f>'Haver Pivoted'!HD35</f>
        <v>101.6</v>
      </c>
      <c r="T26" s="737">
        <f t="shared" ref="T26:AC26" si="11">$S127*T132*(T153/$S153)</f>
        <v>102.34079475027343</v>
      </c>
      <c r="U26" s="737">
        <f t="shared" si="11"/>
        <v>102.15559606270509</v>
      </c>
      <c r="V26" s="737">
        <f t="shared" si="11"/>
        <v>101.60411552639043</v>
      </c>
      <c r="W26" s="737">
        <f t="shared" si="11"/>
        <v>100.98678656782924</v>
      </c>
      <c r="X26" s="737">
        <f t="shared" si="11"/>
        <v>100.44765261068579</v>
      </c>
      <c r="Y26" s="737">
        <f t="shared" si="11"/>
        <v>99.982598128569705</v>
      </c>
      <c r="Z26" s="737">
        <f t="shared" si="11"/>
        <v>99.863247863247878</v>
      </c>
      <c r="AA26" s="737">
        <f t="shared" si="11"/>
        <v>99.51342812006321</v>
      </c>
      <c r="AB26" s="737">
        <f t="shared" si="11"/>
        <v>100.06079312998747</v>
      </c>
      <c r="AC26" s="737">
        <f t="shared" si="11"/>
        <v>100.42295945234335</v>
      </c>
    </row>
    <row r="27" spans="4:55" ht="14.55" customHeight="1" x14ac:dyDescent="0.3">
      <c r="D27" s="744"/>
      <c r="E27" s="733"/>
    </row>
    <row r="28" spans="4:55" ht="14.55" customHeight="1" x14ac:dyDescent="0.3">
      <c r="D28" s="744"/>
      <c r="E28" s="733"/>
      <c r="F28" s="691"/>
      <c r="G28" s="691"/>
      <c r="H28" s="691"/>
      <c r="I28" s="691"/>
      <c r="J28" s="691"/>
      <c r="K28" s="691"/>
      <c r="L28" s="691"/>
      <c r="M28" s="691"/>
      <c r="N28" s="691"/>
      <c r="O28" s="691"/>
      <c r="P28" s="691"/>
      <c r="Q28" s="691"/>
      <c r="R28" s="710"/>
      <c r="S28" s="711"/>
      <c r="T28" s="723"/>
      <c r="U28" s="723"/>
      <c r="V28" s="723"/>
      <c r="W28" s="723"/>
      <c r="X28" s="723"/>
      <c r="Y28" s="723"/>
      <c r="Z28" s="723"/>
      <c r="AA28" s="707"/>
      <c r="AB28" s="707"/>
      <c r="AC28" s="707"/>
    </row>
    <row r="29" spans="4:55" ht="14.55" customHeight="1" x14ac:dyDescent="0.3">
      <c r="D29" s="744"/>
      <c r="E29" s="733"/>
      <c r="F29" s="691"/>
      <c r="G29" s="691"/>
      <c r="H29" s="691"/>
      <c r="I29" s="691"/>
      <c r="J29" s="691"/>
      <c r="K29" s="691"/>
      <c r="L29" s="691"/>
      <c r="M29" s="691"/>
      <c r="N29" s="691"/>
      <c r="O29" s="691"/>
      <c r="P29" s="691"/>
      <c r="Q29" s="691"/>
      <c r="R29" s="708">
        <v>4460.7</v>
      </c>
      <c r="S29" s="712">
        <v>4521.3</v>
      </c>
      <c r="T29" s="725">
        <v>4551.0190720152614</v>
      </c>
      <c r="U29" s="725">
        <v>4544.8676839222089</v>
      </c>
      <c r="V29" s="725">
        <v>4561.1481332642215</v>
      </c>
      <c r="W29" s="725">
        <v>4577.8657982298319</v>
      </c>
      <c r="X29" s="725">
        <v>4581.3337918960706</v>
      </c>
      <c r="Y29" s="725">
        <v>4588.1656521289278</v>
      </c>
      <c r="Z29" s="725">
        <v>4595.1643406397661</v>
      </c>
      <c r="AA29" s="706"/>
      <c r="AB29" s="706"/>
      <c r="AC29" s="715"/>
    </row>
    <row r="30" spans="4:55" ht="14.55" customHeight="1" x14ac:dyDescent="0.3">
      <c r="D30" s="744"/>
      <c r="E30" s="733"/>
      <c r="F30" s="784"/>
      <c r="G30" s="784"/>
      <c r="H30" s="691"/>
      <c r="I30" s="691"/>
      <c r="J30" s="691"/>
      <c r="K30" s="691"/>
      <c r="L30" s="691"/>
      <c r="Q30" s="37"/>
      <c r="R30" s="707">
        <v>2608.1</v>
      </c>
      <c r="S30" s="1051">
        <v>2648.4</v>
      </c>
      <c r="T30" s="727">
        <v>2651.1483852380043</v>
      </c>
      <c r="U30" s="727">
        <v>2618.0982645324866</v>
      </c>
      <c r="V30" s="727">
        <v>2607.0944430765317</v>
      </c>
      <c r="W30" s="727">
        <v>2596.1367268794525</v>
      </c>
      <c r="X30" s="727">
        <v>2592.6347616091152</v>
      </c>
      <c r="Y30" s="727">
        <v>2583.2429126477768</v>
      </c>
      <c r="Z30" s="727">
        <v>2573.8850565149764</v>
      </c>
      <c r="AD30" s="438"/>
      <c r="AE30" s="438"/>
      <c r="AF30" s="438"/>
      <c r="AG30" s="438"/>
      <c r="AH30" s="438"/>
      <c r="AI30" s="438"/>
      <c r="AJ30" s="438"/>
      <c r="AK30" s="438"/>
      <c r="AL30" s="257"/>
      <c r="AM30" s="257"/>
      <c r="AN30" s="257"/>
    </row>
    <row r="31" spans="4:55" ht="14.55" customHeight="1" x14ac:dyDescent="0.3">
      <c r="D31" s="179"/>
      <c r="E31" s="136"/>
      <c r="F31" s="136"/>
      <c r="G31" s="136"/>
      <c r="H31" s="136"/>
      <c r="I31" s="136"/>
      <c r="J31" s="136"/>
      <c r="K31" s="136"/>
      <c r="L31" s="136"/>
      <c r="Q31" s="37"/>
      <c r="R31" s="707"/>
      <c r="S31" s="696"/>
      <c r="T31" s="727">
        <v>2637.3033852380045</v>
      </c>
      <c r="U31" s="727">
        <v>2626.2532645324868</v>
      </c>
      <c r="V31" s="727">
        <v>2615.2494430765319</v>
      </c>
      <c r="W31" s="727">
        <v>2604.2917268794527</v>
      </c>
      <c r="X31" s="727">
        <v>2594.8657616091155</v>
      </c>
      <c r="Y31" s="727">
        <v>2585.4739126477771</v>
      </c>
      <c r="Z31" s="727">
        <v>2576.1160565149767</v>
      </c>
      <c r="AD31" s="257"/>
      <c r="AE31" s="257"/>
      <c r="AF31" s="257"/>
      <c r="AG31" s="257"/>
      <c r="AH31" s="257"/>
      <c r="AI31" s="257"/>
      <c r="AJ31" s="257"/>
      <c r="AK31" s="257"/>
      <c r="AL31" s="257"/>
      <c r="AM31" s="257"/>
      <c r="AN31" s="257"/>
    </row>
    <row r="32" spans="4:55" ht="14.55" customHeight="1" x14ac:dyDescent="0.3">
      <c r="D32" s="1253" t="s">
        <v>1012</v>
      </c>
      <c r="E32" s="1254"/>
      <c r="F32" s="1255"/>
      <c r="G32" s="144">
        <v>2020</v>
      </c>
      <c r="H32" s="144">
        <v>2021</v>
      </c>
      <c r="I32" s="762">
        <v>2022</v>
      </c>
      <c r="J32" s="802">
        <v>2023</v>
      </c>
      <c r="K32" s="802">
        <v>2024</v>
      </c>
      <c r="L32" s="803">
        <v>2025</v>
      </c>
      <c r="R32" s="707"/>
      <c r="S32" s="696">
        <v>0</v>
      </c>
      <c r="T32" s="751">
        <v>13.845000000000001</v>
      </c>
      <c r="U32" s="751">
        <v>-8.1549999999999994</v>
      </c>
      <c r="V32" s="751">
        <v>-8.1549999999999994</v>
      </c>
      <c r="W32" s="751">
        <v>-8.1549999999999994</v>
      </c>
      <c r="X32" s="751">
        <v>-2.2309999999999999</v>
      </c>
      <c r="Y32" s="751">
        <v>-2.2309999999999999</v>
      </c>
      <c r="Z32" s="751">
        <v>-2.2309999999999999</v>
      </c>
      <c r="AD32" s="257"/>
      <c r="AE32" s="257"/>
      <c r="AF32" s="257"/>
      <c r="AG32" s="257"/>
      <c r="AH32" s="257"/>
      <c r="AI32" s="257"/>
      <c r="AJ32" s="257"/>
      <c r="AK32" s="257"/>
      <c r="AL32" s="257"/>
      <c r="AM32" s="257"/>
      <c r="AN32" s="257"/>
    </row>
    <row r="33" spans="4:40" ht="14.55" customHeight="1" x14ac:dyDescent="0.3">
      <c r="D33" s="763" t="s">
        <v>553</v>
      </c>
      <c r="E33" s="282"/>
      <c r="F33" s="638"/>
      <c r="G33" s="757">
        <f>AVERAGE(H10:K10)</f>
        <v>1702.5749999999998</v>
      </c>
      <c r="H33" s="157">
        <v>1877.8879999999999</v>
      </c>
      <c r="I33" s="157">
        <f>H33*I46/H46</f>
        <v>2408.9346874084385</v>
      </c>
      <c r="J33" s="157">
        <f t="shared" ref="J33:L33" si="12">I33*J46/I46</f>
        <v>2368.8146341227671</v>
      </c>
      <c r="K33" s="157">
        <f t="shared" si="12"/>
        <v>2334.7056536832492</v>
      </c>
      <c r="L33" s="150">
        <f t="shared" si="12"/>
        <v>2332.341273868763</v>
      </c>
      <c r="M33" t="s">
        <v>993</v>
      </c>
      <c r="R33" s="707">
        <v>1643.2</v>
      </c>
      <c r="S33" s="1051">
        <v>1670.9</v>
      </c>
      <c r="T33" s="753">
        <v>1695.4654081185688</v>
      </c>
      <c r="U33" s="753">
        <v>1720.3919744608684</v>
      </c>
      <c r="V33" s="753">
        <v>1745.6850087397249</v>
      </c>
      <c r="W33" s="753">
        <v>1771.3498987308426</v>
      </c>
      <c r="X33" s="753">
        <v>1786.180993608149</v>
      </c>
      <c r="Y33" s="753">
        <v>1801.136265744515</v>
      </c>
      <c r="Z33" s="753">
        <v>1816.2167548468396</v>
      </c>
      <c r="AD33" s="257"/>
      <c r="AE33" s="257"/>
    </row>
    <row r="34" spans="4:40" ht="14.55" customHeight="1" x14ac:dyDescent="0.3">
      <c r="D34" s="819" t="s">
        <v>560</v>
      </c>
      <c r="E34" s="138"/>
      <c r="F34" s="153"/>
      <c r="G34" s="757">
        <f>AVERAGE(H13:K13)</f>
        <v>1425.3999999999999</v>
      </c>
      <c r="H34" s="157">
        <v>1529.57</v>
      </c>
      <c r="I34" s="157">
        <f t="shared" ref="I34:L34" si="13">H34*I47/H47</f>
        <v>1704.7545636289196</v>
      </c>
      <c r="J34" s="157">
        <f t="shared" si="13"/>
        <v>1829.4015146626407</v>
      </c>
      <c r="K34" s="157">
        <f t="shared" si="13"/>
        <v>1891.4438894046671</v>
      </c>
      <c r="L34" s="150">
        <f t="shared" si="13"/>
        <v>1942.728776109363</v>
      </c>
      <c r="R34" s="707">
        <v>209.4</v>
      </c>
      <c r="S34" s="1051">
        <v>202</v>
      </c>
      <c r="T34" s="727">
        <v>204.40527865868822</v>
      </c>
      <c r="U34" s="727">
        <v>206.37744492885409</v>
      </c>
      <c r="V34" s="727">
        <v>208.368681447965</v>
      </c>
      <c r="W34" s="727">
        <v>210.3791726195372</v>
      </c>
      <c r="X34" s="727">
        <v>202.51803667880668</v>
      </c>
      <c r="Y34" s="727">
        <v>203.78647373663617</v>
      </c>
      <c r="Z34" s="727">
        <v>205.06252927795072</v>
      </c>
      <c r="AD34" s="257"/>
      <c r="AE34" s="257"/>
    </row>
    <row r="35" spans="4:40" ht="14.55" customHeight="1" x14ac:dyDescent="0.3">
      <c r="D35" s="819" t="s">
        <v>105</v>
      </c>
      <c r="E35" s="138"/>
      <c r="F35" s="153"/>
      <c r="G35" s="757">
        <f>AVERAGE(H14:K14)</f>
        <v>161.30000000000001</v>
      </c>
      <c r="H35" s="157">
        <v>168.43899999999999</v>
      </c>
      <c r="I35" s="157">
        <f t="shared" ref="I35:L35" si="14">H35*I48/H48</f>
        <v>197.82868117790269</v>
      </c>
      <c r="J35" s="157">
        <f t="shared" si="14"/>
        <v>205.59215694420288</v>
      </c>
      <c r="K35" s="157">
        <f t="shared" si="14"/>
        <v>210.57614348282542</v>
      </c>
      <c r="L35" s="150">
        <f t="shared" si="14"/>
        <v>209.98379331954985</v>
      </c>
      <c r="R35" s="707"/>
      <c r="S35" s="696"/>
      <c r="T35" s="727">
        <v>203.95327865868822</v>
      </c>
      <c r="U35" s="727">
        <v>205.92544492885409</v>
      </c>
      <c r="V35" s="727">
        <v>207.916681447965</v>
      </c>
      <c r="W35" s="727">
        <v>209.9271726195372</v>
      </c>
      <c r="X35" s="727">
        <v>211.18803667880667</v>
      </c>
      <c r="Y35" s="727">
        <v>212.45647373663616</v>
      </c>
      <c r="Z35" s="727">
        <v>213.7325292779507</v>
      </c>
      <c r="AD35" s="257"/>
      <c r="AE35" s="257"/>
    </row>
    <row r="36" spans="4:40" ht="14.55" customHeight="1" x14ac:dyDescent="0.3">
      <c r="D36" s="819" t="s">
        <v>303</v>
      </c>
      <c r="E36" s="138"/>
      <c r="F36" s="153"/>
      <c r="G36" s="757">
        <f>AVERAGE(H17:K17)</f>
        <v>201.37499999999997</v>
      </c>
      <c r="H36" s="157">
        <v>259.06299999999999</v>
      </c>
      <c r="I36" s="157">
        <f>H36*I51/H51</f>
        <v>275.06601762628719</v>
      </c>
      <c r="J36" s="157">
        <f>I36*J51/I51</f>
        <v>317.70543069297611</v>
      </c>
      <c r="K36" s="157">
        <f>J36*K51/J51</f>
        <v>333.04795545019113</v>
      </c>
      <c r="L36" s="150">
        <f>K36*L51/K51</f>
        <v>336.62701860253719</v>
      </c>
      <c r="R36" s="707"/>
      <c r="S36" s="696">
        <v>0</v>
      </c>
      <c r="T36" s="751">
        <v>0.45200000000000001</v>
      </c>
      <c r="U36" s="751">
        <v>0.45200000000000001</v>
      </c>
      <c r="V36" s="751">
        <v>0.45200000000000001</v>
      </c>
      <c r="W36" s="751">
        <v>0.45200000000000001</v>
      </c>
      <c r="X36" s="751">
        <v>-8.67</v>
      </c>
      <c r="Y36" s="751">
        <v>-8.67</v>
      </c>
      <c r="Z36" s="751">
        <v>-8.67</v>
      </c>
      <c r="AD36" s="257"/>
      <c r="AE36" s="257"/>
    </row>
    <row r="37" spans="4:40" ht="14.55" customHeight="1" x14ac:dyDescent="0.3">
      <c r="D37" s="819" t="s">
        <v>1008</v>
      </c>
      <c r="E37" s="37"/>
      <c r="F37" s="596"/>
      <c r="G37" s="154"/>
      <c r="H37" s="754">
        <f>H33/G33-1+0.021</f>
        <v>0.12396932587404384</v>
      </c>
      <c r="I37" s="754">
        <f>I33/H33-1.05</f>
        <v>0.23278932897405946</v>
      </c>
      <c r="J37" s="758">
        <f>J33/I33-1</f>
        <v>-1.6654687026335768E-2</v>
      </c>
      <c r="K37" s="758">
        <f>K33/J33-1</f>
        <v>-1.4399176680259473E-2</v>
      </c>
      <c r="L37" s="759">
        <f t="shared" ref="L37:L40" si="15">L33/K33-1</f>
        <v>-1.0127100222488972E-3</v>
      </c>
      <c r="M37" t="s">
        <v>992</v>
      </c>
      <c r="R37" s="691">
        <v>353.2</v>
      </c>
      <c r="S37" s="696">
        <v>349.50195413008231</v>
      </c>
      <c r="T37" s="727">
        <v>362.32352507020306</v>
      </c>
      <c r="U37" s="727">
        <v>410.93245870623986</v>
      </c>
      <c r="V37" s="727">
        <v>424.7120104171741</v>
      </c>
      <c r="W37" s="727">
        <v>438.99706860009519</v>
      </c>
      <c r="X37" s="727">
        <v>444.50081322306482</v>
      </c>
      <c r="Y37" s="727">
        <v>449.34534167153834</v>
      </c>
      <c r="Z37" s="727">
        <v>454.24732741561337</v>
      </c>
      <c r="AD37" s="257"/>
      <c r="AE37" s="257"/>
    </row>
    <row r="38" spans="4:40" ht="14.55" customHeight="1" x14ac:dyDescent="0.3">
      <c r="D38" s="819" t="s">
        <v>1009</v>
      </c>
      <c r="E38" s="37"/>
      <c r="F38" s="596"/>
      <c r="G38" s="154"/>
      <c r="H38" s="754">
        <f>H34/G34-1.03</f>
        <v>4.308124035358496E-2</v>
      </c>
      <c r="I38" s="754">
        <f>I34/H34-1.013</f>
        <v>0.10153190349504748</v>
      </c>
      <c r="J38" s="767">
        <f>J34/I34-1-0.013</f>
        <v>6.0117241445234573E-2</v>
      </c>
      <c r="K38" s="758">
        <f t="shared" ref="K38" si="16">K34/J34-1</f>
        <v>3.3914028300926269E-2</v>
      </c>
      <c r="L38" s="759">
        <f t="shared" ref="L38:L39" si="17">L34/K34-1</f>
        <v>2.7114146495161418E-2</v>
      </c>
      <c r="M38" t="s">
        <v>994</v>
      </c>
      <c r="R38" s="706"/>
      <c r="S38" s="728">
        <v>349.50195413008231</v>
      </c>
      <c r="T38" s="727">
        <v>362.32352507020306</v>
      </c>
      <c r="U38" s="727">
        <v>375.61545870623985</v>
      </c>
      <c r="V38" s="727">
        <v>389.39501041717409</v>
      </c>
      <c r="W38" s="727">
        <v>403.68006860009518</v>
      </c>
      <c r="X38" s="727">
        <v>408.46781322306481</v>
      </c>
      <c r="Y38" s="727">
        <v>413.31234167153832</v>
      </c>
      <c r="Z38" s="727">
        <v>418.21432741561335</v>
      </c>
      <c r="AD38" s="257"/>
      <c r="AE38" s="257"/>
    </row>
    <row r="39" spans="4:40" ht="14.55" customHeight="1" x14ac:dyDescent="0.3">
      <c r="D39" s="819" t="s">
        <v>1010</v>
      </c>
      <c r="E39" s="37"/>
      <c r="F39" s="596"/>
      <c r="G39" s="154"/>
      <c r="H39" s="754">
        <f t="shared" ref="H39:H40" si="18">H35/G35-1</f>
        <v>4.4259144451332721E-2</v>
      </c>
      <c r="I39" s="754">
        <f>I35/H35-1.01</f>
        <v>0.16448263868761215</v>
      </c>
      <c r="J39" s="758">
        <f t="shared" ref="J39:K39" si="19">J35/I35-1</f>
        <v>3.9243428809590419E-2</v>
      </c>
      <c r="K39" s="758">
        <f t="shared" si="19"/>
        <v>2.4242104429962108E-2</v>
      </c>
      <c r="L39" s="759">
        <f t="shared" si="17"/>
        <v>-2.8129974909711919E-3</v>
      </c>
      <c r="R39" s="713"/>
      <c r="S39" s="714">
        <v>0</v>
      </c>
      <c r="T39" s="727">
        <v>35.317</v>
      </c>
      <c r="U39" s="727">
        <v>35.317</v>
      </c>
      <c r="V39" s="727">
        <v>35.317</v>
      </c>
      <c r="W39" s="727">
        <v>35.317</v>
      </c>
      <c r="X39" s="727">
        <v>36.033000000000001</v>
      </c>
      <c r="Y39" s="727">
        <v>36.033000000000001</v>
      </c>
      <c r="Z39" s="727">
        <v>36.033000000000001</v>
      </c>
      <c r="AD39" s="257"/>
      <c r="AE39" s="257"/>
    </row>
    <row r="40" spans="4:40" ht="14.55" customHeight="1" x14ac:dyDescent="0.3">
      <c r="D40" s="820" t="s">
        <v>1011</v>
      </c>
      <c r="E40" s="38"/>
      <c r="F40" s="590"/>
      <c r="G40" s="264"/>
      <c r="H40" s="755">
        <f t="shared" si="18"/>
        <v>0.28647051520794542</v>
      </c>
      <c r="I40" s="755">
        <f>I36/H36-1.103</f>
        <v>-4.1227312945935068E-2</v>
      </c>
      <c r="J40" s="760">
        <f>J36/I36-1</f>
        <v>0.15501519756838911</v>
      </c>
      <c r="K40" s="760">
        <f>K36/J36-1</f>
        <v>4.8291666666666844E-2</v>
      </c>
      <c r="L40" s="761">
        <f t="shared" si="15"/>
        <v>1.0746389802958278E-2</v>
      </c>
      <c r="R40" s="706"/>
      <c r="S40" s="715"/>
      <c r="T40" s="746"/>
      <c r="U40" s="746"/>
      <c r="V40" s="746"/>
      <c r="W40" s="746"/>
      <c r="X40" s="746"/>
      <c r="Y40" s="746"/>
      <c r="Z40" s="746"/>
      <c r="AD40" s="257"/>
      <c r="AE40" s="257"/>
    </row>
    <row r="41" spans="4:40" ht="14.55" customHeight="1" x14ac:dyDescent="0.3">
      <c r="D41" s="744"/>
      <c r="E41" s="733"/>
      <c r="F41" s="784"/>
      <c r="G41" s="784"/>
      <c r="H41" s="691"/>
      <c r="I41" s="691"/>
      <c r="J41" s="691"/>
      <c r="K41" s="691"/>
      <c r="L41" s="691"/>
      <c r="R41" s="691">
        <v>2199.5</v>
      </c>
      <c r="S41" s="716">
        <v>2207.1</v>
      </c>
      <c r="T41" s="734">
        <v>2236.6129051275057</v>
      </c>
      <c r="U41" s="734">
        <v>2263.0458707440143</v>
      </c>
      <c r="V41" s="734">
        <v>2289.159990029701</v>
      </c>
      <c r="W41" s="734">
        <v>2314.5310511748094</v>
      </c>
      <c r="X41" s="734">
        <v>2338.1443958655282</v>
      </c>
      <c r="Y41" s="734">
        <v>2361.3664215061503</v>
      </c>
      <c r="Z41" s="734">
        <v>2382.9559638586984</v>
      </c>
      <c r="AD41" s="257"/>
      <c r="AE41" s="257"/>
    </row>
    <row r="42" spans="4:40" ht="14.55" customHeight="1" x14ac:dyDescent="0.3">
      <c r="D42" s="744"/>
      <c r="E42" s="733"/>
      <c r="F42" s="784"/>
      <c r="G42" s="784"/>
      <c r="H42" s="691"/>
      <c r="I42" s="691"/>
      <c r="J42" s="855"/>
      <c r="K42" s="691"/>
      <c r="L42" s="691"/>
      <c r="R42" s="358">
        <v>20</v>
      </c>
      <c r="S42" s="403">
        <v>20</v>
      </c>
      <c r="T42" s="390">
        <v>20</v>
      </c>
      <c r="U42" s="390">
        <v>20</v>
      </c>
      <c r="V42" s="390">
        <v>20</v>
      </c>
      <c r="W42" s="390">
        <v>20</v>
      </c>
      <c r="X42" s="390">
        <v>20</v>
      </c>
      <c r="Y42" s="390">
        <v>20</v>
      </c>
      <c r="Z42" s="390">
        <v>20</v>
      </c>
      <c r="AD42" s="257"/>
      <c r="AE42" s="257"/>
    </row>
    <row r="43" spans="4:40" ht="14.55" customHeight="1" x14ac:dyDescent="0.3">
      <c r="D43" s="744"/>
      <c r="E43" s="733"/>
      <c r="F43" s="784"/>
      <c r="G43" s="784"/>
      <c r="H43" s="691"/>
      <c r="I43" s="691"/>
      <c r="J43" s="691"/>
      <c r="K43" s="691"/>
      <c r="L43" s="691"/>
      <c r="R43" s="707">
        <v>589.79999999999995</v>
      </c>
      <c r="S43" s="1051">
        <v>572.4</v>
      </c>
      <c r="T43" s="735">
        <v>579.81689335041506</v>
      </c>
      <c r="U43" s="735">
        <v>587.17351397834364</v>
      </c>
      <c r="V43" s="735">
        <v>594.57366490584582</v>
      </c>
      <c r="W43" s="735">
        <v>601.84992190379251</v>
      </c>
      <c r="X43" s="735">
        <v>608.49331531563155</v>
      </c>
      <c r="Y43" s="735">
        <v>615.08313297414929</v>
      </c>
      <c r="Z43" s="735">
        <v>621.14723855320187</v>
      </c>
      <c r="AD43" s="257"/>
      <c r="AE43" s="257"/>
    </row>
    <row r="44" spans="4:40" ht="41.7" customHeight="1" x14ac:dyDescent="0.3">
      <c r="F44" s="154"/>
      <c r="G44" s="154"/>
      <c r="H44" s="195"/>
      <c r="I44" s="195"/>
      <c r="J44" s="195"/>
      <c r="K44" s="195"/>
      <c r="L44" s="195"/>
      <c r="M44" s="176"/>
      <c r="N44" s="176"/>
      <c r="R44" s="707">
        <v>23.6</v>
      </c>
      <c r="S44" s="1051">
        <v>23.9</v>
      </c>
      <c r="T44" s="735">
        <v>24.159892759973147</v>
      </c>
      <c r="U44" s="735">
        <v>24.406273629907069</v>
      </c>
      <c r="V44" s="735">
        <v>24.64990989717678</v>
      </c>
      <c r="W44" s="735">
        <v>24.882990000353345</v>
      </c>
      <c r="X44" s="735">
        <v>25.079334652485777</v>
      </c>
      <c r="Y44" s="735">
        <v>25.288346701529981</v>
      </c>
      <c r="Z44" s="735">
        <v>25.497147627292318</v>
      </c>
      <c r="AD44" s="195"/>
      <c r="AE44" s="195"/>
      <c r="AF44" s="195"/>
      <c r="AG44" s="195"/>
      <c r="AH44" s="195"/>
      <c r="AI44" s="195"/>
      <c r="AJ44" s="195"/>
      <c r="AK44" s="195"/>
      <c r="AM44" s="195"/>
      <c r="AN44" s="195"/>
    </row>
    <row r="45" spans="4:40" ht="30.75" customHeight="1" x14ac:dyDescent="0.3">
      <c r="D45" s="847" t="s">
        <v>1002</v>
      </c>
      <c r="E45" s="692">
        <v>2018</v>
      </c>
      <c r="F45" s="814">
        <v>2019</v>
      </c>
      <c r="G45" s="814">
        <v>2020</v>
      </c>
      <c r="H45" s="837">
        <v>2021</v>
      </c>
      <c r="I45" s="838">
        <v>2022</v>
      </c>
      <c r="J45" s="838">
        <v>2023</v>
      </c>
      <c r="K45" s="838">
        <v>2024</v>
      </c>
      <c r="L45" s="799">
        <v>2025</v>
      </c>
      <c r="N45" s="801"/>
      <c r="O45" s="272"/>
      <c r="R45" s="707">
        <v>1566.1</v>
      </c>
      <c r="S45" s="1051">
        <v>1590.8</v>
      </c>
      <c r="T45" s="735">
        <v>1612.6361190171174</v>
      </c>
      <c r="U45" s="735">
        <v>1631.4660831357635</v>
      </c>
      <c r="V45" s="735">
        <v>1649.9364152266783</v>
      </c>
      <c r="W45" s="735">
        <v>1667.7981392706636</v>
      </c>
      <c r="X45" s="735">
        <v>1684.5717458974107</v>
      </c>
      <c r="Y45" s="735">
        <v>1700.9949418304709</v>
      </c>
      <c r="Z45" s="735">
        <v>1716.3115776782042</v>
      </c>
    </row>
    <row r="46" spans="4:40" ht="16.5" customHeight="1" x14ac:dyDescent="0.3">
      <c r="D46" s="811" t="s">
        <v>553</v>
      </c>
      <c r="E46" s="807">
        <v>1683.5</v>
      </c>
      <c r="F46" s="808">
        <v>1717.9</v>
      </c>
      <c r="G46" s="810">
        <v>1609</v>
      </c>
      <c r="H46" s="424">
        <v>2044.377</v>
      </c>
      <c r="I46" s="424">
        <v>2622.5050000000006</v>
      </c>
      <c r="J46" s="424">
        <v>2578.828</v>
      </c>
      <c r="K46" s="424">
        <v>2541.6950000000002</v>
      </c>
      <c r="L46" s="705">
        <v>2539.1210000000001</v>
      </c>
      <c r="M46" s="818" t="s">
        <v>554</v>
      </c>
      <c r="N46" s="791"/>
      <c r="O46" s="771"/>
      <c r="P46" s="788"/>
      <c r="Q46" s="788"/>
      <c r="R46" s="713">
        <v>109.8</v>
      </c>
      <c r="S46" s="1052">
        <v>112.00035534253368</v>
      </c>
      <c r="T46" s="737">
        <v>112.81698206759772</v>
      </c>
      <c r="U46" s="737">
        <v>112.61282538633171</v>
      </c>
      <c r="V46" s="737">
        <v>112.00489215767293</v>
      </c>
      <c r="W46" s="737">
        <v>111.32436988678622</v>
      </c>
      <c r="X46" s="737">
        <v>110.73004710354516</v>
      </c>
      <c r="Y46" s="737">
        <v>110.21738699281053</v>
      </c>
      <c r="Z46" s="737">
        <v>110.08581935377244</v>
      </c>
    </row>
    <row r="47" spans="4:40" ht="16.5" customHeight="1" x14ac:dyDescent="0.3">
      <c r="D47" s="811" t="s">
        <v>555</v>
      </c>
      <c r="E47" s="809">
        <v>1170.7</v>
      </c>
      <c r="F47" s="786">
        <v>1243.4000000000001</v>
      </c>
      <c r="G47" s="839">
        <v>1310</v>
      </c>
      <c r="H47" s="424">
        <v>1314.088</v>
      </c>
      <c r="I47" s="424">
        <v>1464.5929999999998</v>
      </c>
      <c r="J47" s="424">
        <v>1571.68</v>
      </c>
      <c r="K47" s="424">
        <v>1624.982</v>
      </c>
      <c r="L47" s="705">
        <v>1669.0420000000001</v>
      </c>
      <c r="M47" s="785"/>
      <c r="N47" s="785"/>
      <c r="O47" s="771"/>
      <c r="P47" s="788"/>
      <c r="Q47" s="788"/>
      <c r="R47" s="788"/>
      <c r="S47" s="788"/>
      <c r="T47" s="788"/>
      <c r="U47" s="788"/>
      <c r="V47" s="788"/>
      <c r="W47" s="788"/>
      <c r="X47" s="785"/>
      <c r="Y47" s="785"/>
      <c r="Z47" s="789"/>
    </row>
    <row r="48" spans="4:40" x14ac:dyDescent="0.3">
      <c r="D48" s="177" t="s">
        <v>556</v>
      </c>
      <c r="E48" s="460">
        <f t="shared" ref="E48:L48" si="20">E49+E50</f>
        <v>136.30000000000001</v>
      </c>
      <c r="F48" s="424">
        <f t="shared" si="20"/>
        <v>170.6</v>
      </c>
      <c r="G48" s="705">
        <f t="shared" si="20"/>
        <v>156</v>
      </c>
      <c r="H48" s="424">
        <f t="shared" si="20"/>
        <v>155.25900000000001</v>
      </c>
      <c r="I48" s="424">
        <f t="shared" si="20"/>
        <v>182.34899999999999</v>
      </c>
      <c r="J48" s="424">
        <f t="shared" si="20"/>
        <v>189.505</v>
      </c>
      <c r="K48" s="424">
        <f t="shared" si="20"/>
        <v>194.09899999999999</v>
      </c>
      <c r="L48" s="705">
        <f t="shared" si="20"/>
        <v>193.553</v>
      </c>
      <c r="N48" s="136"/>
      <c r="P48" s="792"/>
      <c r="Q48" s="792"/>
      <c r="R48" s="792"/>
      <c r="S48" s="792"/>
      <c r="T48" s="792"/>
      <c r="U48" s="792"/>
      <c r="V48" s="792"/>
      <c r="W48" s="792"/>
    </row>
    <row r="49" spans="4:26" ht="16.5" customHeight="1" x14ac:dyDescent="0.3">
      <c r="D49" s="513" t="s">
        <v>1535</v>
      </c>
      <c r="E49" s="809">
        <v>95</v>
      </c>
      <c r="F49" s="786">
        <v>99.8</v>
      </c>
      <c r="G49" s="839">
        <v>87</v>
      </c>
      <c r="H49" s="424">
        <v>75.274000000000001</v>
      </c>
      <c r="I49" s="424">
        <v>87.554999999999993</v>
      </c>
      <c r="J49" s="424">
        <v>90.245999999999995</v>
      </c>
      <c r="K49" s="424">
        <f>93.706</f>
        <v>93.706000000000003</v>
      </c>
      <c r="L49" s="705">
        <f>92.66</f>
        <v>92.66</v>
      </c>
      <c r="M49" s="785"/>
      <c r="N49" s="785"/>
      <c r="O49" s="790"/>
      <c r="P49" s="788"/>
      <c r="Q49" s="788"/>
      <c r="R49" s="788"/>
      <c r="S49" s="788"/>
      <c r="T49" s="788"/>
      <c r="U49" s="788"/>
      <c r="V49" s="788"/>
      <c r="W49" s="788"/>
      <c r="X49" s="785"/>
      <c r="Y49" s="785"/>
      <c r="Z49" s="789"/>
    </row>
    <row r="50" spans="4:26" ht="16.5" customHeight="1" x14ac:dyDescent="0.3">
      <c r="D50" s="513" t="s">
        <v>557</v>
      </c>
      <c r="E50" s="809">
        <v>41.3</v>
      </c>
      <c r="F50" s="786">
        <v>70.8</v>
      </c>
      <c r="G50" s="839">
        <v>69</v>
      </c>
      <c r="H50" s="424">
        <v>79.984999999999999</v>
      </c>
      <c r="I50" s="424">
        <v>94.793999999999997</v>
      </c>
      <c r="J50" s="424">
        <v>99.259</v>
      </c>
      <c r="K50" s="424">
        <v>100.393</v>
      </c>
      <c r="L50" s="705">
        <v>100.893</v>
      </c>
      <c r="M50" s="785"/>
      <c r="N50" s="785"/>
      <c r="O50" s="790"/>
      <c r="P50" s="788"/>
      <c r="Q50" s="788"/>
      <c r="R50" s="788"/>
      <c r="S50" s="788"/>
      <c r="T50" s="788"/>
      <c r="U50" s="788"/>
      <c r="V50" s="788"/>
      <c r="W50" s="788"/>
      <c r="X50" s="785"/>
      <c r="Y50" s="785"/>
      <c r="Z50" s="789"/>
    </row>
    <row r="51" spans="4:26" ht="16.5" customHeight="1" x14ac:dyDescent="0.3">
      <c r="D51" s="811" t="s">
        <v>106</v>
      </c>
      <c r="E51" s="786">
        <v>204.7</v>
      </c>
      <c r="F51" s="786">
        <v>230.2</v>
      </c>
      <c r="G51" s="786">
        <v>212</v>
      </c>
      <c r="H51" s="424">
        <v>371.83100000000002</v>
      </c>
      <c r="I51" s="424">
        <v>394.8</v>
      </c>
      <c r="J51" s="424">
        <v>456</v>
      </c>
      <c r="K51" s="424">
        <f>478.021</f>
        <v>478.02100000000002</v>
      </c>
      <c r="L51" s="705">
        <f>483.158</f>
        <v>483.15800000000002</v>
      </c>
      <c r="M51" s="757"/>
      <c r="N51" s="757"/>
      <c r="O51" s="770"/>
      <c r="P51" s="786"/>
      <c r="Q51" s="786"/>
      <c r="R51" s="786"/>
      <c r="S51" s="786"/>
      <c r="T51" s="786"/>
      <c r="U51" s="786"/>
      <c r="V51" s="786"/>
      <c r="W51" s="786"/>
      <c r="X51" s="757"/>
      <c r="Y51" s="757"/>
      <c r="Z51" s="772"/>
    </row>
    <row r="52" spans="4:26" ht="16.5" customHeight="1" x14ac:dyDescent="0.3">
      <c r="D52" s="771"/>
      <c r="E52" s="775"/>
      <c r="F52" s="775"/>
      <c r="G52" s="757"/>
      <c r="H52" s="757"/>
      <c r="I52" s="757"/>
      <c r="J52" s="757"/>
      <c r="K52" s="757"/>
      <c r="L52" s="757"/>
      <c r="M52" s="757"/>
      <c r="N52" s="757"/>
      <c r="O52" s="757"/>
      <c r="P52" s="757"/>
      <c r="Q52" s="757"/>
      <c r="R52" s="757"/>
      <c r="S52" s="757"/>
      <c r="T52" s="757"/>
      <c r="U52" s="757"/>
      <c r="V52" s="757"/>
      <c r="W52" s="757"/>
      <c r="X52" s="757"/>
      <c r="Y52" s="757"/>
      <c r="Z52" s="772"/>
    </row>
    <row r="53" spans="4:26" x14ac:dyDescent="0.3">
      <c r="D53" s="778" t="s">
        <v>558</v>
      </c>
      <c r="E53" s="692">
        <v>2018</v>
      </c>
      <c r="F53" s="693">
        <v>2019</v>
      </c>
      <c r="G53" s="694">
        <v>2020</v>
      </c>
      <c r="H53" s="802">
        <v>2021</v>
      </c>
      <c r="I53" s="802">
        <v>2022</v>
      </c>
      <c r="J53" s="802">
        <v>2023</v>
      </c>
      <c r="K53" s="802">
        <v>2024</v>
      </c>
      <c r="L53" s="803">
        <v>2025</v>
      </c>
      <c r="O53" s="179" t="s">
        <v>559</v>
      </c>
    </row>
    <row r="54" spans="4:26" ht="14.7" customHeight="1" x14ac:dyDescent="0.3">
      <c r="D54" s="780" t="s">
        <v>553</v>
      </c>
      <c r="E54" s="138">
        <v>1622</v>
      </c>
      <c r="F54" s="138">
        <v>1687</v>
      </c>
      <c r="G54" s="774">
        <f t="shared" ref="G54:L57" si="21">G33</f>
        <v>1702.5749999999998</v>
      </c>
      <c r="H54" s="774">
        <f t="shared" si="21"/>
        <v>1877.8879999999999</v>
      </c>
      <c r="I54" s="774">
        <f t="shared" si="21"/>
        <v>2408.9346874084385</v>
      </c>
      <c r="J54" s="774">
        <f t="shared" si="21"/>
        <v>2368.8146341227671</v>
      </c>
      <c r="K54" s="774">
        <f t="shared" si="21"/>
        <v>2334.7056536832492</v>
      </c>
      <c r="L54" s="774">
        <f t="shared" si="21"/>
        <v>2332.341273868763</v>
      </c>
    </row>
    <row r="55" spans="4:26" x14ac:dyDescent="0.3">
      <c r="D55" s="780" t="s">
        <v>560</v>
      </c>
      <c r="E55" s="138">
        <v>1332</v>
      </c>
      <c r="F55" s="138">
        <v>1388</v>
      </c>
      <c r="G55" s="774">
        <f t="shared" si="21"/>
        <v>1425.3999999999999</v>
      </c>
      <c r="H55" s="774">
        <f t="shared" si="21"/>
        <v>1529.57</v>
      </c>
      <c r="I55" s="774">
        <f t="shared" si="21"/>
        <v>1704.7545636289196</v>
      </c>
      <c r="J55" s="774">
        <f t="shared" si="21"/>
        <v>1829.4015146626407</v>
      </c>
      <c r="K55" s="774">
        <f t="shared" si="21"/>
        <v>1891.4438894046671</v>
      </c>
      <c r="L55" s="774">
        <f t="shared" si="21"/>
        <v>1942.728776109363</v>
      </c>
      <c r="N55" s="783"/>
    </row>
    <row r="56" spans="4:26" x14ac:dyDescent="0.3">
      <c r="D56" s="780" t="s">
        <v>105</v>
      </c>
      <c r="E56" s="138">
        <v>150</v>
      </c>
      <c r="F56" s="138">
        <v>175</v>
      </c>
      <c r="G56" s="774">
        <f t="shared" si="21"/>
        <v>161.30000000000001</v>
      </c>
      <c r="H56" s="774">
        <f t="shared" si="21"/>
        <v>168.43899999999999</v>
      </c>
      <c r="I56" s="774">
        <f t="shared" si="21"/>
        <v>197.82868117790269</v>
      </c>
      <c r="J56" s="774">
        <f t="shared" si="21"/>
        <v>205.59215694420288</v>
      </c>
      <c r="K56" s="774">
        <f t="shared" si="21"/>
        <v>210.57614348282542</v>
      </c>
      <c r="L56" s="774">
        <f t="shared" si="21"/>
        <v>209.98379331954985</v>
      </c>
      <c r="N56" s="783"/>
    </row>
    <row r="57" spans="4:26" x14ac:dyDescent="0.3">
      <c r="D57" s="779" t="s">
        <v>303</v>
      </c>
      <c r="E57" s="156">
        <v>208</v>
      </c>
      <c r="F57" s="156">
        <v>219</v>
      </c>
      <c r="G57" s="853">
        <f t="shared" si="21"/>
        <v>201.37499999999997</v>
      </c>
      <c r="H57" s="853">
        <f t="shared" si="21"/>
        <v>259.06299999999999</v>
      </c>
      <c r="I57" s="853">
        <f t="shared" si="21"/>
        <v>275.06601762628719</v>
      </c>
      <c r="J57" s="853">
        <f t="shared" si="21"/>
        <v>317.70543069297611</v>
      </c>
      <c r="K57" s="853">
        <f t="shared" si="21"/>
        <v>333.04795545019113</v>
      </c>
      <c r="L57" s="853">
        <f t="shared" si="21"/>
        <v>336.62701860253719</v>
      </c>
      <c r="O57" s="1261" t="s">
        <v>987</v>
      </c>
      <c r="P57" s="1261" t="s">
        <v>987</v>
      </c>
      <c r="Q57" s="1261" t="s">
        <v>987</v>
      </c>
      <c r="R57" s="1261" t="s">
        <v>987</v>
      </c>
      <c r="S57" s="1261" t="s">
        <v>987</v>
      </c>
      <c r="T57" s="1261" t="s">
        <v>987</v>
      </c>
      <c r="U57" s="1261" t="s">
        <v>987</v>
      </c>
      <c r="V57" s="1262" t="s">
        <v>987</v>
      </c>
    </row>
    <row r="58" spans="4:26" ht="14.55" customHeight="1" x14ac:dyDescent="0.3">
      <c r="D58" s="267"/>
      <c r="E58" s="138"/>
      <c r="F58" s="138"/>
      <c r="G58" s="138"/>
      <c r="P58" s="1263">
        <v>2022</v>
      </c>
      <c r="Q58" s="1264">
        <v>2022</v>
      </c>
      <c r="R58" s="1264">
        <v>2022</v>
      </c>
      <c r="S58" s="1265">
        <v>2022</v>
      </c>
    </row>
    <row r="59" spans="4:26" ht="17.25" customHeight="1" x14ac:dyDescent="0.3">
      <c r="D59" s="180" t="s">
        <v>562</v>
      </c>
      <c r="E59" s="138"/>
      <c r="F59" s="138"/>
      <c r="G59" s="138"/>
      <c r="P59" s="846" t="s">
        <v>988</v>
      </c>
      <c r="Q59" s="846" t="s">
        <v>989</v>
      </c>
      <c r="R59" s="846" t="s">
        <v>990</v>
      </c>
      <c r="S59" s="846" t="s">
        <v>991</v>
      </c>
      <c r="T59" s="854" t="s">
        <v>1007</v>
      </c>
    </row>
    <row r="60" spans="4:26" ht="30" customHeight="1" x14ac:dyDescent="0.3">
      <c r="D60" s="840" t="s">
        <v>563</v>
      </c>
      <c r="E60" s="693">
        <v>2018</v>
      </c>
      <c r="F60" s="693">
        <v>2019</v>
      </c>
      <c r="G60" s="694">
        <v>2020</v>
      </c>
      <c r="H60" s="804">
        <v>2021</v>
      </c>
      <c r="I60" s="805">
        <v>2022</v>
      </c>
      <c r="J60" s="805">
        <v>2023</v>
      </c>
      <c r="K60" s="805">
        <v>2024</v>
      </c>
      <c r="L60" s="806">
        <v>2025</v>
      </c>
      <c r="O60" s="31" t="s">
        <v>561</v>
      </c>
      <c r="P60" s="844">
        <v>2973</v>
      </c>
      <c r="Q60" s="844">
        <v>3062.8</v>
      </c>
      <c r="R60" s="844">
        <v>3085.2</v>
      </c>
      <c r="S60" s="845">
        <v>2106.1999999999998</v>
      </c>
      <c r="T60" s="844">
        <v>3123.2</v>
      </c>
    </row>
    <row r="61" spans="4:26" x14ac:dyDescent="0.3">
      <c r="D61" s="780" t="s">
        <v>553</v>
      </c>
      <c r="E61" s="165">
        <f t="shared" ref="E61:K63" si="22">E54/E46</f>
        <v>0.96346896346896349</v>
      </c>
      <c r="F61" s="165">
        <f t="shared" si="22"/>
        <v>0.98201292275452579</v>
      </c>
      <c r="G61" s="165">
        <f t="shared" si="22"/>
        <v>1.0581572405220632</v>
      </c>
      <c r="H61" s="738">
        <f t="shared" si="22"/>
        <v>0.91856247649039291</v>
      </c>
      <c r="I61" s="739">
        <f t="shared" si="22"/>
        <v>0.91856247649039302</v>
      </c>
      <c r="J61" s="739">
        <f t="shared" si="22"/>
        <v>0.91856247649039291</v>
      </c>
      <c r="K61" s="739">
        <f t="shared" si="22"/>
        <v>0.91856247649039291</v>
      </c>
      <c r="L61" s="740"/>
      <c r="T61" s="272"/>
    </row>
    <row r="62" spans="4:26" x14ac:dyDescent="0.3">
      <c r="D62" s="780" t="s">
        <v>560</v>
      </c>
      <c r="E62" s="165">
        <f t="shared" si="22"/>
        <v>1.1377808148970701</v>
      </c>
      <c r="F62" s="165">
        <f t="shared" si="22"/>
        <v>1.1162940324915553</v>
      </c>
      <c r="G62" s="165">
        <f t="shared" si="22"/>
        <v>1.0880916030534351</v>
      </c>
      <c r="H62" s="169">
        <f t="shared" si="22"/>
        <v>1.1639783637016698</v>
      </c>
      <c r="I62" s="165">
        <f t="shared" si="22"/>
        <v>1.1639783637016698</v>
      </c>
      <c r="J62" s="165">
        <f t="shared" si="22"/>
        <v>1.1639783637016698</v>
      </c>
      <c r="K62" s="165">
        <f t="shared" si="22"/>
        <v>1.1639783637016701</v>
      </c>
      <c r="L62" s="596"/>
    </row>
    <row r="63" spans="4:26" x14ac:dyDescent="0.3">
      <c r="D63" s="780" t="s">
        <v>105</v>
      </c>
      <c r="E63" s="165">
        <f t="shared" si="22"/>
        <v>1.1005135730007336</v>
      </c>
      <c r="F63" s="165">
        <f t="shared" si="22"/>
        <v>1.0257913247362251</v>
      </c>
      <c r="G63" s="165">
        <f t="shared" si="22"/>
        <v>1.0339743589743591</v>
      </c>
      <c r="H63" s="169">
        <f t="shared" si="22"/>
        <v>1.084890408929595</v>
      </c>
      <c r="I63" s="165">
        <f t="shared" si="22"/>
        <v>1.084890408929595</v>
      </c>
      <c r="J63" s="165">
        <f t="shared" si="22"/>
        <v>1.084890408929595</v>
      </c>
      <c r="K63" s="165">
        <f t="shared" si="22"/>
        <v>1.0848904089295948</v>
      </c>
      <c r="L63" s="596"/>
    </row>
    <row r="64" spans="4:26" x14ac:dyDescent="0.3">
      <c r="D64" s="779" t="s">
        <v>303</v>
      </c>
      <c r="E64" s="172">
        <f t="shared" ref="E64:K64" si="23">E57/E51</f>
        <v>1.0161211529066927</v>
      </c>
      <c r="F64" s="172">
        <f t="shared" si="23"/>
        <v>0.95134665508253702</v>
      </c>
      <c r="G64" s="172">
        <f t="shared" si="23"/>
        <v>0.94988207547169801</v>
      </c>
      <c r="H64" s="171">
        <f t="shared" si="23"/>
        <v>0.69672243573021075</v>
      </c>
      <c r="I64" s="172">
        <f t="shared" si="23"/>
        <v>0.69672243573021064</v>
      </c>
      <c r="J64" s="172">
        <f t="shared" si="23"/>
        <v>0.69672243573021075</v>
      </c>
      <c r="K64" s="172">
        <f t="shared" si="23"/>
        <v>0.69672243573021087</v>
      </c>
      <c r="L64" s="590"/>
    </row>
    <row r="66" spans="4:12" x14ac:dyDescent="0.3">
      <c r="D66" s="267"/>
      <c r="E66" s="138"/>
      <c r="F66" s="138"/>
      <c r="G66" s="138"/>
    </row>
    <row r="67" spans="4:12" x14ac:dyDescent="0.3">
      <c r="D67" s="154" t="s">
        <v>564</v>
      </c>
    </row>
    <row r="68" spans="4:12" x14ac:dyDescent="0.3">
      <c r="D68" s="848" t="s">
        <v>1006</v>
      </c>
      <c r="E68" s="692">
        <v>2018</v>
      </c>
      <c r="F68" s="814">
        <v>2019</v>
      </c>
      <c r="G68" s="814">
        <v>2020</v>
      </c>
      <c r="H68" s="815">
        <v>2021</v>
      </c>
      <c r="I68" s="816">
        <v>2022</v>
      </c>
      <c r="J68" s="816">
        <v>2023</v>
      </c>
      <c r="K68" s="816">
        <v>2024</v>
      </c>
      <c r="L68" s="817">
        <v>2025</v>
      </c>
    </row>
    <row r="69" spans="4:12" x14ac:dyDescent="0.3">
      <c r="D69" s="819" t="s">
        <v>565</v>
      </c>
      <c r="E69" s="460">
        <v>14016.099999999999</v>
      </c>
      <c r="F69" s="424">
        <v>14604.2</v>
      </c>
      <c r="G69" s="705">
        <v>14711.300000000001</v>
      </c>
      <c r="H69" s="849">
        <v>20725.8</v>
      </c>
      <c r="I69" s="849">
        <v>21293</v>
      </c>
      <c r="J69" s="849">
        <v>22393.200000000001</v>
      </c>
      <c r="K69" s="849">
        <v>23451.7</v>
      </c>
      <c r="L69" s="850">
        <v>24455.1</v>
      </c>
    </row>
    <row r="70" spans="4:12" x14ac:dyDescent="0.3">
      <c r="D70" s="819" t="s">
        <v>566</v>
      </c>
      <c r="E70" s="283">
        <v>8804</v>
      </c>
      <c r="F70" s="138">
        <v>9209</v>
      </c>
      <c r="G70" s="705">
        <v>9300</v>
      </c>
      <c r="H70" s="849">
        <v>10082.5</v>
      </c>
      <c r="I70" s="849">
        <v>11062.4</v>
      </c>
      <c r="J70" s="849">
        <v>11616.3</v>
      </c>
      <c r="K70" s="849">
        <v>12028</v>
      </c>
      <c r="L70" s="850">
        <v>12433.6</v>
      </c>
    </row>
    <row r="71" spans="4:12" x14ac:dyDescent="0.3">
      <c r="D71" s="819" t="s">
        <v>567</v>
      </c>
      <c r="E71" s="283">
        <v>13844</v>
      </c>
      <c r="F71" s="138">
        <v>14403</v>
      </c>
      <c r="G71" s="705">
        <v>14201</v>
      </c>
      <c r="H71" s="849">
        <v>15279.9</v>
      </c>
      <c r="I71" s="849">
        <v>16817.599999999999</v>
      </c>
      <c r="J71" s="849">
        <v>17789.8</v>
      </c>
      <c r="K71" s="849">
        <v>18525.3</v>
      </c>
      <c r="L71" s="850">
        <v>19204.5</v>
      </c>
    </row>
    <row r="72" spans="4:12" x14ac:dyDescent="0.3">
      <c r="D72" s="820" t="s">
        <v>568</v>
      </c>
      <c r="E72" s="800">
        <v>2211</v>
      </c>
      <c r="F72" s="717">
        <v>2243</v>
      </c>
      <c r="G72" s="718">
        <v>2125</v>
      </c>
      <c r="H72" s="851">
        <v>2678.6</v>
      </c>
      <c r="I72" s="851">
        <v>2946.3</v>
      </c>
      <c r="J72" s="851">
        <v>3018.1</v>
      </c>
      <c r="K72" s="851">
        <v>3000.1</v>
      </c>
      <c r="L72" s="852">
        <v>3037.1</v>
      </c>
    </row>
    <row r="74" spans="4:12" x14ac:dyDescent="0.3">
      <c r="D74" s="154" t="s">
        <v>569</v>
      </c>
    </row>
    <row r="75" spans="4:12" x14ac:dyDescent="0.3">
      <c r="D75" s="778" t="s">
        <v>570</v>
      </c>
      <c r="E75" s="632">
        <v>2018</v>
      </c>
      <c r="F75" s="793">
        <v>2019</v>
      </c>
      <c r="G75" s="793">
        <v>2020</v>
      </c>
      <c r="H75" s="812">
        <v>2021</v>
      </c>
      <c r="I75" s="794">
        <v>2022</v>
      </c>
      <c r="J75" s="794">
        <v>2023</v>
      </c>
      <c r="K75" s="794">
        <v>2024</v>
      </c>
      <c r="L75" s="813">
        <v>2025</v>
      </c>
    </row>
    <row r="76" spans="4:12" x14ac:dyDescent="0.3">
      <c r="D76" s="821" t="s">
        <v>553</v>
      </c>
      <c r="E76" s="743">
        <f t="shared" ref="E76:L78" si="24">E46/E69</f>
        <v>0.12011187134794987</v>
      </c>
      <c r="F76" s="741">
        <f t="shared" si="24"/>
        <v>0.11763054463784391</v>
      </c>
      <c r="G76" s="742">
        <f t="shared" si="24"/>
        <v>0.10937170746297063</v>
      </c>
      <c r="H76" s="741">
        <f t="shared" si="24"/>
        <v>9.8639232261239621E-2</v>
      </c>
      <c r="I76" s="741">
        <f t="shared" si="24"/>
        <v>0.12316277649931905</v>
      </c>
      <c r="J76" s="741">
        <f t="shared" si="24"/>
        <v>0.11516120965293035</v>
      </c>
      <c r="K76" s="741">
        <f t="shared" si="24"/>
        <v>0.10837998951035532</v>
      </c>
      <c r="L76" s="742">
        <f t="shared" si="24"/>
        <v>0.10382787230475443</v>
      </c>
    </row>
    <row r="77" spans="4:12" x14ac:dyDescent="0.3">
      <c r="D77" s="821" t="s">
        <v>555</v>
      </c>
      <c r="E77" s="719">
        <f t="shared" si="24"/>
        <v>0.13297364834166289</v>
      </c>
      <c r="F77" s="164">
        <f t="shared" si="24"/>
        <v>0.13502008904332718</v>
      </c>
      <c r="G77" s="720">
        <f t="shared" si="24"/>
        <v>0.14086021505376345</v>
      </c>
      <c r="H77" s="164">
        <f t="shared" si="24"/>
        <v>0.1303335482271262</v>
      </c>
      <c r="I77" s="164">
        <f t="shared" si="24"/>
        <v>0.13239378435059299</v>
      </c>
      <c r="J77" s="164">
        <f t="shared" si="24"/>
        <v>0.13529953599683206</v>
      </c>
      <c r="K77" s="164">
        <f t="shared" si="24"/>
        <v>0.13509993348852678</v>
      </c>
      <c r="L77" s="720">
        <f t="shared" si="24"/>
        <v>0.13423642388367008</v>
      </c>
    </row>
    <row r="78" spans="4:12" x14ac:dyDescent="0.3">
      <c r="D78" s="819" t="s">
        <v>571</v>
      </c>
      <c r="E78" s="719">
        <f t="shared" si="24"/>
        <v>9.8454203987286912E-3</v>
      </c>
      <c r="F78" s="164">
        <f t="shared" si="24"/>
        <v>1.1844754565021176E-2</v>
      </c>
      <c r="G78" s="720">
        <f t="shared" si="24"/>
        <v>1.0985141891416098E-2</v>
      </c>
      <c r="H78" s="164">
        <f t="shared" si="24"/>
        <v>1.016099581803546E-2</v>
      </c>
      <c r="I78" s="164">
        <f t="shared" si="24"/>
        <v>1.0842748073446866E-2</v>
      </c>
      <c r="J78" s="164">
        <f t="shared" si="24"/>
        <v>1.065245252897728E-2</v>
      </c>
      <c r="K78" s="164">
        <f t="shared" si="24"/>
        <v>1.0477509136154341E-2</v>
      </c>
      <c r="L78" s="720">
        <f t="shared" si="24"/>
        <v>1.0078523262776954E-2</v>
      </c>
    </row>
    <row r="79" spans="4:12" x14ac:dyDescent="0.3">
      <c r="D79" s="822" t="s">
        <v>106</v>
      </c>
      <c r="E79" s="181">
        <f t="shared" ref="E79:L79" si="25">E51/E72</f>
        <v>9.258254183627318E-2</v>
      </c>
      <c r="F79" s="182">
        <f t="shared" si="25"/>
        <v>0.10263040570664288</v>
      </c>
      <c r="G79" s="183">
        <f t="shared" si="25"/>
        <v>9.9764705882352936E-2</v>
      </c>
      <c r="H79" s="182">
        <f t="shared" si="25"/>
        <v>0.13881542596878968</v>
      </c>
      <c r="I79" s="182">
        <f t="shared" si="25"/>
        <v>0.13399857448325017</v>
      </c>
      <c r="J79" s="182">
        <f t="shared" si="25"/>
        <v>0.15108843312017495</v>
      </c>
      <c r="K79" s="182">
        <f t="shared" si="25"/>
        <v>0.15933502216592782</v>
      </c>
      <c r="L79" s="183">
        <f t="shared" si="25"/>
        <v>0.15908531164597808</v>
      </c>
    </row>
    <row r="81" spans="4:29" x14ac:dyDescent="0.3">
      <c r="D81" s="154" t="s">
        <v>572</v>
      </c>
    </row>
    <row r="82" spans="4:29" x14ac:dyDescent="0.3">
      <c r="D82" s="832" t="s">
        <v>400</v>
      </c>
    </row>
    <row r="83" spans="4:29" x14ac:dyDescent="0.3">
      <c r="D83" s="778" t="s">
        <v>573</v>
      </c>
      <c r="E83" s="693">
        <v>2018</v>
      </c>
      <c r="F83" s="814">
        <v>2019</v>
      </c>
      <c r="G83" s="814">
        <v>2020</v>
      </c>
      <c r="H83" s="815">
        <v>2021</v>
      </c>
      <c r="I83" s="816">
        <v>2022</v>
      </c>
      <c r="J83" s="816">
        <v>2023</v>
      </c>
      <c r="K83" s="816">
        <v>2024</v>
      </c>
      <c r="L83" s="817">
        <v>2025</v>
      </c>
    </row>
    <row r="84" spans="4:29" ht="20.25" customHeight="1" x14ac:dyDescent="0.3">
      <c r="D84" s="781" t="s">
        <v>553</v>
      </c>
      <c r="E84" s="743">
        <f t="shared" ref="E84:G87" si="26">E76*E61</f>
        <v>0.11572406018792676</v>
      </c>
      <c r="F84" s="741">
        <f t="shared" si="26"/>
        <v>0.11551471494501581</v>
      </c>
      <c r="G84" s="741">
        <f t="shared" si="26"/>
        <v>0.11573246416020334</v>
      </c>
      <c r="H84" s="743">
        <f>N113</f>
        <v>0.13083976407289996</v>
      </c>
      <c r="I84" s="741">
        <f>H84</f>
        <v>0.13083976407289996</v>
      </c>
      <c r="J84" s="741">
        <f t="shared" ref="J84:L84" si="27">I84</f>
        <v>0.13083976407289996</v>
      </c>
      <c r="K84" s="741">
        <f t="shared" si="27"/>
        <v>0.13083976407289996</v>
      </c>
      <c r="L84" s="742">
        <f t="shared" si="27"/>
        <v>0.13083976407289996</v>
      </c>
      <c r="M84" s="824"/>
      <c r="N84" s="823"/>
      <c r="O84" s="164"/>
      <c r="P84" s="164"/>
      <c r="Q84" s="164"/>
      <c r="R84" s="164"/>
      <c r="S84" s="164"/>
      <c r="T84" s="164"/>
      <c r="U84" s="164"/>
      <c r="V84" s="164"/>
      <c r="W84" s="164"/>
      <c r="X84" s="164"/>
      <c r="Y84" s="164"/>
    </row>
    <row r="85" spans="4:29" ht="18.75" customHeight="1" x14ac:dyDescent="0.3">
      <c r="D85" s="781" t="s">
        <v>555</v>
      </c>
      <c r="E85" s="719">
        <f t="shared" si="26"/>
        <v>0.15129486597001363</v>
      </c>
      <c r="F85" s="164">
        <f t="shared" si="26"/>
        <v>0.15072211966554458</v>
      </c>
      <c r="G85" s="164">
        <f t="shared" si="26"/>
        <v>0.15326881720430108</v>
      </c>
      <c r="H85" s="719">
        <f>N115</f>
        <v>0.14822588114733906</v>
      </c>
      <c r="I85" s="164">
        <f>H85</f>
        <v>0.14822588114733906</v>
      </c>
      <c r="J85" s="164">
        <f>I85</f>
        <v>0.14822588114733906</v>
      </c>
      <c r="K85" s="164">
        <f t="shared" ref="K85:L85" si="28">J85</f>
        <v>0.14822588114733906</v>
      </c>
      <c r="L85" s="720">
        <f t="shared" si="28"/>
        <v>0.14822588114733906</v>
      </c>
      <c r="M85" s="824"/>
      <c r="N85" s="823"/>
      <c r="O85" s="164"/>
      <c r="P85" s="164"/>
      <c r="Q85" s="164"/>
      <c r="R85" s="164"/>
      <c r="S85" s="164"/>
      <c r="T85" s="164"/>
      <c r="U85" s="164"/>
      <c r="V85" s="164"/>
      <c r="W85" s="164"/>
      <c r="X85" s="164"/>
      <c r="Y85" s="164"/>
    </row>
    <row r="86" spans="4:29" ht="19.2" customHeight="1" x14ac:dyDescent="0.3">
      <c r="D86" s="780" t="s">
        <v>105</v>
      </c>
      <c r="E86" s="719">
        <f t="shared" si="26"/>
        <v>1.0835018780699219E-2</v>
      </c>
      <c r="F86" s="164">
        <f t="shared" si="26"/>
        <v>1.2150246476428523E-2</v>
      </c>
      <c r="G86" s="164">
        <f t="shared" si="26"/>
        <v>1.1358355045419337E-2</v>
      </c>
      <c r="H86" s="719">
        <f>N116</f>
        <v>1.1211939165902553E-2</v>
      </c>
      <c r="I86" s="164">
        <f>AVERAGE($F63:$G63)*I78</f>
        <v>1.1166760199402452E-2</v>
      </c>
      <c r="J86" s="164">
        <f>AVERAGE($F63:$G63)*J78</f>
        <v>1.0970778083271715E-2</v>
      </c>
      <c r="K86" s="164">
        <f>J86</f>
        <v>1.0970778083271715E-2</v>
      </c>
      <c r="L86" s="720">
        <f>K86</f>
        <v>1.0970778083271715E-2</v>
      </c>
      <c r="M86" s="824"/>
      <c r="N86" s="823"/>
      <c r="O86" s="164"/>
      <c r="P86" s="164"/>
      <c r="Q86" s="164"/>
      <c r="R86" s="164"/>
      <c r="S86" s="164"/>
      <c r="T86" s="164"/>
      <c r="U86" s="164"/>
      <c r="V86" s="164"/>
      <c r="W86" s="164"/>
      <c r="X86" s="164"/>
      <c r="Y86" s="164"/>
    </row>
    <row r="87" spans="4:29" ht="19.2" customHeight="1" x14ac:dyDescent="0.3">
      <c r="D87" s="782" t="s">
        <v>106</v>
      </c>
      <c r="E87" s="181">
        <f t="shared" si="26"/>
        <v>9.4075079149706017E-2</v>
      </c>
      <c r="F87" s="182">
        <f t="shared" si="26"/>
        <v>9.7637093178778417E-2</v>
      </c>
      <c r="G87" s="182">
        <f t="shared" si="26"/>
        <v>9.4764705882352931E-2</v>
      </c>
      <c r="H87" s="181">
        <f>M117</f>
        <v>0.11594202898550723</v>
      </c>
      <c r="I87" s="182">
        <f>N117</f>
        <v>0.11690415853101242</v>
      </c>
      <c r="J87" s="182">
        <f>I87</f>
        <v>0.11690415853101242</v>
      </c>
      <c r="K87" s="182">
        <f>J87</f>
        <v>0.11690415853101242</v>
      </c>
      <c r="L87" s="183">
        <f>K87</f>
        <v>0.11690415853101242</v>
      </c>
      <c r="M87" s="824"/>
      <c r="N87" s="823"/>
      <c r="O87" s="164"/>
      <c r="P87" s="164"/>
      <c r="Q87" s="164"/>
      <c r="R87" s="164"/>
      <c r="S87" s="164"/>
      <c r="T87" s="164"/>
      <c r="U87" s="164"/>
      <c r="V87" s="164"/>
      <c r="W87" s="164"/>
      <c r="X87" s="164"/>
      <c r="Y87" s="164"/>
    </row>
    <row r="88" spans="4:29" x14ac:dyDescent="0.3">
      <c r="E88" s="766"/>
      <c r="F88" s="766"/>
      <c r="G88" s="766"/>
      <c r="H88" s="766"/>
      <c r="I88" s="766"/>
      <c r="J88" s="766"/>
      <c r="K88" s="766"/>
      <c r="L88" s="766"/>
    </row>
    <row r="89" spans="4:29" s="1064" customFormat="1" x14ac:dyDescent="0.3">
      <c r="E89" s="766"/>
      <c r="F89" s="766"/>
      <c r="G89" s="766"/>
      <c r="H89" s="766"/>
      <c r="I89" s="766"/>
      <c r="J89" s="766"/>
      <c r="K89" s="766"/>
      <c r="L89" s="766"/>
    </row>
    <row r="90" spans="4:29" s="1064" customFormat="1" x14ac:dyDescent="0.3">
      <c r="D90" s="831" t="s">
        <v>413</v>
      </c>
      <c r="E90" s="164"/>
      <c r="F90" s="164"/>
      <c r="G90" s="164"/>
      <c r="H90" s="164"/>
      <c r="I90" s="164"/>
      <c r="J90" s="164"/>
      <c r="K90" s="164"/>
      <c r="L90" s="164"/>
      <c r="M90" s="164"/>
      <c r="N90" s="164"/>
      <c r="O90" s="164"/>
      <c r="P90" s="164"/>
      <c r="Q90" s="164"/>
      <c r="R90" s="164"/>
      <c r="S90" s="164"/>
      <c r="T90" s="164"/>
      <c r="U90" s="164"/>
      <c r="V90" s="164"/>
      <c r="W90" s="164"/>
      <c r="X90" s="164"/>
      <c r="Y90" s="164"/>
    </row>
    <row r="91" spans="4:29" s="1064" customFormat="1" x14ac:dyDescent="0.3">
      <c r="D91" s="1244" t="s">
        <v>975</v>
      </c>
      <c r="E91" s="1248"/>
      <c r="F91" s="1147">
        <v>2019</v>
      </c>
      <c r="G91" s="1148"/>
      <c r="H91" s="1155"/>
      <c r="I91" s="1147">
        <v>2020</v>
      </c>
      <c r="J91" s="1148"/>
      <c r="K91" s="1148"/>
      <c r="L91" s="1155"/>
      <c r="M91" s="1147">
        <v>2021</v>
      </c>
      <c r="N91" s="1148"/>
      <c r="O91" s="1148"/>
      <c r="P91" s="1148"/>
      <c r="Q91" s="1181">
        <v>2022</v>
      </c>
      <c r="R91" s="1182"/>
      <c r="S91" s="252"/>
      <c r="T91" s="287"/>
      <c r="U91" s="1178">
        <v>2023</v>
      </c>
      <c r="V91" s="1179"/>
      <c r="W91" s="1179"/>
      <c r="X91" s="1180"/>
      <c r="Y91" s="1178">
        <v>2024</v>
      </c>
      <c r="Z91" s="1179"/>
      <c r="AA91" s="1179"/>
      <c r="AB91" s="1179"/>
      <c r="AC91" s="258">
        <v>2025</v>
      </c>
    </row>
    <row r="92" spans="4:29" s="1064" customFormat="1" x14ac:dyDescent="0.3">
      <c r="D92" s="1249"/>
      <c r="E92" s="1250"/>
      <c r="F92" s="1045" t="s">
        <v>329</v>
      </c>
      <c r="G92" s="1046" t="s">
        <v>238</v>
      </c>
      <c r="H92" s="1047" t="s">
        <v>327</v>
      </c>
      <c r="I92" s="1045" t="s">
        <v>328</v>
      </c>
      <c r="J92" s="1046" t="s">
        <v>329</v>
      </c>
      <c r="K92" s="1046" t="s">
        <v>238</v>
      </c>
      <c r="L92" s="1047" t="s">
        <v>327</v>
      </c>
      <c r="M92" s="1045" t="s">
        <v>328</v>
      </c>
      <c r="N92" s="1046" t="s">
        <v>329</v>
      </c>
      <c r="O92" s="1046" t="s">
        <v>238</v>
      </c>
      <c r="P92" s="1046" t="s">
        <v>327</v>
      </c>
      <c r="Q92" s="1045" t="s">
        <v>328</v>
      </c>
      <c r="R92" s="1046" t="s">
        <v>329</v>
      </c>
      <c r="S92" s="1047" t="s">
        <v>238</v>
      </c>
      <c r="T92" s="368" t="s">
        <v>327</v>
      </c>
      <c r="U92" s="1049" t="s">
        <v>328</v>
      </c>
      <c r="V92" s="1081" t="s">
        <v>329</v>
      </c>
      <c r="W92" s="1081" t="s">
        <v>238</v>
      </c>
      <c r="X92" s="368" t="s">
        <v>327</v>
      </c>
      <c r="Y92" s="1049" t="s">
        <v>328</v>
      </c>
      <c r="Z92" s="1082" t="s">
        <v>329</v>
      </c>
      <c r="AA92" s="1081" t="s">
        <v>238</v>
      </c>
      <c r="AB92" s="1081" t="s">
        <v>327</v>
      </c>
      <c r="AC92" s="383" t="s">
        <v>328</v>
      </c>
    </row>
    <row r="93" spans="4:29" s="1064" customFormat="1" x14ac:dyDescent="0.3">
      <c r="D93" s="841" t="s">
        <v>565</v>
      </c>
      <c r="E93" s="795"/>
      <c r="F93" s="304">
        <f>F94+F95</f>
        <v>14660.3</v>
      </c>
      <c r="G93" s="305">
        <f t="shared" ref="G93:P93" si="29">G94+G95</f>
        <v>14748</v>
      </c>
      <c r="H93" s="305">
        <f t="shared" si="29"/>
        <v>14896.1</v>
      </c>
      <c r="I93" s="305">
        <f t="shared" si="29"/>
        <v>5492.6</v>
      </c>
      <c r="J93" s="305">
        <f t="shared" si="29"/>
        <v>14127</v>
      </c>
      <c r="K93" s="305">
        <f t="shared" si="29"/>
        <v>14803.099999999999</v>
      </c>
      <c r="L93" s="305">
        <f t="shared" si="29"/>
        <v>15014.2</v>
      </c>
      <c r="M93" s="305">
        <f t="shared" si="29"/>
        <v>15152.900000000001</v>
      </c>
      <c r="N93" s="305">
        <f t="shared" si="29"/>
        <v>15654.4</v>
      </c>
      <c r="O93" s="305">
        <f t="shared" si="29"/>
        <v>15799.3</v>
      </c>
      <c r="P93" s="305">
        <f t="shared" si="29"/>
        <v>15983.8</v>
      </c>
      <c r="Q93" s="305">
        <f>Q94+Q95</f>
        <v>16571.400000000001</v>
      </c>
      <c r="R93" s="305">
        <f t="shared" ref="R93:S93" si="30">R94+R95</f>
        <v>16848</v>
      </c>
      <c r="S93" s="305">
        <f t="shared" si="30"/>
        <v>17094.3</v>
      </c>
      <c r="T93" s="1083">
        <f>S93*(1+T101)^(1/4)</f>
        <v>17315.8</v>
      </c>
      <c r="U93" s="826">
        <f t="shared" ref="U93:AC93" si="31">T93*(1+U101)^(1/4)</f>
        <v>17535.5</v>
      </c>
      <c r="V93" s="826">
        <f t="shared" si="31"/>
        <v>17756.5</v>
      </c>
      <c r="W93" s="826">
        <f t="shared" si="31"/>
        <v>17973.8</v>
      </c>
      <c r="X93" s="826">
        <f t="shared" si="31"/>
        <v>18172.2</v>
      </c>
      <c r="Y93" s="826">
        <f t="shared" si="31"/>
        <v>18369</v>
      </c>
      <c r="Z93" s="826">
        <f t="shared" si="31"/>
        <v>18550.099999999999</v>
      </c>
      <c r="AA93" s="826">
        <f t="shared" si="31"/>
        <v>18735.8</v>
      </c>
      <c r="AB93" s="826">
        <f t="shared" si="31"/>
        <v>18924.199999999993</v>
      </c>
      <c r="AC93" s="827">
        <f t="shared" si="31"/>
        <v>19105.699999999997</v>
      </c>
    </row>
    <row r="94" spans="4:29" s="1064" customFormat="1" x14ac:dyDescent="0.3">
      <c r="D94" s="281" t="s">
        <v>566</v>
      </c>
      <c r="E94" s="537"/>
      <c r="F94" s="460">
        <v>9274.9</v>
      </c>
      <c r="G94" s="424">
        <v>9311.2999999999993</v>
      </c>
      <c r="H94" s="424">
        <v>9422.5</v>
      </c>
      <c r="I94" s="424">
        <v>0</v>
      </c>
      <c r="J94" s="424">
        <v>8908.7999999999993</v>
      </c>
      <c r="K94" s="424">
        <v>9343.2999999999993</v>
      </c>
      <c r="L94" s="424">
        <v>9546</v>
      </c>
      <c r="M94" s="424">
        <v>9702.2000000000007</v>
      </c>
      <c r="N94" s="424">
        <v>9950.4</v>
      </c>
      <c r="O94" s="424">
        <v>10175.1</v>
      </c>
      <c r="P94" s="424">
        <v>10336.6</v>
      </c>
      <c r="Q94" s="424">
        <v>10995.9</v>
      </c>
      <c r="R94" s="424">
        <v>11172.6</v>
      </c>
      <c r="S94" s="1077">
        <v>11320.4</v>
      </c>
      <c r="T94" s="451">
        <f>S94*(1+T102)^(1/4)</f>
        <v>11443.5</v>
      </c>
      <c r="U94" s="1078">
        <f t="shared" ref="U94:AC94" si="32">T94*(1+U102)^(1/4)</f>
        <v>11560.2</v>
      </c>
      <c r="V94" s="1078">
        <f t="shared" si="32"/>
        <v>11675.6</v>
      </c>
      <c r="W94" s="1078">
        <f t="shared" si="32"/>
        <v>11786</v>
      </c>
      <c r="X94" s="1078">
        <f t="shared" si="32"/>
        <v>11879</v>
      </c>
      <c r="Y94" s="1078">
        <f t="shared" si="32"/>
        <v>11978</v>
      </c>
      <c r="Z94" s="1078">
        <f t="shared" si="32"/>
        <v>12076.9</v>
      </c>
      <c r="AA94" s="1078">
        <f t="shared" si="32"/>
        <v>12178.3</v>
      </c>
      <c r="AB94" s="1078">
        <f t="shared" si="32"/>
        <v>12278.8</v>
      </c>
      <c r="AC94" s="453">
        <f t="shared" si="32"/>
        <v>12377.499999999998</v>
      </c>
    </row>
    <row r="95" spans="4:29" s="1064" customFormat="1" x14ac:dyDescent="0.3">
      <c r="D95" s="281" t="s">
        <v>974</v>
      </c>
      <c r="E95" s="537"/>
      <c r="F95" s="460">
        <v>5385.4</v>
      </c>
      <c r="G95" s="424">
        <v>5436.7</v>
      </c>
      <c r="H95" s="424">
        <v>5473.6</v>
      </c>
      <c r="I95" s="424">
        <v>5492.6</v>
      </c>
      <c r="J95" s="424">
        <v>5218.2</v>
      </c>
      <c r="K95" s="424">
        <v>5459.8</v>
      </c>
      <c r="L95" s="424">
        <v>5468.2</v>
      </c>
      <c r="M95" s="424">
        <v>5450.7</v>
      </c>
      <c r="N95" s="424">
        <v>5704</v>
      </c>
      <c r="O95" s="424">
        <v>5624.2</v>
      </c>
      <c r="P95" s="424">
        <v>5647.2</v>
      </c>
      <c r="Q95" s="424">
        <v>5575.5</v>
      </c>
      <c r="R95" s="424">
        <v>5675.4</v>
      </c>
      <c r="S95" s="1077">
        <v>5773.9</v>
      </c>
      <c r="T95" s="451">
        <f t="shared" ref="T95:AC97" si="33">S95*(1+T103)^(1/4)</f>
        <v>5872.3</v>
      </c>
      <c r="U95" s="1078">
        <f t="shared" si="33"/>
        <v>5975.3</v>
      </c>
      <c r="V95" s="1078">
        <f t="shared" si="33"/>
        <v>6080.8999999999987</v>
      </c>
      <c r="W95" s="1078">
        <f t="shared" si="33"/>
        <v>6187.7999999999993</v>
      </c>
      <c r="X95" s="1078">
        <f t="shared" si="33"/>
        <v>6293.1999999999989</v>
      </c>
      <c r="Y95" s="1078">
        <f t="shared" si="33"/>
        <v>6390.9999999999982</v>
      </c>
      <c r="Z95" s="1078">
        <f t="shared" si="33"/>
        <v>6473.199999999998</v>
      </c>
      <c r="AA95" s="1078">
        <f t="shared" si="33"/>
        <v>6557.4999999999982</v>
      </c>
      <c r="AB95" s="1078">
        <f t="shared" si="33"/>
        <v>6645.3999999999969</v>
      </c>
      <c r="AC95" s="453">
        <f t="shared" si="33"/>
        <v>6728.199999999998</v>
      </c>
    </row>
    <row r="96" spans="4:29" s="1064" customFormat="1" x14ac:dyDescent="0.3">
      <c r="D96" s="283" t="s">
        <v>567</v>
      </c>
      <c r="E96" s="537"/>
      <c r="F96" s="546"/>
      <c r="G96" s="537"/>
      <c r="H96" s="424"/>
      <c r="I96" s="424"/>
      <c r="J96" s="424"/>
      <c r="K96" s="424"/>
      <c r="L96" s="424"/>
      <c r="M96" s="424">
        <v>15041</v>
      </c>
      <c r="N96" s="424">
        <v>15551</v>
      </c>
      <c r="O96" s="424">
        <v>15824</v>
      </c>
      <c r="P96" s="424">
        <v>16056</v>
      </c>
      <c r="Q96" s="424">
        <v>16690.7</v>
      </c>
      <c r="R96" s="424">
        <v>16993</v>
      </c>
      <c r="S96" s="1077">
        <v>17251.3</v>
      </c>
      <c r="T96" s="451">
        <f t="shared" si="33"/>
        <v>17488.099999999999</v>
      </c>
      <c r="U96" s="1078">
        <f t="shared" si="33"/>
        <v>17692.3</v>
      </c>
      <c r="V96" s="1078">
        <f t="shared" si="33"/>
        <v>17892.600000000002</v>
      </c>
      <c r="W96" s="1078">
        <f t="shared" si="33"/>
        <v>18086.300000000003</v>
      </c>
      <c r="X96" s="1078">
        <f t="shared" si="33"/>
        <v>18268.200000000004</v>
      </c>
      <c r="Y96" s="1078">
        <f t="shared" si="33"/>
        <v>18446.300000000003</v>
      </c>
      <c r="Z96" s="1078">
        <f t="shared" si="33"/>
        <v>18612.400000000005</v>
      </c>
      <c r="AA96" s="1078">
        <f t="shared" si="33"/>
        <v>18774.500000000004</v>
      </c>
      <c r="AB96" s="1078">
        <f t="shared" si="33"/>
        <v>18946.900000000005</v>
      </c>
      <c r="AC96" s="453">
        <f t="shared" si="33"/>
        <v>19117.900000000005</v>
      </c>
    </row>
    <row r="97" spans="3:30" x14ac:dyDescent="0.3">
      <c r="C97" s="1064"/>
      <c r="D97" s="284" t="s">
        <v>574</v>
      </c>
      <c r="E97" s="541"/>
      <c r="F97" s="572"/>
      <c r="G97" s="541"/>
      <c r="H97" s="717"/>
      <c r="I97" s="717"/>
      <c r="J97" s="717"/>
      <c r="K97" s="717"/>
      <c r="L97" s="717"/>
      <c r="M97" s="717">
        <v>1874</v>
      </c>
      <c r="N97" s="717">
        <v>2307</v>
      </c>
      <c r="O97" s="717">
        <v>2443</v>
      </c>
      <c r="P97" s="717">
        <v>2460</v>
      </c>
      <c r="Q97" s="717">
        <v>2329.5</v>
      </c>
      <c r="R97" s="717">
        <v>2420.1999999999998</v>
      </c>
      <c r="S97" s="717">
        <v>2468.6999999999998</v>
      </c>
      <c r="T97" s="1084">
        <f t="shared" si="33"/>
        <v>2486.6999999999998</v>
      </c>
      <c r="U97" s="721">
        <f t="shared" si="33"/>
        <v>2482.1999999999998</v>
      </c>
      <c r="V97" s="721">
        <f t="shared" si="33"/>
        <v>2468.8000000000002</v>
      </c>
      <c r="W97" s="721">
        <f t="shared" si="33"/>
        <v>2453.8000000000002</v>
      </c>
      <c r="X97" s="721">
        <f t="shared" si="33"/>
        <v>2440.6999999999998</v>
      </c>
      <c r="Y97" s="721">
        <f t="shared" si="33"/>
        <v>2429.4</v>
      </c>
      <c r="Z97" s="721">
        <f t="shared" si="33"/>
        <v>2426.5</v>
      </c>
      <c r="AA97" s="721">
        <f t="shared" si="33"/>
        <v>2418</v>
      </c>
      <c r="AB97" s="721">
        <f t="shared" si="33"/>
        <v>2431.3000000000002</v>
      </c>
      <c r="AC97" s="722">
        <f t="shared" si="33"/>
        <v>2440.1</v>
      </c>
      <c r="AD97" s="1064"/>
    </row>
    <row r="98" spans="3:30" ht="14.7" customHeight="1" x14ac:dyDescent="0.3">
      <c r="C98" s="1064"/>
      <c r="D98" s="1062"/>
      <c r="E98" s="1063"/>
      <c r="F98" s="1063"/>
      <c r="G98" s="1063"/>
      <c r="H98" s="1077"/>
      <c r="I98" s="1077"/>
      <c r="J98" s="1077"/>
      <c r="K98" s="1077"/>
      <c r="L98" s="1077"/>
      <c r="M98" s="1077"/>
      <c r="N98" s="1077"/>
      <c r="O98" s="1077"/>
      <c r="P98" s="1077"/>
      <c r="Q98" s="1077"/>
      <c r="R98" s="1077"/>
      <c r="S98" s="1077"/>
      <c r="T98" s="1078"/>
      <c r="U98" s="1078"/>
      <c r="V98" s="1078"/>
      <c r="W98" s="1078"/>
      <c r="X98" s="1078"/>
      <c r="Y98" s="1078"/>
      <c r="Z98" s="1078"/>
      <c r="AA98" s="1078"/>
      <c r="AB98" s="1078"/>
      <c r="AC98" s="1078"/>
      <c r="AD98" s="1064"/>
    </row>
    <row r="99" spans="3:30" x14ac:dyDescent="0.3">
      <c r="C99" s="1064"/>
      <c r="D99" s="1244" t="s">
        <v>975</v>
      </c>
      <c r="E99" s="1248"/>
      <c r="F99" s="1147">
        <v>2019</v>
      </c>
      <c r="G99" s="1148"/>
      <c r="H99" s="1155"/>
      <c r="I99" s="1147">
        <v>2020</v>
      </c>
      <c r="J99" s="1148"/>
      <c r="K99" s="1148"/>
      <c r="L99" s="1155"/>
      <c r="M99" s="1147">
        <v>2021</v>
      </c>
      <c r="N99" s="1148"/>
      <c r="O99" s="1148"/>
      <c r="P99" s="1155"/>
      <c r="Q99" s="1181">
        <v>2022</v>
      </c>
      <c r="R99" s="1182"/>
      <c r="S99" s="252"/>
      <c r="T99" s="287"/>
      <c r="U99" s="1178">
        <v>2023</v>
      </c>
      <c r="V99" s="1179"/>
      <c r="W99" s="1179"/>
      <c r="X99" s="1180"/>
      <c r="Y99" s="1178">
        <v>2024</v>
      </c>
      <c r="Z99" s="1179"/>
      <c r="AA99" s="1179"/>
      <c r="AB99" s="1180"/>
      <c r="AC99" s="258">
        <v>2025</v>
      </c>
      <c r="AD99" s="1064"/>
    </row>
    <row r="100" spans="3:30" x14ac:dyDescent="0.3">
      <c r="C100" s="1064"/>
      <c r="D100" s="1249"/>
      <c r="E100" s="1250"/>
      <c r="F100" s="1045" t="s">
        <v>329</v>
      </c>
      <c r="G100" s="1046" t="s">
        <v>238</v>
      </c>
      <c r="H100" s="1047" t="s">
        <v>327</v>
      </c>
      <c r="I100" s="1045" t="s">
        <v>328</v>
      </c>
      <c r="J100" s="1046" t="s">
        <v>329</v>
      </c>
      <c r="K100" s="1046" t="s">
        <v>238</v>
      </c>
      <c r="L100" s="1047" t="s">
        <v>327</v>
      </c>
      <c r="M100" s="1045" t="s">
        <v>328</v>
      </c>
      <c r="N100" s="1046" t="s">
        <v>329</v>
      </c>
      <c r="O100" s="1046" t="s">
        <v>238</v>
      </c>
      <c r="P100" s="1046" t="s">
        <v>327</v>
      </c>
      <c r="Q100" s="1045" t="s">
        <v>328</v>
      </c>
      <c r="R100" s="1046" t="s">
        <v>329</v>
      </c>
      <c r="S100" s="1047" t="s">
        <v>238</v>
      </c>
      <c r="T100" s="368" t="s">
        <v>327</v>
      </c>
      <c r="U100" s="1049" t="s">
        <v>328</v>
      </c>
      <c r="V100" s="1081" t="s">
        <v>329</v>
      </c>
      <c r="W100" s="1081" t="s">
        <v>238</v>
      </c>
      <c r="X100" s="368" t="s">
        <v>327</v>
      </c>
      <c r="Y100" s="1049" t="s">
        <v>328</v>
      </c>
      <c r="Z100" s="1082" t="s">
        <v>329</v>
      </c>
      <c r="AA100" s="1081" t="s">
        <v>238</v>
      </c>
      <c r="AB100" s="1081" t="s">
        <v>327</v>
      </c>
      <c r="AC100" s="383" t="s">
        <v>328</v>
      </c>
      <c r="AD100" s="1064"/>
    </row>
    <row r="101" spans="3:30" ht="27.6" customHeight="1" x14ac:dyDescent="0.3">
      <c r="C101" s="1064"/>
      <c r="D101" s="841" t="s">
        <v>565</v>
      </c>
      <c r="E101" s="795"/>
      <c r="F101" s="1091"/>
      <c r="G101" s="1079">
        <f t="shared" ref="G101:AC101" si="34">(G149/F149)^4-1</f>
        <v>2.4144142736737928E-2</v>
      </c>
      <c r="H101" s="1079">
        <f t="shared" si="34"/>
        <v>4.0777274579272937E-2</v>
      </c>
      <c r="I101" s="1079">
        <f t="shared" si="34"/>
        <v>3.3330034507516704E-2</v>
      </c>
      <c r="J101" s="1079">
        <f t="shared" si="34"/>
        <v>-0.21716468092881858</v>
      </c>
      <c r="K101" s="1079">
        <f t="shared" si="34"/>
        <v>0.20562129727556155</v>
      </c>
      <c r="L101" s="1079">
        <f t="shared" si="34"/>
        <v>5.8273923331922273E-2</v>
      </c>
      <c r="M101" s="1079">
        <f t="shared" si="34"/>
        <v>3.7466881601865065E-2</v>
      </c>
      <c r="N101" s="1079">
        <f t="shared" si="34"/>
        <v>0.13910216712016599</v>
      </c>
      <c r="O101" s="1079">
        <f t="shared" si="34"/>
        <v>3.754197537140791E-2</v>
      </c>
      <c r="P101" s="1079">
        <f t="shared" si="34"/>
        <v>4.7535535397144058E-2</v>
      </c>
      <c r="Q101" s="1079">
        <f t="shared" si="34"/>
        <v>0.15535820996076533</v>
      </c>
      <c r="R101" s="1079">
        <f t="shared" si="34"/>
        <v>6.8455929710528718E-2</v>
      </c>
      <c r="S101" s="1092">
        <f t="shared" si="34"/>
        <v>5.9770607688123478E-2</v>
      </c>
      <c r="T101" s="1080">
        <f t="shared" si="34"/>
        <v>5.2846258929502676E-2</v>
      </c>
      <c r="U101" s="1080">
        <f t="shared" si="34"/>
        <v>5.1725419677194573E-2</v>
      </c>
      <c r="V101" s="1080">
        <f t="shared" si="34"/>
        <v>5.1373068248236953E-2</v>
      </c>
      <c r="W101" s="1080">
        <f t="shared" si="34"/>
        <v>4.9857020221277359E-2</v>
      </c>
      <c r="X101" s="1080">
        <f t="shared" si="34"/>
        <v>4.4889613849084853E-2</v>
      </c>
      <c r="Y101" s="1080">
        <f t="shared" si="34"/>
        <v>4.4027708207090566E-2</v>
      </c>
      <c r="Z101" s="1080">
        <f t="shared" si="34"/>
        <v>4.0023048411936823E-2</v>
      </c>
      <c r="AA101" s="1080">
        <f t="shared" si="34"/>
        <v>4.0648221765027026E-2</v>
      </c>
      <c r="AB101" s="1080">
        <f t="shared" si="34"/>
        <v>4.0833231558606631E-2</v>
      </c>
      <c r="AC101" s="1086">
        <f t="shared" si="34"/>
        <v>3.8919025649611916E-2</v>
      </c>
      <c r="AD101" s="1064"/>
    </row>
    <row r="102" spans="3:30" ht="27.6" customHeight="1" x14ac:dyDescent="0.3">
      <c r="C102" s="1064"/>
      <c r="D102" s="281" t="s">
        <v>566</v>
      </c>
      <c r="E102" s="537"/>
      <c r="F102" s="1093"/>
      <c r="G102" s="1090">
        <f t="shared" ref="G102:AC102" si="35">(G150/F150)^4-1</f>
        <v>1.579093801452558E-2</v>
      </c>
      <c r="H102" s="1090">
        <f t="shared" si="35"/>
        <v>4.8632484150745503E-2</v>
      </c>
      <c r="I102" s="1090">
        <f t="shared" si="35"/>
        <v>4.4710501521934454E-2</v>
      </c>
      <c r="J102" s="1090">
        <f t="shared" si="35"/>
        <v>-0.23507951407502192</v>
      </c>
      <c r="K102" s="1090">
        <f t="shared" si="35"/>
        <v>0.20982996685370625</v>
      </c>
      <c r="L102" s="1090">
        <f t="shared" si="35"/>
        <v>8.96437835544448E-2</v>
      </c>
      <c r="M102" s="1090">
        <f t="shared" si="35"/>
        <v>6.7075555891954686E-2</v>
      </c>
      <c r="N102" s="1090">
        <f t="shared" si="35"/>
        <v>0.10632128070792568</v>
      </c>
      <c r="O102" s="1090">
        <f t="shared" si="35"/>
        <v>9.343403174306486E-2</v>
      </c>
      <c r="P102" s="1090">
        <f t="shared" si="35"/>
        <v>6.5015914671644248E-2</v>
      </c>
      <c r="Q102" s="1090">
        <f t="shared" si="35"/>
        <v>0.28059642266880269</v>
      </c>
      <c r="R102" s="1090">
        <f t="shared" si="35"/>
        <v>6.5844566582553776E-2</v>
      </c>
      <c r="S102" s="1094">
        <f t="shared" si="35"/>
        <v>5.3974463897699998E-2</v>
      </c>
      <c r="T102" s="1085">
        <f t="shared" si="35"/>
        <v>4.4211339563524854E-2</v>
      </c>
      <c r="U102" s="1085">
        <f t="shared" si="35"/>
        <v>4.1419955413473764E-2</v>
      </c>
      <c r="V102" s="1085">
        <f t="shared" si="35"/>
        <v>4.0531998996350627E-2</v>
      </c>
      <c r="W102" s="1085">
        <f t="shared" si="35"/>
        <v>3.8362309158184615E-2</v>
      </c>
      <c r="X102" s="1085">
        <f t="shared" si="35"/>
        <v>3.1938420856865823E-2</v>
      </c>
      <c r="Y102" s="1085">
        <f t="shared" si="35"/>
        <v>3.3755196450719005E-2</v>
      </c>
      <c r="Z102" s="1085">
        <f t="shared" si="35"/>
        <v>3.3438521723601733E-2</v>
      </c>
      <c r="AA102" s="1085">
        <f t="shared" si="35"/>
        <v>3.4010126596568435E-2</v>
      </c>
      <c r="AB102" s="1085">
        <f t="shared" si="35"/>
        <v>3.3420396982317691E-2</v>
      </c>
      <c r="AC102" s="1087">
        <f t="shared" si="35"/>
        <v>3.2542741080821891E-2</v>
      </c>
      <c r="AD102" s="1064"/>
    </row>
    <row r="103" spans="3:30" x14ac:dyDescent="0.3">
      <c r="C103" s="1064"/>
      <c r="D103" s="281" t="s">
        <v>974</v>
      </c>
      <c r="E103" s="537"/>
      <c r="F103" s="1093"/>
      <c r="G103" s="1090">
        <f t="shared" ref="G103:AC103" si="36">(G151/F151)^4-1</f>
        <v>3.8650925005419889E-2</v>
      </c>
      <c r="H103" s="1090">
        <f t="shared" si="36"/>
        <v>2.742647160851952E-2</v>
      </c>
      <c r="I103" s="1090">
        <f t="shared" si="36"/>
        <v>1.3957292123351062E-2</v>
      </c>
      <c r="J103" s="1090">
        <f t="shared" si="36"/>
        <v>-0.18535013183116267</v>
      </c>
      <c r="K103" s="1090">
        <f t="shared" si="36"/>
        <v>0.19846141124429506</v>
      </c>
      <c r="L103" s="1090">
        <f t="shared" si="36"/>
        <v>6.1682883741018824E-3</v>
      </c>
      <c r="M103" s="1090">
        <f t="shared" si="36"/>
        <v>-1.273996609033845E-2</v>
      </c>
      <c r="N103" s="1090">
        <f t="shared" si="36"/>
        <v>0.19924785079059104</v>
      </c>
      <c r="O103" s="1090">
        <f t="shared" si="36"/>
        <v>-5.4797292719977575E-2</v>
      </c>
      <c r="P103" s="1090">
        <f t="shared" si="36"/>
        <v>1.6458498468953531E-2</v>
      </c>
      <c r="Q103" s="1090">
        <f t="shared" si="36"/>
        <v>-4.9827175781837041E-2</v>
      </c>
      <c r="R103" s="1090">
        <f t="shared" si="36"/>
        <v>7.3620073213604087E-2</v>
      </c>
      <c r="S103" s="1094">
        <f t="shared" si="36"/>
        <v>7.1250723638111468E-2</v>
      </c>
      <c r="T103" s="1085">
        <f t="shared" si="36"/>
        <v>6.9931332738486951E-2</v>
      </c>
      <c r="U103" s="1085">
        <f t="shared" si="36"/>
        <v>7.2027487180982286E-2</v>
      </c>
      <c r="V103" s="1085">
        <f t="shared" si="36"/>
        <v>7.2587144688120997E-2</v>
      </c>
      <c r="W103" s="1085">
        <f t="shared" si="36"/>
        <v>7.2194626687732466E-2</v>
      </c>
      <c r="X103" s="1085">
        <f t="shared" si="36"/>
        <v>6.9894767241385658E-2</v>
      </c>
      <c r="Y103" s="1085">
        <f t="shared" si="36"/>
        <v>6.3626463494197871E-2</v>
      </c>
      <c r="Z103" s="1085">
        <f t="shared" si="36"/>
        <v>5.2448447071261617E-2</v>
      </c>
      <c r="AA103" s="1085">
        <f t="shared" si="36"/>
        <v>5.3118144004384416E-2</v>
      </c>
      <c r="AB103" s="1085">
        <f t="shared" si="36"/>
        <v>5.470574456719568E-2</v>
      </c>
      <c r="AC103" s="1087">
        <f t="shared" si="36"/>
        <v>5.0778219446022677E-2</v>
      </c>
      <c r="AD103" s="1064"/>
    </row>
    <row r="104" spans="3:30" x14ac:dyDescent="0.3">
      <c r="C104" s="1064"/>
      <c r="D104" s="283" t="s">
        <v>567</v>
      </c>
      <c r="E104" s="537"/>
      <c r="F104" s="1093"/>
      <c r="G104" s="1090" t="e">
        <f t="shared" ref="G104:AC104" si="37">(G152/F152)^4-1</f>
        <v>#DIV/0!</v>
      </c>
      <c r="H104" s="1090" t="e">
        <f t="shared" si="37"/>
        <v>#DIV/0!</v>
      </c>
      <c r="I104" s="1090" t="e">
        <f t="shared" si="37"/>
        <v>#DIV/0!</v>
      </c>
      <c r="J104" s="1090" t="e">
        <f t="shared" si="37"/>
        <v>#DIV/0!</v>
      </c>
      <c r="K104" s="1090" t="e">
        <f t="shared" si="37"/>
        <v>#DIV/0!</v>
      </c>
      <c r="L104" s="1090" t="e">
        <f t="shared" si="37"/>
        <v>#DIV/0!</v>
      </c>
      <c r="M104" s="1090" t="e">
        <f t="shared" si="37"/>
        <v>#DIV/0!</v>
      </c>
      <c r="N104" s="1090">
        <f t="shared" si="37"/>
        <v>0.14268477373131994</v>
      </c>
      <c r="O104" s="1090">
        <f t="shared" si="37"/>
        <v>7.2091398238030235E-2</v>
      </c>
      <c r="P104" s="1090">
        <f t="shared" si="37"/>
        <v>5.9947465932440158E-2</v>
      </c>
      <c r="Q104" s="1090">
        <f t="shared" si="37"/>
        <v>0.16774701748800824</v>
      </c>
      <c r="R104" s="1090">
        <f t="shared" si="37"/>
        <v>7.4439645742522265E-2</v>
      </c>
      <c r="S104" s="1094">
        <f t="shared" si="37"/>
        <v>6.2201916861036377E-2</v>
      </c>
      <c r="T104" s="1085">
        <f t="shared" si="37"/>
        <v>5.6046888906577719E-2</v>
      </c>
      <c r="U104" s="1085">
        <f t="shared" si="37"/>
        <v>4.7530477878284128E-2</v>
      </c>
      <c r="V104" s="1085">
        <f t="shared" si="37"/>
        <v>4.6060090071532001E-2</v>
      </c>
      <c r="W104" s="1085">
        <f t="shared" si="37"/>
        <v>4.401108183643121E-2</v>
      </c>
      <c r="X104" s="1085">
        <f t="shared" si="37"/>
        <v>4.0840324363817126E-2</v>
      </c>
      <c r="Y104" s="1085">
        <f t="shared" si="37"/>
        <v>3.9570721345695947E-2</v>
      </c>
      <c r="Z104" s="1085">
        <f t="shared" si="37"/>
        <v>3.6507478038702246E-2</v>
      </c>
      <c r="AA104" s="1085">
        <f t="shared" si="37"/>
        <v>3.5294744529592803E-2</v>
      </c>
      <c r="AB104" s="1085">
        <f t="shared" si="37"/>
        <v>3.7239704560918296E-2</v>
      </c>
      <c r="AC104" s="1087">
        <f t="shared" si="37"/>
        <v>3.6592567629379014E-2</v>
      </c>
      <c r="AD104" s="1064"/>
    </row>
    <row r="105" spans="3:30" s="1064" customFormat="1" x14ac:dyDescent="0.3">
      <c r="D105" s="284" t="s">
        <v>574</v>
      </c>
      <c r="E105" s="541"/>
      <c r="F105" s="1095"/>
      <c r="G105" s="1096" t="e">
        <f t="shared" ref="G105:AC105" si="38">(G153/F153)^4-1</f>
        <v>#DIV/0!</v>
      </c>
      <c r="H105" s="1096" t="e">
        <f t="shared" si="38"/>
        <v>#DIV/0!</v>
      </c>
      <c r="I105" s="1096" t="e">
        <f t="shared" si="38"/>
        <v>#DIV/0!</v>
      </c>
      <c r="J105" s="1096" t="e">
        <f t="shared" si="38"/>
        <v>#DIV/0!</v>
      </c>
      <c r="K105" s="1096" t="e">
        <f t="shared" si="38"/>
        <v>#DIV/0!</v>
      </c>
      <c r="L105" s="1096" t="e">
        <f t="shared" si="38"/>
        <v>#DIV/0!</v>
      </c>
      <c r="M105" s="1096" t="e">
        <f t="shared" si="38"/>
        <v>#DIV/0!</v>
      </c>
      <c r="N105" s="1096">
        <f t="shared" si="38"/>
        <v>1.2967410457519697</v>
      </c>
      <c r="O105" s="1096">
        <f t="shared" si="38"/>
        <v>0.25748695896794094</v>
      </c>
      <c r="P105" s="1096">
        <f t="shared" si="38"/>
        <v>2.8126517208340474E-2</v>
      </c>
      <c r="Q105" s="1096">
        <f t="shared" si="38"/>
        <v>-0.1958993175199919</v>
      </c>
      <c r="R105" s="1096">
        <f t="shared" si="38"/>
        <v>0.16507576172685345</v>
      </c>
      <c r="S105" s="1097">
        <f t="shared" si="38"/>
        <v>8.2600545936435843E-2</v>
      </c>
      <c r="T105" s="1088">
        <f t="shared" si="38"/>
        <v>2.9485678166663476E-2</v>
      </c>
      <c r="U105" s="1088">
        <f t="shared" si="38"/>
        <v>-7.2188840567785073E-3</v>
      </c>
      <c r="V105" s="1088">
        <f t="shared" si="38"/>
        <v>-2.1419517218068784E-2</v>
      </c>
      <c r="W105" s="1088">
        <f t="shared" si="38"/>
        <v>-2.4082707067162423E-2</v>
      </c>
      <c r="X105" s="1088">
        <f t="shared" si="38"/>
        <v>-2.1184233809863007E-2</v>
      </c>
      <c r="Y105" s="1088">
        <f t="shared" si="38"/>
        <v>-1.8391062400676117E-2</v>
      </c>
      <c r="Z105" s="1088">
        <f t="shared" si="38"/>
        <v>-4.766298659665491E-3</v>
      </c>
      <c r="AA105" s="1088">
        <f t="shared" si="38"/>
        <v>-1.3938497616347689E-2</v>
      </c>
      <c r="AB105" s="1088">
        <f t="shared" si="38"/>
        <v>2.2183848121503535E-2</v>
      </c>
      <c r="AC105" s="1089">
        <f t="shared" si="38"/>
        <v>1.4556644261568774E-2</v>
      </c>
    </row>
    <row r="106" spans="3:30" s="1064" customFormat="1" x14ac:dyDescent="0.3">
      <c r="D106" s="1062"/>
      <c r="E106" s="1063"/>
      <c r="F106"/>
      <c r="G106" s="1063"/>
      <c r="H106" s="1077"/>
      <c r="I106" s="1077"/>
      <c r="J106" s="1077"/>
      <c r="K106" s="1077"/>
      <c r="L106" s="1077"/>
      <c r="M106" s="1077"/>
      <c r="N106" s="1077"/>
      <c r="O106" s="1077"/>
      <c r="P106" s="1077"/>
      <c r="Q106" s="1077"/>
      <c r="R106" s="1077"/>
      <c r="S106" s="1077"/>
      <c r="T106" s="1078"/>
      <c r="U106" s="1078"/>
      <c r="V106" s="1078"/>
      <c r="W106" s="1078"/>
      <c r="X106" s="1078"/>
      <c r="Y106" s="1078"/>
      <c r="Z106" s="1078"/>
      <c r="AA106" s="1078"/>
      <c r="AB106" s="1078"/>
      <c r="AC106" s="1078"/>
    </row>
    <row r="107" spans="3:30" s="1064" customFormat="1" x14ac:dyDescent="0.3">
      <c r="D107" s="1062"/>
      <c r="E107" s="1063"/>
      <c r="F107" s="1063"/>
      <c r="G107" s="1063"/>
      <c r="H107" s="1077"/>
      <c r="I107" s="1077"/>
      <c r="J107" s="1077"/>
      <c r="K107" s="1077"/>
      <c r="L107" s="1077"/>
      <c r="M107" s="1077"/>
      <c r="N107" s="1077"/>
      <c r="O107" s="1077"/>
      <c r="P107" s="1077"/>
      <c r="Q107" s="1077"/>
      <c r="R107" s="1077"/>
      <c r="S107" s="1077"/>
      <c r="T107" s="1078"/>
      <c r="U107" s="1078"/>
      <c r="V107" s="1078"/>
      <c r="W107" s="1078"/>
      <c r="X107" s="1078"/>
      <c r="Y107" s="1078"/>
      <c r="Z107" s="1078"/>
      <c r="AA107" s="1078"/>
      <c r="AB107" s="1078"/>
      <c r="AC107" s="1078"/>
    </row>
    <row r="108" spans="3:30" s="1064" customFormat="1" x14ac:dyDescent="0.3">
      <c r="C108"/>
      <c r="D108" s="843"/>
      <c r="E108" s="547"/>
      <c r="F108" s="547"/>
      <c r="G108" s="547"/>
      <c r="H108" s="424"/>
      <c r="I108" s="424"/>
      <c r="J108" s="424"/>
      <c r="K108" s="424"/>
      <c r="L108" s="424"/>
      <c r="M108" s="424"/>
      <c r="N108" s="424"/>
      <c r="O108" s="424"/>
      <c r="P108" s="424"/>
      <c r="Q108" s="424"/>
      <c r="R108" s="424"/>
      <c r="S108" s="424"/>
      <c r="T108" s="424"/>
      <c r="U108" s="424"/>
      <c r="V108" s="424"/>
      <c r="W108" s="424"/>
      <c r="X108" s="424"/>
      <c r="Y108" s="424"/>
      <c r="Z108" s="424"/>
      <c r="AA108" s="424"/>
      <c r="AB108" s="424"/>
      <c r="AC108" s="424"/>
    </row>
    <row r="109" spans="3:30" s="1064" customFormat="1" x14ac:dyDescent="0.3">
      <c r="C109"/>
      <c r="D109" s="179"/>
      <c r="E109"/>
      <c r="F109"/>
      <c r="G109"/>
      <c r="H109"/>
      <c r="I109"/>
      <c r="J109"/>
      <c r="K109"/>
      <c r="L109"/>
      <c r="M109"/>
      <c r="N109"/>
      <c r="O109"/>
      <c r="P109"/>
      <c r="Q109"/>
      <c r="R109"/>
      <c r="S109"/>
      <c r="T109"/>
      <c r="U109"/>
      <c r="V109"/>
      <c r="W109"/>
      <c r="X109"/>
      <c r="Y109"/>
      <c r="Z109"/>
      <c r="AA109"/>
      <c r="AB109"/>
      <c r="AC109"/>
    </row>
    <row r="110" spans="3:30" s="1064" customFormat="1" x14ac:dyDescent="0.3">
      <c r="C110"/>
      <c r="D110" s="1244" t="s">
        <v>575</v>
      </c>
      <c r="E110" s="1248"/>
      <c r="F110" s="1147">
        <v>2019</v>
      </c>
      <c r="G110" s="1148"/>
      <c r="H110" s="1155"/>
      <c r="I110" s="1148">
        <v>2020</v>
      </c>
      <c r="J110" s="1148"/>
      <c r="K110" s="1148"/>
      <c r="L110" s="1155"/>
      <c r="M110" s="1147">
        <v>2021</v>
      </c>
      <c r="N110" s="1148"/>
      <c r="O110" s="1148"/>
      <c r="P110" s="1148"/>
      <c r="Q110" s="1181">
        <v>2022</v>
      </c>
      <c r="R110" s="1182"/>
      <c r="S110" s="252"/>
      <c r="T110" s="287"/>
      <c r="U110" s="1178">
        <v>2023</v>
      </c>
      <c r="V110" s="1179"/>
      <c r="W110" s="1179"/>
      <c r="X110" s="1180"/>
      <c r="Y110" s="1178">
        <v>2024</v>
      </c>
      <c r="Z110" s="1179"/>
      <c r="AA110" s="1179"/>
      <c r="AB110" s="1179"/>
      <c r="AC110" s="258">
        <v>2025</v>
      </c>
    </row>
    <row r="111" spans="3:30" s="1064" customFormat="1" x14ac:dyDescent="0.3">
      <c r="C111"/>
      <c r="D111" s="1266"/>
      <c r="E111" s="1267"/>
      <c r="F111" s="152" t="s">
        <v>329</v>
      </c>
      <c r="G111" s="151" t="s">
        <v>238</v>
      </c>
      <c r="H111" s="203" t="s">
        <v>327</v>
      </c>
      <c r="I111" s="151" t="s">
        <v>328</v>
      </c>
      <c r="J111" s="151" t="s">
        <v>329</v>
      </c>
      <c r="K111" s="151" t="s">
        <v>238</v>
      </c>
      <c r="L111" s="203" t="s">
        <v>327</v>
      </c>
      <c r="M111" s="152" t="s">
        <v>328</v>
      </c>
      <c r="N111" s="151" t="s">
        <v>329</v>
      </c>
      <c r="O111" s="151" t="s">
        <v>238</v>
      </c>
      <c r="P111" s="151" t="s">
        <v>327</v>
      </c>
      <c r="Q111" s="152" t="s">
        <v>328</v>
      </c>
      <c r="R111" s="151" t="s">
        <v>329</v>
      </c>
      <c r="S111" s="203" t="s">
        <v>238</v>
      </c>
      <c r="T111" s="368" t="s">
        <v>327</v>
      </c>
      <c r="U111" s="273" t="s">
        <v>328</v>
      </c>
      <c r="V111" s="274" t="s">
        <v>329</v>
      </c>
      <c r="W111" s="274" t="s">
        <v>238</v>
      </c>
      <c r="X111" s="275" t="s">
        <v>327</v>
      </c>
      <c r="Y111" s="273" t="s">
        <v>328</v>
      </c>
      <c r="Z111" s="269" t="s">
        <v>329</v>
      </c>
      <c r="AA111" s="274" t="s">
        <v>238</v>
      </c>
      <c r="AB111" s="274" t="s">
        <v>327</v>
      </c>
      <c r="AC111" s="277" t="s">
        <v>328</v>
      </c>
    </row>
    <row r="112" spans="3:30" s="1064" customFormat="1" x14ac:dyDescent="0.3">
      <c r="C112"/>
      <c r="D112" s="1259" t="s">
        <v>576</v>
      </c>
      <c r="E112" s="1260"/>
      <c r="F112" s="286"/>
      <c r="G112" s="282"/>
      <c r="H112" s="282"/>
      <c r="I112" s="282"/>
      <c r="J112" s="282"/>
      <c r="K112" s="282"/>
      <c r="L112" s="282"/>
      <c r="M112" s="282"/>
      <c r="N112" s="282"/>
      <c r="O112" s="282"/>
      <c r="P112" s="282"/>
      <c r="Q112" s="282"/>
      <c r="R112" s="282"/>
      <c r="S112" s="638"/>
      <c r="T112" s="242"/>
      <c r="U112" s="242"/>
      <c r="V112" s="242"/>
      <c r="W112" s="242"/>
      <c r="X112" s="242"/>
      <c r="Y112" s="242"/>
      <c r="Z112" s="242"/>
      <c r="AA112" s="242"/>
      <c r="AB112" s="242"/>
      <c r="AC112" s="243"/>
    </row>
    <row r="113" spans="3:32" s="1064" customFormat="1" x14ac:dyDescent="0.3">
      <c r="C113"/>
      <c r="D113" s="513" t="s">
        <v>544</v>
      </c>
      <c r="E113"/>
      <c r="F113" s="719"/>
      <c r="G113" s="164"/>
      <c r="H113" s="164">
        <f t="shared" ref="H113:S113" si="39">H10/H120</f>
        <v>0.11520931070611083</v>
      </c>
      <c r="I113" s="164">
        <f t="shared" si="39"/>
        <v>0.11566144134388082</v>
      </c>
      <c r="J113" s="164">
        <f t="shared" si="39"/>
        <v>0.11281835698020669</v>
      </c>
      <c r="K113" s="164">
        <f t="shared" si="39"/>
        <v>0.11518678305073408</v>
      </c>
      <c r="L113" s="164">
        <f t="shared" si="39"/>
        <v>0.11990448353254346</v>
      </c>
      <c r="M113" s="164">
        <f t="shared" si="39"/>
        <v>0.12789328127541891</v>
      </c>
      <c r="N113" s="164">
        <f t="shared" si="39"/>
        <v>0.13083976407289996</v>
      </c>
      <c r="O113" s="164">
        <f t="shared" si="39"/>
        <v>0.13349080813015168</v>
      </c>
      <c r="P113" s="164">
        <f t="shared" si="39"/>
        <v>0.13507699001667917</v>
      </c>
      <c r="Q113" s="164">
        <f t="shared" si="39"/>
        <v>0.15293907130714859</v>
      </c>
      <c r="R113" s="164">
        <f t="shared" si="39"/>
        <v>0.15280309534169892</v>
      </c>
      <c r="S113" s="698">
        <f t="shared" si="39"/>
        <v>0.15269234107809379</v>
      </c>
      <c r="T113" s="828">
        <f>S113</f>
        <v>0.15269234107809379</v>
      </c>
      <c r="U113" s="828">
        <f>T113+U114</f>
        <v>0.1326923410780938</v>
      </c>
      <c r="V113" s="828">
        <f t="shared" ref="V113:AC113" si="40">U113+V114</f>
        <v>0.1326923410780938</v>
      </c>
      <c r="W113" s="828">
        <f t="shared" si="40"/>
        <v>0.1326923410780938</v>
      </c>
      <c r="X113" s="828">
        <f t="shared" si="40"/>
        <v>0.1326923410780938</v>
      </c>
      <c r="Y113" s="828">
        <f t="shared" si="40"/>
        <v>0.1326923410780938</v>
      </c>
      <c r="Z113" s="828">
        <f t="shared" si="40"/>
        <v>0.1326923410780938</v>
      </c>
      <c r="AA113" s="828">
        <f t="shared" si="40"/>
        <v>0.1326923410780938</v>
      </c>
      <c r="AB113" s="828">
        <f t="shared" si="40"/>
        <v>0.1326923410780938</v>
      </c>
      <c r="AC113" s="828">
        <f t="shared" si="40"/>
        <v>0.1326923410780938</v>
      </c>
    </row>
    <row r="114" spans="3:32" s="1064" customFormat="1" x14ac:dyDescent="0.3">
      <c r="D114" s="513" t="s">
        <v>968</v>
      </c>
      <c r="F114" s="719"/>
      <c r="G114" s="164"/>
      <c r="H114" s="164"/>
      <c r="I114" s="164"/>
      <c r="J114" s="164"/>
      <c r="K114" s="164"/>
      <c r="L114" s="164"/>
      <c r="M114" s="164"/>
      <c r="N114" s="164"/>
      <c r="O114" s="164"/>
      <c r="P114" s="164"/>
      <c r="Q114" s="164"/>
      <c r="R114" s="164"/>
      <c r="S114" s="698"/>
      <c r="T114" s="828"/>
      <c r="U114" s="1104">
        <v>-0.02</v>
      </c>
      <c r="V114" s="828"/>
      <c r="W114" s="828"/>
      <c r="X114" s="828"/>
      <c r="Y114" s="828"/>
      <c r="Z114" s="828"/>
      <c r="AA114" s="828"/>
      <c r="AB114" s="828"/>
      <c r="AC114" s="828"/>
    </row>
    <row r="115" spans="3:32" s="1064" customFormat="1" x14ac:dyDescent="0.3">
      <c r="C115"/>
      <c r="D115" s="513" t="s">
        <v>545</v>
      </c>
      <c r="E115"/>
      <c r="F115" s="719"/>
      <c r="G115" s="164"/>
      <c r="H115" s="164">
        <f t="shared" ref="H115:S115" si="41">H13/H125</f>
        <v>0.15062717402761674</v>
      </c>
      <c r="I115" s="164">
        <f t="shared" si="41"/>
        <v>0.15103642270684339</v>
      </c>
      <c r="J115" s="164">
        <f t="shared" si="41"/>
        <v>0.15387605940440088</v>
      </c>
      <c r="K115" s="164">
        <f t="shared" si="41"/>
        <v>0.15183673469387757</v>
      </c>
      <c r="L115" s="164">
        <f t="shared" si="41"/>
        <v>0.1496195679926467</v>
      </c>
      <c r="M115" s="164">
        <f t="shared" si="41"/>
        <v>0.14955735161391731</v>
      </c>
      <c r="N115" s="164">
        <f t="shared" si="41"/>
        <v>0.14822588114733906</v>
      </c>
      <c r="O115" s="164">
        <f t="shared" si="41"/>
        <v>0.14724543781628582</v>
      </c>
      <c r="P115" s="164">
        <f t="shared" si="41"/>
        <v>0.14666765802020501</v>
      </c>
      <c r="Q115" s="164">
        <f t="shared" si="41"/>
        <v>0.1478248151161409</v>
      </c>
      <c r="R115" s="164">
        <f t="shared" si="41"/>
        <v>0.14783370514545832</v>
      </c>
      <c r="S115" s="698">
        <f t="shared" si="41"/>
        <v>0.1477836887306056</v>
      </c>
      <c r="T115" s="828">
        <f t="shared" ref="T115:AC115" si="42">S115</f>
        <v>0.1477836887306056</v>
      </c>
      <c r="U115" s="828">
        <f t="shared" si="42"/>
        <v>0.1477836887306056</v>
      </c>
      <c r="V115" s="828">
        <f t="shared" si="42"/>
        <v>0.1477836887306056</v>
      </c>
      <c r="W115" s="828">
        <f t="shared" si="42"/>
        <v>0.1477836887306056</v>
      </c>
      <c r="X115" s="828">
        <f t="shared" si="42"/>
        <v>0.1477836887306056</v>
      </c>
      <c r="Y115" s="828">
        <f t="shared" si="42"/>
        <v>0.1477836887306056</v>
      </c>
      <c r="Z115" s="828">
        <f t="shared" si="42"/>
        <v>0.1477836887306056</v>
      </c>
      <c r="AA115" s="828">
        <f t="shared" si="42"/>
        <v>0.1477836887306056</v>
      </c>
      <c r="AB115" s="828">
        <f t="shared" si="42"/>
        <v>0.1477836887306056</v>
      </c>
      <c r="AC115" s="828">
        <f t="shared" si="42"/>
        <v>0.1477836887306056</v>
      </c>
    </row>
    <row r="116" spans="3:32" s="1064" customFormat="1" x14ac:dyDescent="0.3">
      <c r="C116"/>
      <c r="D116" s="513" t="s">
        <v>546</v>
      </c>
      <c r="E116"/>
      <c r="F116" s="719"/>
      <c r="G116" s="164"/>
      <c r="H116" s="164">
        <f t="shared" ref="H116:S116" si="43">H14/H126</f>
        <v>1.2100690881729256E-2</v>
      </c>
      <c r="I116" s="164">
        <f t="shared" si="43"/>
        <v>1.2922258694477915E-2</v>
      </c>
      <c r="J116" s="164">
        <f t="shared" si="43"/>
        <v>1.016107526552131E-2</v>
      </c>
      <c r="K116" s="164">
        <f t="shared" si="43"/>
        <v>1.0362298192331481E-2</v>
      </c>
      <c r="L116" s="164">
        <f t="shared" si="43"/>
        <v>1.0626628273687096E-2</v>
      </c>
      <c r="M116" s="164">
        <f t="shared" si="43"/>
        <v>1.0349271387502891E-2</v>
      </c>
      <c r="N116" s="164">
        <f t="shared" si="43"/>
        <v>1.1211939165902553E-2</v>
      </c>
      <c r="O116" s="164">
        <f t="shared" si="43"/>
        <v>1.0949198937283633E-2</v>
      </c>
      <c r="P116" s="164">
        <f t="shared" si="43"/>
        <v>1.135730718004601E-2</v>
      </c>
      <c r="Q116" s="164">
        <f t="shared" si="43"/>
        <v>1.1994216227747885E-2</v>
      </c>
      <c r="R116" s="164">
        <f t="shared" si="43"/>
        <v>1.2131183630433398E-2</v>
      </c>
      <c r="S116" s="698">
        <f t="shared" si="43"/>
        <v>1.1565841377853641E-2</v>
      </c>
      <c r="T116" s="828">
        <f t="shared" ref="T116:AC116" si="44">S116</f>
        <v>1.1565841377853641E-2</v>
      </c>
      <c r="U116" s="828">
        <f t="shared" si="44"/>
        <v>1.1565841377853641E-2</v>
      </c>
      <c r="V116" s="828">
        <f t="shared" si="44"/>
        <v>1.1565841377853641E-2</v>
      </c>
      <c r="W116" s="828">
        <f t="shared" si="44"/>
        <v>1.1565841377853641E-2</v>
      </c>
      <c r="X116" s="828">
        <f t="shared" si="44"/>
        <v>1.1565841377853641E-2</v>
      </c>
      <c r="Y116" s="828">
        <f t="shared" si="44"/>
        <v>1.1565841377853641E-2</v>
      </c>
      <c r="Z116" s="828">
        <f t="shared" si="44"/>
        <v>1.1565841377853641E-2</v>
      </c>
      <c r="AA116" s="828">
        <f t="shared" si="44"/>
        <v>1.1565841377853641E-2</v>
      </c>
      <c r="AB116" s="828">
        <f t="shared" si="44"/>
        <v>1.1565841377853641E-2</v>
      </c>
      <c r="AC116" s="828">
        <f t="shared" si="44"/>
        <v>1.1565841377853641E-2</v>
      </c>
    </row>
    <row r="117" spans="3:32" x14ac:dyDescent="0.3">
      <c r="D117" s="398" t="s">
        <v>547</v>
      </c>
      <c r="F117" s="719"/>
      <c r="G117" s="164"/>
      <c r="H117" s="164">
        <f t="shared" ref="H117:S117" si="45">H17/H127</f>
        <v>0.11697176543592926</v>
      </c>
      <c r="I117" s="164">
        <f t="shared" si="45"/>
        <v>0.10545412659102689</v>
      </c>
      <c r="J117" s="164">
        <f t="shared" si="45"/>
        <v>0.11132677978836643</v>
      </c>
      <c r="K117" s="164">
        <f t="shared" si="45"/>
        <v>0.10700112684336878</v>
      </c>
      <c r="L117" s="164">
        <f t="shared" si="45"/>
        <v>0.11630892472013966</v>
      </c>
      <c r="M117" s="164">
        <f t="shared" si="45"/>
        <v>0.11594202898550723</v>
      </c>
      <c r="N117" s="164">
        <f t="shared" si="45"/>
        <v>0.11690415853101242</v>
      </c>
      <c r="O117" s="164">
        <f t="shared" si="45"/>
        <v>0.11448309893905748</v>
      </c>
      <c r="P117" s="164">
        <f t="shared" si="45"/>
        <v>0.12475442043222006</v>
      </c>
      <c r="Q117" s="164">
        <f t="shared" si="45"/>
        <v>0.12899247749414233</v>
      </c>
      <c r="R117" s="702">
        <f t="shared" si="45"/>
        <v>0.13911536492181653</v>
      </c>
      <c r="S117" s="702">
        <f t="shared" si="45"/>
        <v>0.13319533458062977</v>
      </c>
      <c r="T117" s="828">
        <f t="shared" ref="T117" si="46">S117</f>
        <v>0.13319533458062977</v>
      </c>
      <c r="U117" s="828">
        <f>T117+U118</f>
        <v>0.12119533458062977</v>
      </c>
      <c r="V117" s="828">
        <f t="shared" ref="V117:AC117" si="47">U117+V118</f>
        <v>0.12119533458062977</v>
      </c>
      <c r="W117" s="828">
        <f t="shared" si="47"/>
        <v>0.12119533458062977</v>
      </c>
      <c r="X117" s="828">
        <f t="shared" si="47"/>
        <v>0.12119533458062977</v>
      </c>
      <c r="Y117" s="828">
        <f t="shared" si="47"/>
        <v>0.12119533458062977</v>
      </c>
      <c r="Z117" s="828">
        <f t="shared" si="47"/>
        <v>0.12119533458062977</v>
      </c>
      <c r="AA117" s="828">
        <f t="shared" si="47"/>
        <v>0.12119533458062977</v>
      </c>
      <c r="AB117" s="828">
        <f t="shared" si="47"/>
        <v>0.12119533458062977</v>
      </c>
      <c r="AC117" s="828">
        <f t="shared" si="47"/>
        <v>0.12119533458062977</v>
      </c>
    </row>
    <row r="118" spans="3:32" s="1064" customFormat="1" x14ac:dyDescent="0.3">
      <c r="D118" s="398" t="s">
        <v>968</v>
      </c>
      <c r="F118" s="719"/>
      <c r="G118" s="164"/>
      <c r="H118" s="164"/>
      <c r="I118" s="164"/>
      <c r="J118" s="164"/>
      <c r="K118" s="164"/>
      <c r="L118" s="164"/>
      <c r="M118" s="164"/>
      <c r="N118" s="164"/>
      <c r="O118" s="164"/>
      <c r="P118" s="164"/>
      <c r="Q118" s="164"/>
      <c r="R118" s="702"/>
      <c r="S118" s="702"/>
      <c r="T118" s="828"/>
      <c r="U118" s="828">
        <v>-1.2E-2</v>
      </c>
      <c r="V118" s="828"/>
      <c r="W118" s="828"/>
      <c r="X118" s="828"/>
      <c r="Y118" s="828"/>
      <c r="Z118" s="828"/>
      <c r="AA118" s="828"/>
      <c r="AB118" s="828"/>
      <c r="AC118" s="828"/>
    </row>
    <row r="119" spans="3:32" x14ac:dyDescent="0.3">
      <c r="D119" s="591" t="s">
        <v>577</v>
      </c>
      <c r="F119" s="283"/>
      <c r="G119" s="138"/>
      <c r="H119" s="138"/>
      <c r="I119" s="138"/>
      <c r="J119" s="138"/>
      <c r="K119" s="138"/>
      <c r="L119" s="138"/>
      <c r="M119" s="138"/>
      <c r="N119" s="138"/>
      <c r="O119" s="138"/>
      <c r="P119" s="138"/>
      <c r="Q119" s="138"/>
      <c r="R119" s="138"/>
      <c r="S119" s="153"/>
      <c r="T119" s="356"/>
      <c r="U119" s="356"/>
      <c r="V119" s="356"/>
      <c r="W119" s="356"/>
      <c r="X119" s="356"/>
      <c r="Y119" s="356"/>
      <c r="Z119" s="356"/>
      <c r="AA119" s="356"/>
      <c r="AB119" s="356"/>
      <c r="AC119" s="368"/>
    </row>
    <row r="120" spans="3:32" ht="14.7" customHeight="1" x14ac:dyDescent="0.3">
      <c r="D120" s="768" t="s">
        <v>578</v>
      </c>
      <c r="F120" s="460">
        <f>SUM(F121:F124)</f>
        <v>14677.800000000003</v>
      </c>
      <c r="G120" s="424">
        <f t="shared" ref="G120:O120" si="48">SUM(G121:G124)</f>
        <v>14803.5</v>
      </c>
      <c r="H120" s="424">
        <f t="shared" si="48"/>
        <v>14984.9</v>
      </c>
      <c r="I120" s="424">
        <f t="shared" si="48"/>
        <v>15144.2</v>
      </c>
      <c r="J120" s="424">
        <f t="shared" si="48"/>
        <v>14272.5</v>
      </c>
      <c r="K120" s="424">
        <f t="shared" si="48"/>
        <v>14950.5</v>
      </c>
      <c r="L120" s="424">
        <f t="shared" si="48"/>
        <v>15327.199999999999</v>
      </c>
      <c r="M120" s="424">
        <f t="shared" si="48"/>
        <v>15367.5</v>
      </c>
      <c r="N120" s="424">
        <f t="shared" si="48"/>
        <v>15835.400000000001</v>
      </c>
      <c r="O120" s="424">
        <f t="shared" si="48"/>
        <v>16171.900000000001</v>
      </c>
      <c r="P120" s="424">
        <f t="shared" ref="P120:S120" si="49">SUM(P121:P124)</f>
        <v>16547.599999999999</v>
      </c>
      <c r="Q120" s="424">
        <f t="shared" si="49"/>
        <v>16765.5</v>
      </c>
      <c r="R120" s="424">
        <f t="shared" si="49"/>
        <v>17006.199999999997</v>
      </c>
      <c r="S120" s="699">
        <f t="shared" si="49"/>
        <v>17280.5</v>
      </c>
      <c r="T120" s="356"/>
      <c r="U120" s="356"/>
      <c r="V120" s="356"/>
      <c r="W120" s="356"/>
      <c r="X120" s="356"/>
      <c r="Y120" s="356"/>
      <c r="Z120" s="356"/>
      <c r="AA120" s="356"/>
      <c r="AB120" s="356"/>
      <c r="AC120" s="368"/>
      <c r="AD120" s="787"/>
      <c r="AE120" s="787"/>
      <c r="AF120" s="787"/>
    </row>
    <row r="121" spans="3:32" x14ac:dyDescent="0.3">
      <c r="D121" s="825" t="s">
        <v>852</v>
      </c>
      <c r="E121" s="154" t="s">
        <v>848</v>
      </c>
      <c r="F121" s="460">
        <f>'Haver Pivoted'!GQ81</f>
        <v>9284.7000000000007</v>
      </c>
      <c r="G121" s="424">
        <f>'Haver Pivoted'!GR81</f>
        <v>9340.5</v>
      </c>
      <c r="H121" s="424">
        <f>'Haver Pivoted'!GS81</f>
        <v>9487</v>
      </c>
      <c r="I121" s="424">
        <f>'Haver Pivoted'!GT81</f>
        <v>9634.1</v>
      </c>
      <c r="J121" s="424">
        <f>'Haver Pivoted'!GU81</f>
        <v>9002.7000000000007</v>
      </c>
      <c r="K121" s="424">
        <f>'Haver Pivoted'!GV81</f>
        <v>9432.5</v>
      </c>
      <c r="L121" s="424">
        <f>'Haver Pivoted'!GW81</f>
        <v>9791.5</v>
      </c>
      <c r="M121" s="424">
        <f>'Haver Pivoted'!GX81</f>
        <v>9861.1</v>
      </c>
      <c r="N121" s="424">
        <f>'Haver Pivoted'!GY81</f>
        <v>10148.700000000001</v>
      </c>
      <c r="O121" s="424">
        <f>'Haver Pivoted'!GZ81</f>
        <v>10433.6</v>
      </c>
      <c r="P121" s="424">
        <f>'Haver Pivoted'!HA81</f>
        <v>10759.7</v>
      </c>
      <c r="Q121" s="424">
        <f>'Haver Pivoted'!HB81</f>
        <v>10939.3</v>
      </c>
      <c r="R121" s="424">
        <f>'Haver Pivoted'!HC81</f>
        <v>11071.9</v>
      </c>
      <c r="S121" s="699">
        <f>'Haver Pivoted'!HD81</f>
        <v>11259.7</v>
      </c>
      <c r="T121" s="356"/>
      <c r="U121" s="356"/>
      <c r="V121" s="356"/>
      <c r="W121" s="356"/>
      <c r="X121" s="356"/>
      <c r="Y121" s="356"/>
      <c r="Z121" s="356"/>
      <c r="AA121" s="356"/>
      <c r="AB121" s="356"/>
      <c r="AC121" s="368"/>
    </row>
    <row r="122" spans="3:32" x14ac:dyDescent="0.3">
      <c r="D122" s="825" t="s">
        <v>579</v>
      </c>
      <c r="E122" s="154" t="s">
        <v>849</v>
      </c>
      <c r="F122" s="460">
        <f>'Haver Pivoted'!GQ82</f>
        <v>1575.2</v>
      </c>
      <c r="G122" s="424">
        <f>'Haver Pivoted'!GR82</f>
        <v>1615.3</v>
      </c>
      <c r="H122" s="424">
        <f>'Haver Pivoted'!GS82</f>
        <v>1631.9</v>
      </c>
      <c r="I122" s="424">
        <f>'Haver Pivoted'!GT82</f>
        <v>1643.2</v>
      </c>
      <c r="J122" s="424">
        <f>'Haver Pivoted'!GU82</f>
        <v>1475.6</v>
      </c>
      <c r="K122" s="424">
        <f>'Haver Pivoted'!GV82</f>
        <v>1751.6</v>
      </c>
      <c r="L122" s="424">
        <f>'Haver Pivoted'!GW82</f>
        <v>1702</v>
      </c>
      <c r="M122" s="424">
        <f>'Haver Pivoted'!GX82</f>
        <v>1655</v>
      </c>
      <c r="N122" s="424">
        <f>'Haver Pivoted'!GY82</f>
        <v>1776.9</v>
      </c>
      <c r="O122" s="424">
        <f>'Haver Pivoted'!GZ82</f>
        <v>1792.7</v>
      </c>
      <c r="P122" s="424">
        <f>'Haver Pivoted'!HA82</f>
        <v>1789.8</v>
      </c>
      <c r="Q122" s="424">
        <f>'Haver Pivoted'!HB82</f>
        <v>1811.4</v>
      </c>
      <c r="R122" s="424">
        <f>'Haver Pivoted'!HC82</f>
        <v>1835.4</v>
      </c>
      <c r="S122" s="699">
        <f>'Haver Pivoted'!HD82</f>
        <v>1859</v>
      </c>
      <c r="T122" s="356"/>
      <c r="U122" s="356"/>
      <c r="V122" s="356"/>
      <c r="W122" s="356"/>
      <c r="X122" s="356"/>
      <c r="Y122" s="356"/>
      <c r="Z122" s="356"/>
      <c r="AA122" s="356"/>
      <c r="AB122" s="356"/>
      <c r="AC122" s="368"/>
    </row>
    <row r="123" spans="3:32" x14ac:dyDescent="0.3">
      <c r="D123" s="825" t="s">
        <v>580</v>
      </c>
      <c r="E123" s="154" t="s">
        <v>855</v>
      </c>
      <c r="F123" s="460">
        <f>'Haver Pivoted'!GQ83</f>
        <v>696.1</v>
      </c>
      <c r="G123" s="424">
        <f>'Haver Pivoted'!GR83</f>
        <v>699.1</v>
      </c>
      <c r="H123" s="424">
        <f>'Haver Pivoted'!GS83</f>
        <v>708</v>
      </c>
      <c r="I123" s="424">
        <f>'Haver Pivoted'!GT83</f>
        <v>722.6</v>
      </c>
      <c r="J123" s="424">
        <f>'Haver Pivoted'!GU83</f>
        <v>717.9</v>
      </c>
      <c r="K123" s="424">
        <f>'Haver Pivoted'!GV83</f>
        <v>722.6</v>
      </c>
      <c r="L123" s="424">
        <f>'Haver Pivoted'!GW83</f>
        <v>716.3</v>
      </c>
      <c r="M123" s="424">
        <f>'Haver Pivoted'!GX83</f>
        <v>719.4</v>
      </c>
      <c r="N123" s="424">
        <f>'Haver Pivoted'!GY83</f>
        <v>713.5</v>
      </c>
      <c r="O123" s="424">
        <f>'Haver Pivoted'!GZ83</f>
        <v>722.7</v>
      </c>
      <c r="P123" s="424">
        <f>'Haver Pivoted'!HA83</f>
        <v>739.6</v>
      </c>
      <c r="Q123" s="424">
        <f>'Haver Pivoted'!HB83</f>
        <v>744.9</v>
      </c>
      <c r="R123" s="424">
        <f>'Haver Pivoted'!HC83</f>
        <v>775.9</v>
      </c>
      <c r="S123" s="699">
        <f>'Haver Pivoted'!HD83</f>
        <v>794.9</v>
      </c>
      <c r="T123" s="356"/>
      <c r="U123" s="356"/>
      <c r="V123" s="356"/>
      <c r="W123" s="356"/>
      <c r="X123" s="356"/>
      <c r="Y123" s="356"/>
      <c r="Z123" s="356"/>
      <c r="AA123" s="356"/>
      <c r="AB123" s="356"/>
      <c r="AC123" s="368"/>
    </row>
    <row r="124" spans="3:32" x14ac:dyDescent="0.3">
      <c r="D124" s="825" t="s">
        <v>581</v>
      </c>
      <c r="E124" s="154" t="s">
        <v>851</v>
      </c>
      <c r="F124" s="460">
        <f>'Haver Pivoted'!GQ84</f>
        <v>3121.8</v>
      </c>
      <c r="G124" s="424">
        <f>'Haver Pivoted'!GR84</f>
        <v>3148.6</v>
      </c>
      <c r="H124" s="424">
        <f>'Haver Pivoted'!GS84</f>
        <v>3158</v>
      </c>
      <c r="I124" s="424">
        <f>'Haver Pivoted'!GT84</f>
        <v>3144.3</v>
      </c>
      <c r="J124" s="424">
        <f>'Haver Pivoted'!GU84</f>
        <v>3076.3</v>
      </c>
      <c r="K124" s="424">
        <f>'Haver Pivoted'!GV84</f>
        <v>3043.8</v>
      </c>
      <c r="L124" s="424">
        <f>'Haver Pivoted'!GW84</f>
        <v>3117.4</v>
      </c>
      <c r="M124" s="424">
        <f>'Haver Pivoted'!GX84</f>
        <v>3132</v>
      </c>
      <c r="N124" s="424">
        <f>'Haver Pivoted'!GY84</f>
        <v>3196.3</v>
      </c>
      <c r="O124" s="424">
        <f>'Haver Pivoted'!GZ84</f>
        <v>3222.9</v>
      </c>
      <c r="P124" s="424">
        <f>'Haver Pivoted'!HA84</f>
        <v>3258.5</v>
      </c>
      <c r="Q124" s="424">
        <f>'Haver Pivoted'!HB84</f>
        <v>3269.9</v>
      </c>
      <c r="R124" s="424">
        <f>'Haver Pivoted'!HC84</f>
        <v>3323</v>
      </c>
      <c r="S124" s="699">
        <f>'Haver Pivoted'!HD84</f>
        <v>3366.9</v>
      </c>
      <c r="T124" s="356"/>
      <c r="U124" s="356"/>
      <c r="V124" s="356"/>
      <c r="W124" s="356"/>
      <c r="X124" s="356"/>
      <c r="Y124" s="356"/>
      <c r="Z124" s="356"/>
      <c r="AA124" s="356"/>
      <c r="AB124" s="356"/>
      <c r="AC124" s="368"/>
    </row>
    <row r="125" spans="3:32" x14ac:dyDescent="0.3">
      <c r="D125" s="768" t="s">
        <v>566</v>
      </c>
      <c r="F125" s="460">
        <f>F121</f>
        <v>9284.7000000000007</v>
      </c>
      <c r="G125" s="424">
        <f t="shared" ref="G125:O125" si="50">G121</f>
        <v>9340.5</v>
      </c>
      <c r="H125" s="424">
        <f t="shared" si="50"/>
        <v>9487</v>
      </c>
      <c r="I125" s="424">
        <f t="shared" si="50"/>
        <v>9634.1</v>
      </c>
      <c r="J125" s="424">
        <f t="shared" si="50"/>
        <v>9002.7000000000007</v>
      </c>
      <c r="K125" s="424">
        <f t="shared" si="50"/>
        <v>9432.5</v>
      </c>
      <c r="L125" s="424">
        <f t="shared" si="50"/>
        <v>9791.5</v>
      </c>
      <c r="M125" s="424">
        <f t="shared" si="50"/>
        <v>9861.1</v>
      </c>
      <c r="N125" s="424">
        <f t="shared" si="50"/>
        <v>10148.700000000001</v>
      </c>
      <c r="O125" s="424">
        <f t="shared" si="50"/>
        <v>10433.6</v>
      </c>
      <c r="P125" s="424">
        <f t="shared" ref="P125:S125" si="51">P121</f>
        <v>10759.7</v>
      </c>
      <c r="Q125" s="424">
        <f t="shared" si="51"/>
        <v>10939.3</v>
      </c>
      <c r="R125" s="424">
        <f t="shared" si="51"/>
        <v>11071.9</v>
      </c>
      <c r="S125" s="699">
        <f t="shared" si="51"/>
        <v>11259.7</v>
      </c>
      <c r="T125" s="356"/>
      <c r="U125" s="356"/>
      <c r="V125" s="356"/>
      <c r="W125" s="356"/>
      <c r="X125" s="356"/>
      <c r="Y125" s="356"/>
      <c r="Z125" s="356"/>
      <c r="AA125" s="356"/>
      <c r="AB125" s="356"/>
      <c r="AC125" s="368"/>
    </row>
    <row r="126" spans="3:32" x14ac:dyDescent="0.3">
      <c r="D126" s="768" t="s">
        <v>567</v>
      </c>
      <c r="E126" s="154" t="s">
        <v>585</v>
      </c>
      <c r="F126" s="460">
        <f>'Haver Pivoted'!GQ5</f>
        <v>14323.7</v>
      </c>
      <c r="G126" s="424">
        <f>'Haver Pivoted'!GR5</f>
        <v>14482.2</v>
      </c>
      <c r="H126" s="424">
        <f>'Haver Pivoted'!GS5</f>
        <v>14619</v>
      </c>
      <c r="I126" s="424">
        <f>'Haver Pivoted'!GT5</f>
        <v>14440.2</v>
      </c>
      <c r="J126" s="424">
        <f>'Haver Pivoted'!GU5</f>
        <v>13049.8</v>
      </c>
      <c r="K126" s="424">
        <f>'Haver Pivoted'!GV5</f>
        <v>14388.7</v>
      </c>
      <c r="L126" s="424">
        <f>'Haver Pivoted'!GW5</f>
        <v>14586</v>
      </c>
      <c r="M126" s="424">
        <f>'Haver Pivoted'!GX5</f>
        <v>15131.5</v>
      </c>
      <c r="N126" s="424">
        <f>'Haver Pivoted'!GY5</f>
        <v>15813.5</v>
      </c>
      <c r="O126" s="424">
        <f>'Haver Pivoted'!GZ5</f>
        <v>16147.3</v>
      </c>
      <c r="P126" s="424">
        <f>'Haver Pivoted'!HA5</f>
        <v>16518</v>
      </c>
      <c r="Q126" s="424">
        <f>'Haver Pivoted'!HB5</f>
        <v>16874.8</v>
      </c>
      <c r="R126" s="424">
        <f>'Haver Pivoted'!HC5</f>
        <v>17261.3</v>
      </c>
      <c r="S126" s="699">
        <f>'Haver Pivoted'!HD5</f>
        <v>17517.099999999999</v>
      </c>
      <c r="T126" s="356"/>
      <c r="U126" s="356"/>
      <c r="V126" s="356"/>
      <c r="W126" s="356"/>
      <c r="X126" s="356"/>
      <c r="Y126" s="356"/>
      <c r="Z126" s="356"/>
      <c r="AA126" s="356"/>
      <c r="AB126" s="356"/>
      <c r="AC126" s="368"/>
    </row>
    <row r="127" spans="3:32" x14ac:dyDescent="0.3">
      <c r="D127" s="768" t="s">
        <v>582</v>
      </c>
      <c r="E127" s="154" t="s">
        <v>850</v>
      </c>
      <c r="F127" s="460">
        <f>'Haver Pivoted'!GQ85</f>
        <v>1872</v>
      </c>
      <c r="G127" s="424">
        <f>'Haver Pivoted'!GR85</f>
        <v>1882</v>
      </c>
      <c r="H127" s="424">
        <f>'Haver Pivoted'!GS85</f>
        <v>1933.8</v>
      </c>
      <c r="I127" s="424">
        <f>'Haver Pivoted'!GT85</f>
        <v>1736.3</v>
      </c>
      <c r="J127" s="424">
        <f>'Haver Pivoted'!GU85</f>
        <v>1597.1</v>
      </c>
      <c r="K127" s="424">
        <f>'Haver Pivoted'!GV85</f>
        <v>2041.1</v>
      </c>
      <c r="L127" s="424">
        <f>'Haver Pivoted'!GW85</f>
        <v>1947.4</v>
      </c>
      <c r="M127" s="424">
        <f>'Haver Pivoted'!GX85</f>
        <v>2152.8000000000002</v>
      </c>
      <c r="N127" s="424">
        <f>'Haver Pivoted'!GY85</f>
        <v>2407.1</v>
      </c>
      <c r="O127" s="424">
        <f>'Haver Pivoted'!GZ85</f>
        <v>2431.8000000000002</v>
      </c>
      <c r="P127" s="424">
        <f>'Haver Pivoted'!HA85</f>
        <v>2443.1999999999998</v>
      </c>
      <c r="Q127" s="424">
        <f>'Haver Pivoted'!HB85</f>
        <v>2432.6999999999998</v>
      </c>
      <c r="R127" s="701">
        <f>'Haver Pivoted'!HC85</f>
        <v>2538.9</v>
      </c>
      <c r="S127" s="701">
        <f>'Haver Pivoted'!HD85</f>
        <v>2512.1</v>
      </c>
      <c r="T127" s="356"/>
      <c r="U127" s="356"/>
      <c r="V127" s="356"/>
      <c r="W127" s="356"/>
      <c r="X127" s="356"/>
      <c r="Y127" s="356"/>
      <c r="Z127" s="356"/>
      <c r="AA127" s="356"/>
      <c r="AB127" s="356"/>
      <c r="AC127" s="368"/>
    </row>
    <row r="128" spans="3:32" x14ac:dyDescent="0.3">
      <c r="D128" s="591" t="s">
        <v>583</v>
      </c>
      <c r="F128" s="283"/>
      <c r="G128" s="138"/>
      <c r="H128" s="138"/>
      <c r="I128" s="138"/>
      <c r="J128" s="138"/>
      <c r="K128" s="138"/>
      <c r="L128" s="138"/>
      <c r="M128" s="138"/>
      <c r="N128" s="138"/>
      <c r="O128" s="138"/>
      <c r="P128" s="138"/>
      <c r="Q128" s="138"/>
      <c r="R128" s="138"/>
      <c r="S128" s="153"/>
      <c r="T128" s="356"/>
      <c r="U128" s="356"/>
      <c r="V128" s="356"/>
      <c r="W128" s="356"/>
      <c r="X128" s="356"/>
      <c r="Y128" s="356"/>
      <c r="Z128" s="356"/>
      <c r="AA128" s="356"/>
      <c r="AB128" s="356"/>
      <c r="AC128" s="368"/>
    </row>
    <row r="129" spans="4:29" x14ac:dyDescent="0.3">
      <c r="D129" s="819" t="s">
        <v>548</v>
      </c>
      <c r="F129" s="719">
        <f t="shared" ref="F129:S129" si="52">F23/F120</f>
        <v>3.6040823556663798E-2</v>
      </c>
      <c r="G129" s="164">
        <f t="shared" si="52"/>
        <v>3.3451548620258724E-2</v>
      </c>
      <c r="H129" s="164">
        <f t="shared" si="52"/>
        <v>3.2672890709981382E-2</v>
      </c>
      <c r="I129" s="164">
        <f t="shared" si="52"/>
        <v>3.2850860395398897E-2</v>
      </c>
      <c r="J129" s="164">
        <f t="shared" si="52"/>
        <v>3.419162725521107E-2</v>
      </c>
      <c r="K129" s="164">
        <f t="shared" si="52"/>
        <v>3.4473763419283633E-2</v>
      </c>
      <c r="L129" s="164">
        <f t="shared" si="52"/>
        <v>3.4115820241139933E-2</v>
      </c>
      <c r="M129" s="164">
        <f t="shared" si="52"/>
        <v>3.5373352855051249E-2</v>
      </c>
      <c r="N129" s="164">
        <f t="shared" si="52"/>
        <v>3.5780592848933403E-2</v>
      </c>
      <c r="O129" s="164">
        <f t="shared" si="52"/>
        <v>3.3044973070573025E-2</v>
      </c>
      <c r="P129" s="164">
        <f t="shared" si="52"/>
        <v>3.449442819502526E-2</v>
      </c>
      <c r="Q129" s="164">
        <f t="shared" si="52"/>
        <v>3.4672392711222445E-2</v>
      </c>
      <c r="R129" s="164">
        <f t="shared" si="52"/>
        <v>3.4681469111265309E-2</v>
      </c>
      <c r="S129" s="698">
        <f t="shared" si="52"/>
        <v>3.5033708515378605E-2</v>
      </c>
      <c r="T129" s="828">
        <f t="shared" ref="T129:AC131" si="53">S129</f>
        <v>3.5033708515378605E-2</v>
      </c>
      <c r="U129" s="828">
        <f t="shared" si="53"/>
        <v>3.5033708515378605E-2</v>
      </c>
      <c r="V129" s="828">
        <f t="shared" si="53"/>
        <v>3.5033708515378605E-2</v>
      </c>
      <c r="W129" s="828">
        <f t="shared" si="53"/>
        <v>3.5033708515378605E-2</v>
      </c>
      <c r="X129" s="828">
        <f>W129</f>
        <v>3.5033708515378605E-2</v>
      </c>
      <c r="Y129" s="828">
        <f t="shared" si="53"/>
        <v>3.5033708515378605E-2</v>
      </c>
      <c r="Z129" s="828">
        <f t="shared" si="53"/>
        <v>3.5033708515378605E-2</v>
      </c>
      <c r="AA129" s="828">
        <f t="shared" si="53"/>
        <v>3.5033708515378605E-2</v>
      </c>
      <c r="AB129" s="828">
        <f t="shared" si="53"/>
        <v>3.5033708515378605E-2</v>
      </c>
      <c r="AC129" s="842">
        <f t="shared" si="53"/>
        <v>3.5033708515378605E-2</v>
      </c>
    </row>
    <row r="130" spans="4:29" x14ac:dyDescent="0.3">
      <c r="D130" s="819" t="s">
        <v>545</v>
      </c>
      <c r="F130" s="719">
        <f t="shared" ref="F130:S130" si="54">F24/F125</f>
        <v>2.2402447036522452E-3</v>
      </c>
      <c r="G130" s="164">
        <f t="shared" si="54"/>
        <v>2.2161554520635941E-3</v>
      </c>
      <c r="H130" s="164">
        <f t="shared" si="54"/>
        <v>2.1819331717086539E-3</v>
      </c>
      <c r="I130" s="164">
        <f t="shared" si="54"/>
        <v>2.1486179300609291E-3</v>
      </c>
      <c r="J130" s="164">
        <f t="shared" si="54"/>
        <v>2.1993401979406176E-3</v>
      </c>
      <c r="K130" s="164">
        <f t="shared" si="54"/>
        <v>2.1733368672144184E-3</v>
      </c>
      <c r="L130" s="164">
        <f t="shared" si="54"/>
        <v>2.1753561762753409E-3</v>
      </c>
      <c r="M130" s="164">
        <f t="shared" si="54"/>
        <v>2.2309884292827371E-3</v>
      </c>
      <c r="N130" s="164">
        <f t="shared" si="54"/>
        <v>2.2367396809443571E-3</v>
      </c>
      <c r="O130" s="164">
        <f t="shared" si="54"/>
        <v>2.2235853396718294E-3</v>
      </c>
      <c r="P130" s="164">
        <f t="shared" si="54"/>
        <v>2.1747818247720659E-3</v>
      </c>
      <c r="Q130" s="164">
        <f t="shared" si="54"/>
        <v>2.1390765405464702E-3</v>
      </c>
      <c r="R130" s="164">
        <f t="shared" si="54"/>
        <v>2.1315221416378402E-3</v>
      </c>
      <c r="S130" s="698">
        <f t="shared" si="54"/>
        <v>2.1314955105375807E-3</v>
      </c>
      <c r="T130" s="828">
        <f t="shared" si="53"/>
        <v>2.1314955105375807E-3</v>
      </c>
      <c r="U130" s="828">
        <f t="shared" si="53"/>
        <v>2.1314955105375807E-3</v>
      </c>
      <c r="V130" s="828">
        <f t="shared" si="53"/>
        <v>2.1314955105375807E-3</v>
      </c>
      <c r="W130" s="828">
        <f t="shared" si="53"/>
        <v>2.1314955105375807E-3</v>
      </c>
      <c r="X130" s="828">
        <f>W130</f>
        <v>2.1314955105375807E-3</v>
      </c>
      <c r="Y130" s="828">
        <f t="shared" si="53"/>
        <v>2.1314955105375807E-3</v>
      </c>
      <c r="Z130" s="828">
        <f t="shared" si="53"/>
        <v>2.1314955105375807E-3</v>
      </c>
      <c r="AA130" s="828">
        <f t="shared" si="53"/>
        <v>2.1314955105375807E-3</v>
      </c>
      <c r="AB130" s="828">
        <f t="shared" si="53"/>
        <v>2.1314955105375807E-3</v>
      </c>
      <c r="AC130" s="842">
        <f t="shared" si="53"/>
        <v>2.1314955105375807E-3</v>
      </c>
    </row>
    <row r="131" spans="4:29" x14ac:dyDescent="0.3">
      <c r="D131" s="819" t="s">
        <v>546</v>
      </c>
      <c r="F131" s="719">
        <f t="shared" ref="F131:S131" si="55">F25/F126</f>
        <v>9.3886356178920244E-2</v>
      </c>
      <c r="G131" s="164">
        <f t="shared" si="55"/>
        <v>9.4826752841419115E-2</v>
      </c>
      <c r="H131" s="164">
        <f t="shared" si="55"/>
        <v>9.3898351460428214E-2</v>
      </c>
      <c r="I131" s="164">
        <f t="shared" si="55"/>
        <v>9.5518067616792005E-2</v>
      </c>
      <c r="J131" s="164">
        <f t="shared" si="55"/>
        <v>9.9143281889377613E-2</v>
      </c>
      <c r="K131" s="164">
        <f t="shared" si="55"/>
        <v>9.7117877223098684E-2</v>
      </c>
      <c r="L131" s="164">
        <f t="shared" si="55"/>
        <v>9.6764020293432063E-2</v>
      </c>
      <c r="M131" s="164">
        <f t="shared" si="55"/>
        <v>9.4306578990846907E-2</v>
      </c>
      <c r="N131" s="164">
        <f t="shared" si="55"/>
        <v>9.4817719037531223E-2</v>
      </c>
      <c r="O131" s="164">
        <f t="shared" si="55"/>
        <v>9.309296291020791E-2</v>
      </c>
      <c r="P131" s="164">
        <f t="shared" si="55"/>
        <v>9.236590386245308E-2</v>
      </c>
      <c r="Q131" s="164">
        <f t="shared" si="55"/>
        <v>9.1716642567615622E-2</v>
      </c>
      <c r="R131" s="164">
        <f t="shared" si="55"/>
        <v>9.072897174604462E-2</v>
      </c>
      <c r="S131" s="698">
        <f t="shared" si="55"/>
        <v>9.0717070748011941E-2</v>
      </c>
      <c r="T131" s="828">
        <f t="shared" si="53"/>
        <v>9.0717070748011941E-2</v>
      </c>
      <c r="U131" s="828">
        <f t="shared" si="53"/>
        <v>9.0717070748011941E-2</v>
      </c>
      <c r="V131" s="828">
        <f t="shared" si="53"/>
        <v>9.0717070748011941E-2</v>
      </c>
      <c r="W131" s="828">
        <f t="shared" si="53"/>
        <v>9.0717070748011941E-2</v>
      </c>
      <c r="X131" s="828">
        <f>W131</f>
        <v>9.0717070748011941E-2</v>
      </c>
      <c r="Y131" s="828">
        <f t="shared" si="53"/>
        <v>9.0717070748011941E-2</v>
      </c>
      <c r="Z131" s="828">
        <f t="shared" si="53"/>
        <v>9.0717070748011941E-2</v>
      </c>
      <c r="AA131" s="828">
        <f t="shared" si="53"/>
        <v>9.0717070748011941E-2</v>
      </c>
      <c r="AB131" s="828">
        <f t="shared" si="53"/>
        <v>9.0717070748011941E-2</v>
      </c>
      <c r="AC131" s="842">
        <f t="shared" si="53"/>
        <v>9.0717070748011941E-2</v>
      </c>
    </row>
    <row r="132" spans="4:29" x14ac:dyDescent="0.3">
      <c r="D132" s="820" t="s">
        <v>584</v>
      </c>
      <c r="E132" s="264"/>
      <c r="F132" s="181">
        <f t="shared" ref="F132:S132" si="56">F26/F127</f>
        <v>3.9797008547008544E-2</v>
      </c>
      <c r="G132" s="182">
        <f t="shared" si="56"/>
        <v>3.9001062699256114E-2</v>
      </c>
      <c r="H132" s="182">
        <f t="shared" si="56"/>
        <v>3.728410383700486E-2</v>
      </c>
      <c r="I132" s="182">
        <f t="shared" si="56"/>
        <v>3.8990957783793127E-2</v>
      </c>
      <c r="J132" s="182">
        <f t="shared" si="56"/>
        <v>4.0698766514307184E-2</v>
      </c>
      <c r="K132" s="182">
        <f t="shared" si="56"/>
        <v>3.9635490666797321E-2</v>
      </c>
      <c r="L132" s="182">
        <f t="shared" si="56"/>
        <v>4.3545239806922049E-2</v>
      </c>
      <c r="M132" s="182">
        <f t="shared" si="56"/>
        <v>4.0876997398736528E-2</v>
      </c>
      <c r="N132" s="182">
        <f t="shared" si="56"/>
        <v>3.7514021021145774E-2</v>
      </c>
      <c r="O132" s="182">
        <f t="shared" si="56"/>
        <v>3.8818981824163171E-2</v>
      </c>
      <c r="P132" s="182">
        <f t="shared" si="56"/>
        <v>4.52275703994761E-2</v>
      </c>
      <c r="Q132" s="182">
        <f t="shared" si="56"/>
        <v>6.8195831791836234E-2</v>
      </c>
      <c r="R132" s="703">
        <f t="shared" si="56"/>
        <v>4.3247075505140016E-2</v>
      </c>
      <c r="S132" s="703">
        <f t="shared" si="56"/>
        <v>4.0444249830818839E-2</v>
      </c>
      <c r="T132" s="829">
        <f>S132</f>
        <v>4.0444249830818839E-2</v>
      </c>
      <c r="U132" s="829">
        <f t="shared" ref="U132:AC132" si="57">T132</f>
        <v>4.0444249830818839E-2</v>
      </c>
      <c r="V132" s="829">
        <f t="shared" si="57"/>
        <v>4.0444249830818839E-2</v>
      </c>
      <c r="W132" s="829">
        <f t="shared" si="57"/>
        <v>4.0444249830818839E-2</v>
      </c>
      <c r="X132" s="829">
        <f>W132</f>
        <v>4.0444249830818839E-2</v>
      </c>
      <c r="Y132" s="829">
        <f t="shared" si="57"/>
        <v>4.0444249830818839E-2</v>
      </c>
      <c r="Z132" s="829">
        <f t="shared" si="57"/>
        <v>4.0444249830818839E-2</v>
      </c>
      <c r="AA132" s="829">
        <f t="shared" si="57"/>
        <v>4.0444249830818839E-2</v>
      </c>
      <c r="AB132" s="829">
        <f t="shared" si="57"/>
        <v>4.0444249830818839E-2</v>
      </c>
      <c r="AC132" s="830">
        <f t="shared" si="57"/>
        <v>4.0444249830818839E-2</v>
      </c>
    </row>
    <row r="133" spans="4:29" s="1064" customFormat="1" x14ac:dyDescent="0.3">
      <c r="D133" s="1098"/>
      <c r="E133" s="1099"/>
      <c r="F133" s="1100"/>
      <c r="G133" s="1100"/>
      <c r="H133" s="1100"/>
      <c r="I133" s="1100"/>
      <c r="J133" s="1100"/>
      <c r="K133" s="1100"/>
      <c r="L133" s="1100"/>
      <c r="M133" s="1100"/>
      <c r="N133" s="1100"/>
      <c r="O133" s="1100"/>
      <c r="P133" s="1100"/>
      <c r="Q133" s="1100"/>
      <c r="R133" s="1101"/>
      <c r="S133" s="1101"/>
      <c r="T133" s="1102"/>
      <c r="U133" s="1102"/>
      <c r="V133" s="1102"/>
      <c r="W133" s="1102"/>
      <c r="X133" s="1102"/>
      <c r="Y133" s="1102"/>
      <c r="Z133" s="1102"/>
      <c r="AA133" s="1102"/>
      <c r="AB133" s="1102"/>
      <c r="AC133" s="1102"/>
    </row>
    <row r="134" spans="4:29" s="1064" customFormat="1" x14ac:dyDescent="0.3">
      <c r="D134" s="1098"/>
      <c r="E134" s="1099"/>
      <c r="F134" s="1100"/>
      <c r="G134" s="1100"/>
      <c r="H134" s="1100"/>
      <c r="I134" s="1100"/>
      <c r="J134" s="1100"/>
      <c r="K134" s="1100"/>
      <c r="L134" s="1100"/>
      <c r="M134" s="1100"/>
      <c r="N134" s="1100"/>
      <c r="O134" s="1100"/>
      <c r="P134" s="1100"/>
      <c r="Q134" s="1100"/>
      <c r="R134" s="1101"/>
      <c r="S134" s="1101"/>
      <c r="T134" s="1102"/>
      <c r="U134" s="1102"/>
      <c r="V134" s="1102"/>
      <c r="W134" s="1102"/>
      <c r="X134" s="1102"/>
      <c r="Y134" s="1102"/>
      <c r="Z134" s="1102"/>
      <c r="AA134" s="1102"/>
      <c r="AB134" s="1102"/>
      <c r="AC134" s="1102"/>
    </row>
    <row r="135" spans="4:29" s="1064" customFormat="1" x14ac:dyDescent="0.3">
      <c r="D135" s="591" t="s">
        <v>2114</v>
      </c>
      <c r="F135" s="283"/>
      <c r="G135" s="1043"/>
      <c r="H135" s="1043"/>
      <c r="I135" s="1043"/>
      <c r="J135" s="1043"/>
      <c r="K135" s="1043"/>
      <c r="L135" s="1043"/>
      <c r="M135" s="1043"/>
      <c r="N135" s="1043"/>
      <c r="O135" s="1043"/>
      <c r="P135" s="1043"/>
      <c r="Q135" s="1043"/>
      <c r="R135" s="1043"/>
      <c r="S135" s="153"/>
      <c r="T135" s="1050"/>
      <c r="U135" s="1050"/>
      <c r="V135" s="1050"/>
      <c r="W135" s="1050"/>
      <c r="X135" s="1050"/>
      <c r="Y135" s="1050"/>
      <c r="Z135" s="1050"/>
      <c r="AA135" s="1050"/>
      <c r="AB135" s="1050"/>
      <c r="AC135" s="368"/>
    </row>
    <row r="136" spans="4:29" s="1064" customFormat="1" x14ac:dyDescent="0.3">
      <c r="D136" s="768" t="s">
        <v>578</v>
      </c>
      <c r="F136" s="1103" t="e">
        <f>F120/E120-1</f>
        <v>#DIV/0!</v>
      </c>
      <c r="G136" s="1103">
        <f>(G120/F120)^4-1</f>
        <v>3.4698380469732282E-2</v>
      </c>
      <c r="H136" s="1103">
        <f t="shared" ref="H136:S136" si="58">(H120/G120)^4-1</f>
        <v>4.9923760445010679E-2</v>
      </c>
      <c r="I136" s="1103">
        <f t="shared" si="58"/>
        <v>4.3205695538489852E-2</v>
      </c>
      <c r="J136" s="1103">
        <f t="shared" si="58"/>
        <v>-0.21111288829196628</v>
      </c>
      <c r="K136" s="1103">
        <f t="shared" si="58"/>
        <v>0.2039893976975653</v>
      </c>
      <c r="L136" s="1103">
        <f t="shared" si="58"/>
        <v>0.10465949131480801</v>
      </c>
      <c r="M136" s="1103">
        <f t="shared" si="58"/>
        <v>1.0558802843273263E-2</v>
      </c>
      <c r="N136" s="1103">
        <f t="shared" si="58"/>
        <v>0.12746550927768152</v>
      </c>
      <c r="O136" s="1103">
        <f t="shared" si="58"/>
        <v>8.7747356366950635E-2</v>
      </c>
      <c r="P136" s="1103">
        <f t="shared" si="58"/>
        <v>9.6215323061816349E-2</v>
      </c>
      <c r="Q136" s="1103">
        <f t="shared" si="58"/>
        <v>5.3721843023527782E-2</v>
      </c>
      <c r="R136" s="1103">
        <f t="shared" si="58"/>
        <v>5.8676051825151676E-2</v>
      </c>
      <c r="S136" s="1103">
        <f t="shared" si="58"/>
        <v>6.609544648068888E-2</v>
      </c>
      <c r="T136" s="1050"/>
      <c r="U136" s="1050"/>
      <c r="V136" s="1050"/>
      <c r="W136" s="1050"/>
      <c r="X136" s="1050"/>
      <c r="Y136" s="1050"/>
      <c r="Z136" s="1050"/>
      <c r="AA136" s="1050"/>
      <c r="AB136" s="1050"/>
      <c r="AC136" s="368"/>
    </row>
    <row r="137" spans="4:29" s="1064" customFormat="1" x14ac:dyDescent="0.3">
      <c r="D137" s="825" t="s">
        <v>852</v>
      </c>
      <c r="E137" s="154" t="s">
        <v>848</v>
      </c>
      <c r="F137" s="1103" t="e">
        <f t="shared" ref="F137" si="59">F121/E121-1</f>
        <v>#VALUE!</v>
      </c>
      <c r="G137" s="1103">
        <f t="shared" ref="G137:S137" si="60">(G121/F121)^4-1</f>
        <v>2.4257130985616993E-2</v>
      </c>
      <c r="H137" s="1103">
        <f t="shared" si="60"/>
        <v>6.4229034399477136E-2</v>
      </c>
      <c r="I137" s="1103">
        <f t="shared" si="60"/>
        <v>6.3479192755366398E-2</v>
      </c>
      <c r="J137" s="1103">
        <f t="shared" si="60"/>
        <v>-0.23748829732952048</v>
      </c>
      <c r="K137" s="1103">
        <f t="shared" si="60"/>
        <v>0.20508073180198716</v>
      </c>
      <c r="L137" s="1103">
        <f t="shared" si="60"/>
        <v>0.1611535586248285</v>
      </c>
      <c r="M137" s="1103">
        <f t="shared" si="60"/>
        <v>2.873742311872407E-2</v>
      </c>
      <c r="N137" s="1103">
        <f t="shared" si="60"/>
        <v>0.12186398788851394</v>
      </c>
      <c r="O137" s="1103">
        <f t="shared" si="60"/>
        <v>0.11710776964011727</v>
      </c>
      <c r="P137" s="1103">
        <f t="shared" si="60"/>
        <v>0.13100342179485458</v>
      </c>
      <c r="Q137" s="1103">
        <f t="shared" si="60"/>
        <v>6.8458061444058416E-2</v>
      </c>
      <c r="R137" s="1103">
        <f t="shared" si="60"/>
        <v>4.9374455409313622E-2</v>
      </c>
      <c r="S137" s="1103">
        <f t="shared" si="60"/>
        <v>6.9593264230530583E-2</v>
      </c>
      <c r="T137" s="1050"/>
      <c r="U137" s="1050"/>
      <c r="V137" s="1050"/>
      <c r="W137" s="1050"/>
      <c r="X137" s="1050"/>
      <c r="Y137" s="1050"/>
      <c r="Z137" s="1050"/>
      <c r="AA137" s="1050"/>
      <c r="AB137" s="1050"/>
      <c r="AC137" s="368"/>
    </row>
    <row r="138" spans="4:29" s="1064" customFormat="1" x14ac:dyDescent="0.3">
      <c r="D138" s="825" t="s">
        <v>579</v>
      </c>
      <c r="E138" s="154" t="s">
        <v>849</v>
      </c>
      <c r="F138" s="1103" t="e">
        <f t="shared" ref="F138" si="61">F122/E122-1</f>
        <v>#VALUE!</v>
      </c>
      <c r="G138" s="1103">
        <f t="shared" ref="G138:S138" si="62">(G122/F122)^4-1</f>
        <v>0.10578312944398705</v>
      </c>
      <c r="H138" s="1103">
        <f t="shared" si="62"/>
        <v>4.1744934553236801E-2</v>
      </c>
      <c r="I138" s="1103">
        <f t="shared" si="62"/>
        <v>2.7986793488743444E-2</v>
      </c>
      <c r="J138" s="1103">
        <f t="shared" si="62"/>
        <v>-0.34970130690663714</v>
      </c>
      <c r="K138" s="1103">
        <f t="shared" si="62"/>
        <v>0.98547836855144699</v>
      </c>
      <c r="L138" s="1103">
        <f t="shared" si="62"/>
        <v>-0.1085469464882084</v>
      </c>
      <c r="M138" s="1103">
        <f t="shared" si="62"/>
        <v>-0.10596654721724863</v>
      </c>
      <c r="N138" s="1103">
        <f t="shared" si="62"/>
        <v>0.32880103280025574</v>
      </c>
      <c r="O138" s="1103">
        <f t="shared" si="62"/>
        <v>3.6044774195732154E-2</v>
      </c>
      <c r="P138" s="1103">
        <f t="shared" si="62"/>
        <v>-6.4550024300153996E-3</v>
      </c>
      <c r="Q138" s="1103">
        <f t="shared" si="62"/>
        <v>4.9154478043828886E-2</v>
      </c>
      <c r="R138" s="1103">
        <f t="shared" si="62"/>
        <v>5.4060298595324685E-2</v>
      </c>
      <c r="S138" s="1103">
        <f t="shared" si="62"/>
        <v>5.2433465970311399E-2</v>
      </c>
      <c r="T138" s="1050"/>
      <c r="U138" s="1050"/>
      <c r="V138" s="1050"/>
      <c r="W138" s="1050"/>
      <c r="X138" s="1050"/>
      <c r="Y138" s="1050"/>
      <c r="Z138" s="1050"/>
      <c r="AA138" s="1050"/>
      <c r="AB138" s="1050"/>
      <c r="AC138" s="368"/>
    </row>
    <row r="139" spans="4:29" s="1064" customFormat="1" x14ac:dyDescent="0.3">
      <c r="D139" s="825" t="s">
        <v>580</v>
      </c>
      <c r="E139" s="154" t="s">
        <v>855</v>
      </c>
      <c r="F139" s="1103" t="e">
        <f t="shared" ref="F139" si="63">F123/E123-1</f>
        <v>#VALUE!</v>
      </c>
      <c r="G139" s="1103">
        <f t="shared" ref="G139:S139" si="64">(G123/F123)^4-1</f>
        <v>1.7350665401546284E-2</v>
      </c>
      <c r="H139" s="1103">
        <f t="shared" si="64"/>
        <v>5.1903311323329371E-2</v>
      </c>
      <c r="I139" s="1103">
        <f t="shared" si="64"/>
        <v>8.5072603128263369E-2</v>
      </c>
      <c r="J139" s="1103">
        <f t="shared" si="64"/>
        <v>-2.5764424405961162E-2</v>
      </c>
      <c r="K139" s="1103">
        <f t="shared" si="64"/>
        <v>2.6445784830072538E-2</v>
      </c>
      <c r="L139" s="1103">
        <f t="shared" si="64"/>
        <v>-3.4420635784840226E-2</v>
      </c>
      <c r="M139" s="1103">
        <f t="shared" si="64"/>
        <v>1.7423885940878847E-2</v>
      </c>
      <c r="N139" s="1103">
        <f t="shared" si="64"/>
        <v>-3.2403751505907019E-2</v>
      </c>
      <c r="O139" s="1103">
        <f t="shared" si="64"/>
        <v>5.2582897021147934E-2</v>
      </c>
      <c r="P139" s="1103">
        <f t="shared" si="64"/>
        <v>9.6870587526498575E-2</v>
      </c>
      <c r="Q139" s="1103">
        <f t="shared" si="64"/>
        <v>2.8973729785401803E-2</v>
      </c>
      <c r="R139" s="1103">
        <f t="shared" si="64"/>
        <v>0.17714811192574409</v>
      </c>
      <c r="S139" s="1103">
        <f t="shared" si="64"/>
        <v>0.101607744588458</v>
      </c>
      <c r="T139" s="1050"/>
      <c r="U139" s="1050"/>
      <c r="V139" s="1050"/>
      <c r="W139" s="1050"/>
      <c r="X139" s="1050"/>
      <c r="Y139" s="1050"/>
      <c r="Z139" s="1050"/>
      <c r="AA139" s="1050"/>
      <c r="AB139" s="1050"/>
      <c r="AC139" s="368"/>
    </row>
    <row r="140" spans="4:29" s="1064" customFormat="1" x14ac:dyDescent="0.3">
      <c r="D140" s="825" t="s">
        <v>581</v>
      </c>
      <c r="E140" s="154" t="s">
        <v>851</v>
      </c>
      <c r="F140" s="1103" t="e">
        <f t="shared" ref="F140" si="65">F124/E124-1</f>
        <v>#VALUE!</v>
      </c>
      <c r="G140" s="1103">
        <f t="shared" ref="G140:S140" si="66">(G124/F124)^4-1</f>
        <v>3.4783891285258939E-2</v>
      </c>
      <c r="H140" s="1103">
        <f t="shared" si="66"/>
        <v>1.1995399534317164E-2</v>
      </c>
      <c r="I140" s="1103">
        <f t="shared" si="66"/>
        <v>-1.72401618421828E-2</v>
      </c>
      <c r="J140" s="1103">
        <f t="shared" si="66"/>
        <v>-8.3739764588403598E-2</v>
      </c>
      <c r="K140" s="1103">
        <f t="shared" si="66"/>
        <v>-4.1593591819862108E-2</v>
      </c>
      <c r="L140" s="1103">
        <f t="shared" si="66"/>
        <v>0.10028621896444267</v>
      </c>
      <c r="M140" s="1103">
        <f t="shared" si="66"/>
        <v>1.8865576255239436E-2</v>
      </c>
      <c r="N140" s="1103">
        <f t="shared" si="66"/>
        <v>8.4683729354623427E-2</v>
      </c>
      <c r="O140" s="1103">
        <f t="shared" si="66"/>
        <v>3.3706346430805167E-2</v>
      </c>
      <c r="P140" s="1103">
        <f t="shared" si="66"/>
        <v>4.492129388861188E-2</v>
      </c>
      <c r="Q140" s="1103">
        <f t="shared" si="66"/>
        <v>1.4067779320086293E-2</v>
      </c>
      <c r="R140" s="1103">
        <f t="shared" si="66"/>
        <v>6.6555550049419487E-2</v>
      </c>
      <c r="S140" s="1103">
        <f t="shared" si="66"/>
        <v>5.3900244910736417E-2</v>
      </c>
      <c r="T140" s="1050"/>
      <c r="U140" s="1050"/>
      <c r="V140" s="1050"/>
      <c r="W140" s="1050"/>
      <c r="X140" s="1050"/>
      <c r="Y140" s="1050"/>
      <c r="Z140" s="1050"/>
      <c r="AA140" s="1050"/>
      <c r="AB140" s="1050"/>
      <c r="AC140" s="368"/>
    </row>
    <row r="141" spans="4:29" s="1064" customFormat="1" x14ac:dyDescent="0.3">
      <c r="D141" s="768" t="s">
        <v>566</v>
      </c>
      <c r="F141" s="1103" t="e">
        <f t="shared" ref="F141" si="67">F125/E125-1</f>
        <v>#DIV/0!</v>
      </c>
      <c r="G141" s="1103">
        <f t="shared" ref="G141:S141" si="68">(G125/F125)^4-1</f>
        <v>2.4257130985616993E-2</v>
      </c>
      <c r="H141" s="1103">
        <f t="shared" si="68"/>
        <v>6.4229034399477136E-2</v>
      </c>
      <c r="I141" s="1103">
        <f t="shared" si="68"/>
        <v>6.3479192755366398E-2</v>
      </c>
      <c r="J141" s="1103">
        <f t="shared" si="68"/>
        <v>-0.23748829732952048</v>
      </c>
      <c r="K141" s="1103">
        <f t="shared" si="68"/>
        <v>0.20508073180198716</v>
      </c>
      <c r="L141" s="1103">
        <f t="shared" si="68"/>
        <v>0.1611535586248285</v>
      </c>
      <c r="M141" s="1103">
        <f t="shared" si="68"/>
        <v>2.873742311872407E-2</v>
      </c>
      <c r="N141" s="1103">
        <f t="shared" si="68"/>
        <v>0.12186398788851394</v>
      </c>
      <c r="O141" s="1103">
        <f t="shared" si="68"/>
        <v>0.11710776964011727</v>
      </c>
      <c r="P141" s="1103">
        <f t="shared" si="68"/>
        <v>0.13100342179485458</v>
      </c>
      <c r="Q141" s="1103">
        <f t="shared" si="68"/>
        <v>6.8458061444058416E-2</v>
      </c>
      <c r="R141" s="1103">
        <f t="shared" si="68"/>
        <v>4.9374455409313622E-2</v>
      </c>
      <c r="S141" s="1103">
        <f t="shared" si="68"/>
        <v>6.9593264230530583E-2</v>
      </c>
      <c r="T141" s="1050"/>
      <c r="U141" s="1050"/>
      <c r="V141" s="1050"/>
      <c r="W141" s="1050"/>
      <c r="X141" s="1050"/>
      <c r="Y141" s="1050"/>
      <c r="Z141" s="1050"/>
      <c r="AA141" s="1050"/>
      <c r="AB141" s="1050"/>
      <c r="AC141" s="368"/>
    </row>
    <row r="142" spans="4:29" s="1064" customFormat="1" x14ac:dyDescent="0.3">
      <c r="D142" s="768" t="s">
        <v>567</v>
      </c>
      <c r="E142" s="154" t="s">
        <v>585</v>
      </c>
      <c r="F142" s="1103" t="e">
        <f t="shared" ref="F142" si="69">F126/E126-1</f>
        <v>#VALUE!</v>
      </c>
      <c r="G142" s="1103">
        <f t="shared" ref="G142:S142" si="70">(G126/F126)^4-1</f>
        <v>4.5002423223402754E-2</v>
      </c>
      <c r="H142" s="1103">
        <f t="shared" si="70"/>
        <v>3.8323064342955293E-2</v>
      </c>
      <c r="I142" s="1103">
        <f t="shared" si="70"/>
        <v>-4.8032396760868568E-2</v>
      </c>
      <c r="J142" s="1103">
        <f t="shared" si="70"/>
        <v>-0.33300498256979416</v>
      </c>
      <c r="K142" s="1103">
        <f t="shared" si="70"/>
        <v>0.47798765988551417</v>
      </c>
      <c r="L142" s="1103">
        <f t="shared" si="70"/>
        <v>5.5987082820652123E-2</v>
      </c>
      <c r="M142" s="1103">
        <f t="shared" si="70"/>
        <v>0.15819874984710092</v>
      </c>
      <c r="N142" s="1103">
        <f t="shared" si="70"/>
        <v>0.1928451879925992</v>
      </c>
      <c r="O142" s="1103">
        <f t="shared" si="70"/>
        <v>8.7145430326741824E-2</v>
      </c>
      <c r="P142" s="1103">
        <f t="shared" si="70"/>
        <v>9.5040522503139657E-2</v>
      </c>
      <c r="Q142" s="1103">
        <f t="shared" si="70"/>
        <v>8.9242780231497676E-2</v>
      </c>
      <c r="R142" s="1103">
        <f t="shared" si="70"/>
        <v>9.481178927373124E-2</v>
      </c>
      <c r="S142" s="1103">
        <f t="shared" si="70"/>
        <v>6.0607843328261746E-2</v>
      </c>
      <c r="T142" s="1050"/>
      <c r="U142" s="1050"/>
      <c r="V142" s="1050"/>
      <c r="W142" s="1050"/>
      <c r="X142" s="1050"/>
      <c r="Y142" s="1050"/>
      <c r="Z142" s="1050"/>
      <c r="AA142" s="1050"/>
      <c r="AB142" s="1050"/>
      <c r="AC142" s="368"/>
    </row>
    <row r="143" spans="4:29" s="1064" customFormat="1" x14ac:dyDescent="0.3">
      <c r="D143" s="768" t="s">
        <v>582</v>
      </c>
      <c r="E143" s="154" t="s">
        <v>850</v>
      </c>
      <c r="F143" s="1103" t="e">
        <f t="shared" ref="F143" si="71">F127/E127-1</f>
        <v>#VALUE!</v>
      </c>
      <c r="G143" s="1103">
        <f t="shared" ref="G143:S143" si="72">(G127/F127)^4-1</f>
        <v>2.1539346032199758E-2</v>
      </c>
      <c r="H143" s="1103">
        <f t="shared" si="72"/>
        <v>0.11472501548972591</v>
      </c>
      <c r="I143" s="1103">
        <f t="shared" si="72"/>
        <v>-0.35009057164746982</v>
      </c>
      <c r="J143" s="1103">
        <f t="shared" si="72"/>
        <v>-0.28413788741165624</v>
      </c>
      <c r="K143" s="1103">
        <f t="shared" si="72"/>
        <v>1.667649037274042</v>
      </c>
      <c r="L143" s="1103">
        <f t="shared" si="72"/>
        <v>-0.17136450639292922</v>
      </c>
      <c r="M143" s="1103">
        <f t="shared" si="72"/>
        <v>0.49346165457827729</v>
      </c>
      <c r="N143" s="1103">
        <f t="shared" si="72"/>
        <v>0.56301012914725668</v>
      </c>
      <c r="O143" s="1103">
        <f t="shared" si="72"/>
        <v>4.1681341019436546E-2</v>
      </c>
      <c r="P143" s="1103">
        <f t="shared" si="72"/>
        <v>1.8883812263239985E-2</v>
      </c>
      <c r="Q143" s="1103">
        <f t="shared" si="72"/>
        <v>-1.7080068525602621E-2</v>
      </c>
      <c r="R143" s="1103">
        <f t="shared" si="72"/>
        <v>0.18639186970056576</v>
      </c>
      <c r="S143" s="1103">
        <f t="shared" si="72"/>
        <v>-4.155915873861038E-2</v>
      </c>
      <c r="T143" s="1050"/>
      <c r="U143" s="1050"/>
      <c r="V143" s="1050"/>
      <c r="W143" s="1050"/>
      <c r="X143" s="1050"/>
      <c r="Y143" s="1050"/>
      <c r="Z143" s="1050"/>
      <c r="AA143" s="1050"/>
      <c r="AB143" s="1050"/>
      <c r="AC143" s="368"/>
    </row>
    <row r="146" spans="4:30" x14ac:dyDescent="0.3">
      <c r="D146" s="831" t="s">
        <v>413</v>
      </c>
      <c r="E146" s="164"/>
      <c r="F146" s="164"/>
      <c r="G146" s="164"/>
      <c r="H146" s="164"/>
      <c r="I146" s="164"/>
      <c r="J146" s="164"/>
      <c r="K146" s="164"/>
      <c r="L146" s="164"/>
      <c r="M146" s="164"/>
      <c r="N146" s="164"/>
      <c r="O146" s="164"/>
      <c r="P146" s="164"/>
      <c r="Q146" s="164"/>
      <c r="R146" s="164"/>
      <c r="S146" s="164"/>
      <c r="T146" s="164"/>
      <c r="U146" s="164"/>
      <c r="V146" s="164"/>
      <c r="W146" s="164"/>
      <c r="X146" s="164"/>
      <c r="Y146" s="164"/>
    </row>
    <row r="147" spans="4:30" x14ac:dyDescent="0.3">
      <c r="D147" s="1244" t="s">
        <v>975</v>
      </c>
      <c r="E147" s="1248"/>
      <c r="F147" s="1147">
        <v>2019</v>
      </c>
      <c r="G147" s="1148"/>
      <c r="H147" s="1155"/>
      <c r="I147" s="1147">
        <v>2020</v>
      </c>
      <c r="J147" s="1148"/>
      <c r="K147" s="1148"/>
      <c r="L147" s="1155"/>
      <c r="M147" s="1147">
        <v>2021</v>
      </c>
      <c r="N147" s="1148"/>
      <c r="O147" s="1148"/>
      <c r="P147" s="1148"/>
      <c r="Q147" s="1181">
        <v>2022</v>
      </c>
      <c r="R147" s="1182"/>
      <c r="S147" s="252"/>
      <c r="T147" s="287"/>
      <c r="U147" s="1178">
        <v>2023</v>
      </c>
      <c r="V147" s="1179"/>
      <c r="W147" s="1179"/>
      <c r="X147" s="1180"/>
      <c r="Y147" s="1178">
        <v>2024</v>
      </c>
      <c r="Z147" s="1179"/>
      <c r="AA147" s="1179"/>
      <c r="AB147" s="1179"/>
      <c r="AC147" s="258">
        <v>2025</v>
      </c>
    </row>
    <row r="148" spans="4:30" x14ac:dyDescent="0.3">
      <c r="D148" s="1249"/>
      <c r="E148" s="1250"/>
      <c r="F148" s="152" t="s">
        <v>329</v>
      </c>
      <c r="G148" s="151" t="s">
        <v>238</v>
      </c>
      <c r="H148" s="203" t="s">
        <v>327</v>
      </c>
      <c r="I148" s="152" t="s">
        <v>328</v>
      </c>
      <c r="J148" s="151" t="s">
        <v>329</v>
      </c>
      <c r="K148" s="151" t="s">
        <v>238</v>
      </c>
      <c r="L148" s="203" t="s">
        <v>327</v>
      </c>
      <c r="M148" s="152" t="s">
        <v>328</v>
      </c>
      <c r="N148" s="151" t="s">
        <v>329</v>
      </c>
      <c r="O148" s="151" t="s">
        <v>238</v>
      </c>
      <c r="P148" s="151" t="s">
        <v>327</v>
      </c>
      <c r="Q148" s="152" t="s">
        <v>328</v>
      </c>
      <c r="R148" s="151" t="s">
        <v>329</v>
      </c>
      <c r="S148" s="203" t="s">
        <v>238</v>
      </c>
      <c r="T148" s="368" t="s">
        <v>327</v>
      </c>
      <c r="U148" s="273" t="s">
        <v>328</v>
      </c>
      <c r="V148" s="274" t="s">
        <v>329</v>
      </c>
      <c r="W148" s="274" t="s">
        <v>238</v>
      </c>
      <c r="X148" s="275" t="s">
        <v>327</v>
      </c>
      <c r="Y148" s="273" t="s">
        <v>328</v>
      </c>
      <c r="Z148" s="269" t="s">
        <v>329</v>
      </c>
      <c r="AA148" s="274" t="s">
        <v>238</v>
      </c>
      <c r="AB148" s="274" t="s">
        <v>327</v>
      </c>
      <c r="AC148" s="277" t="s">
        <v>328</v>
      </c>
      <c r="AD148" s="164"/>
    </row>
    <row r="149" spans="4:30" x14ac:dyDescent="0.3">
      <c r="D149" s="841" t="s">
        <v>565</v>
      </c>
      <c r="E149" s="795"/>
      <c r="F149" s="304">
        <f>F150+F151</f>
        <v>14660.3</v>
      </c>
      <c r="G149" s="305">
        <f t="shared" ref="G149:AC149" si="73">G150+G151</f>
        <v>14748</v>
      </c>
      <c r="H149" s="305">
        <f t="shared" si="73"/>
        <v>14896.1</v>
      </c>
      <c r="I149" s="305">
        <f t="shared" si="73"/>
        <v>15018.7</v>
      </c>
      <c r="J149" s="305">
        <f t="shared" si="73"/>
        <v>14127</v>
      </c>
      <c r="K149" s="305">
        <f t="shared" si="73"/>
        <v>14803.099999999999</v>
      </c>
      <c r="L149" s="305">
        <f t="shared" si="73"/>
        <v>15014.2</v>
      </c>
      <c r="M149" s="305">
        <f t="shared" si="73"/>
        <v>15152.900000000001</v>
      </c>
      <c r="N149" s="305">
        <f t="shared" si="73"/>
        <v>15654.4</v>
      </c>
      <c r="O149" s="305">
        <f t="shared" si="73"/>
        <v>15799.3</v>
      </c>
      <c r="P149" s="305">
        <f t="shared" si="73"/>
        <v>15983.8</v>
      </c>
      <c r="Q149" s="305">
        <f>Q150+Q151</f>
        <v>16571.400000000001</v>
      </c>
      <c r="R149" s="305">
        <f t="shared" si="73"/>
        <v>16848</v>
      </c>
      <c r="S149" s="423">
        <f t="shared" si="73"/>
        <v>17094.3</v>
      </c>
      <c r="T149" s="826">
        <f t="shared" si="73"/>
        <v>17315.8</v>
      </c>
      <c r="U149" s="826">
        <f t="shared" si="73"/>
        <v>17535.5</v>
      </c>
      <c r="V149" s="826">
        <f t="shared" si="73"/>
        <v>17756.5</v>
      </c>
      <c r="W149" s="826">
        <f t="shared" si="73"/>
        <v>17973.8</v>
      </c>
      <c r="X149" s="826">
        <f t="shared" si="73"/>
        <v>18172.2</v>
      </c>
      <c r="Y149" s="826">
        <f t="shared" si="73"/>
        <v>18369</v>
      </c>
      <c r="Z149" s="826">
        <f t="shared" si="73"/>
        <v>18550.099999999999</v>
      </c>
      <c r="AA149" s="826">
        <f t="shared" si="73"/>
        <v>18735.8</v>
      </c>
      <c r="AB149" s="826">
        <f t="shared" si="73"/>
        <v>18924.199999999997</v>
      </c>
      <c r="AC149" s="827">
        <f t="shared" si="73"/>
        <v>19105.7</v>
      </c>
      <c r="AD149" s="164"/>
    </row>
    <row r="150" spans="4:30" x14ac:dyDescent="0.3">
      <c r="D150" s="281" t="s">
        <v>566</v>
      </c>
      <c r="E150" s="537"/>
      <c r="F150" s="460">
        <v>9274.9</v>
      </c>
      <c r="G150" s="424">
        <v>9311.2999999999993</v>
      </c>
      <c r="H150" s="424">
        <v>9422.5</v>
      </c>
      <c r="I150" s="424">
        <v>9526.1</v>
      </c>
      <c r="J150" s="424">
        <v>8908.7999999999993</v>
      </c>
      <c r="K150" s="424">
        <v>9343.2999999999993</v>
      </c>
      <c r="L150" s="424">
        <v>9546</v>
      </c>
      <c r="M150" s="424">
        <v>9702.2000000000007</v>
      </c>
      <c r="N150" s="424">
        <v>9950.4</v>
      </c>
      <c r="O150" s="424">
        <v>10175.1</v>
      </c>
      <c r="P150" s="424">
        <v>10336.6</v>
      </c>
      <c r="Q150" s="424">
        <v>10995.9</v>
      </c>
      <c r="R150" s="424">
        <v>11172.6</v>
      </c>
      <c r="S150" s="705">
        <v>11320.4</v>
      </c>
      <c r="T150" s="452">
        <v>11443.5</v>
      </c>
      <c r="U150" s="452">
        <v>11560.2</v>
      </c>
      <c r="V150" s="452">
        <v>11675.6</v>
      </c>
      <c r="W150" s="452">
        <v>11786</v>
      </c>
      <c r="X150" s="452">
        <v>11879</v>
      </c>
      <c r="Y150" s="452">
        <v>11978</v>
      </c>
      <c r="Z150" s="452">
        <v>12076.9</v>
      </c>
      <c r="AA150" s="452">
        <v>12178.3</v>
      </c>
      <c r="AB150" s="452">
        <v>12278.8</v>
      </c>
      <c r="AC150" s="453">
        <v>12377.5</v>
      </c>
      <c r="AD150" s="164"/>
    </row>
    <row r="151" spans="4:30" x14ac:dyDescent="0.3">
      <c r="D151" s="281" t="s">
        <v>974</v>
      </c>
      <c r="E151" s="537"/>
      <c r="F151" s="460">
        <v>5385.4</v>
      </c>
      <c r="G151" s="424">
        <v>5436.7</v>
      </c>
      <c r="H151" s="424">
        <v>5473.6</v>
      </c>
      <c r="I151" s="424">
        <v>5492.6</v>
      </c>
      <c r="J151" s="424">
        <v>5218.2</v>
      </c>
      <c r="K151" s="424">
        <v>5459.8</v>
      </c>
      <c r="L151" s="424">
        <v>5468.2</v>
      </c>
      <c r="M151" s="424">
        <v>5450.7</v>
      </c>
      <c r="N151" s="424">
        <v>5704</v>
      </c>
      <c r="O151" s="424">
        <v>5624.2</v>
      </c>
      <c r="P151" s="424">
        <v>5647.2</v>
      </c>
      <c r="Q151" s="424">
        <v>5575.5</v>
      </c>
      <c r="R151" s="424">
        <v>5675.4</v>
      </c>
      <c r="S151" s="705">
        <v>5773.9</v>
      </c>
      <c r="T151" s="452">
        <v>5872.3</v>
      </c>
      <c r="U151" s="452">
        <v>5975.3</v>
      </c>
      <c r="V151" s="452">
        <v>6080.9</v>
      </c>
      <c r="W151" s="452">
        <v>6187.8</v>
      </c>
      <c r="X151" s="452">
        <v>6293.2</v>
      </c>
      <c r="Y151" s="452">
        <v>6391</v>
      </c>
      <c r="Z151" s="452">
        <v>6473.2</v>
      </c>
      <c r="AA151" s="452">
        <v>6557.5</v>
      </c>
      <c r="AB151" s="452">
        <v>6645.4</v>
      </c>
      <c r="AC151" s="453">
        <v>6728.2</v>
      </c>
      <c r="AD151" s="164"/>
    </row>
    <row r="152" spans="4:30" x14ac:dyDescent="0.3">
      <c r="D152" s="283" t="s">
        <v>567</v>
      </c>
      <c r="E152" s="537"/>
      <c r="F152" s="546"/>
      <c r="G152" s="537"/>
      <c r="H152" s="424"/>
      <c r="I152" s="424"/>
      <c r="J152" s="424"/>
      <c r="K152" s="424"/>
      <c r="L152" s="424"/>
      <c r="M152" s="424">
        <v>15041</v>
      </c>
      <c r="N152" s="424">
        <v>15551</v>
      </c>
      <c r="O152" s="424">
        <v>15824</v>
      </c>
      <c r="P152" s="424">
        <v>16056</v>
      </c>
      <c r="Q152" s="424">
        <v>16690.7</v>
      </c>
      <c r="R152" s="424">
        <v>16993</v>
      </c>
      <c r="S152" s="705">
        <v>17251.3</v>
      </c>
      <c r="T152" s="452">
        <v>17488.099999999999</v>
      </c>
      <c r="U152" s="452">
        <v>17692.3</v>
      </c>
      <c r="V152" s="452">
        <v>17892.599999999999</v>
      </c>
      <c r="W152" s="452">
        <v>18086.3</v>
      </c>
      <c r="X152" s="452">
        <v>18268.2</v>
      </c>
      <c r="Y152" s="452">
        <v>18446.3</v>
      </c>
      <c r="Z152" s="452">
        <v>18612.400000000001</v>
      </c>
      <c r="AA152" s="452">
        <v>18774.5</v>
      </c>
      <c r="AB152" s="452">
        <v>18946.900000000001</v>
      </c>
      <c r="AC152" s="453">
        <v>19117.900000000001</v>
      </c>
    </row>
    <row r="153" spans="4:30" ht="18.75" customHeight="1" x14ac:dyDescent="0.3">
      <c r="D153" s="284" t="s">
        <v>574</v>
      </c>
      <c r="E153" s="541"/>
      <c r="F153" s="572"/>
      <c r="G153" s="541"/>
      <c r="H153" s="717"/>
      <c r="I153" s="717"/>
      <c r="J153" s="717"/>
      <c r="K153" s="717"/>
      <c r="L153" s="717"/>
      <c r="M153" s="717">
        <v>1874</v>
      </c>
      <c r="N153" s="717">
        <v>2307</v>
      </c>
      <c r="O153" s="717">
        <v>2443</v>
      </c>
      <c r="P153" s="717">
        <v>2460</v>
      </c>
      <c r="Q153" s="717">
        <v>2329.5</v>
      </c>
      <c r="R153" s="717">
        <v>2420.1999999999998</v>
      </c>
      <c r="S153" s="718">
        <v>2468.6999999999998</v>
      </c>
      <c r="T153" s="721">
        <v>2486.6999999999998</v>
      </c>
      <c r="U153" s="721">
        <v>2482.1999999999998</v>
      </c>
      <c r="V153" s="721">
        <v>2468.8000000000002</v>
      </c>
      <c r="W153" s="721">
        <v>2453.8000000000002</v>
      </c>
      <c r="X153" s="721">
        <v>2440.6999999999998</v>
      </c>
      <c r="Y153" s="721">
        <v>2429.4</v>
      </c>
      <c r="Z153" s="721">
        <v>2426.5</v>
      </c>
      <c r="AA153" s="721">
        <v>2418</v>
      </c>
      <c r="AB153" s="721">
        <v>2431.3000000000002</v>
      </c>
      <c r="AC153" s="722">
        <v>2440.1</v>
      </c>
    </row>
    <row r="154" spans="4:30" x14ac:dyDescent="0.3">
      <c r="R154" s="154"/>
      <c r="S154" s="154"/>
      <c r="T154" s="154"/>
      <c r="U154" s="154"/>
      <c r="V154" s="154"/>
      <c r="W154" s="154"/>
      <c r="X154" s="154"/>
    </row>
    <row r="156" spans="4:30" ht="14.55" customHeight="1" x14ac:dyDescent="0.3"/>
    <row r="157" spans="4:30" ht="14.55" customHeight="1" x14ac:dyDescent="0.3"/>
    <row r="158" spans="4:30" ht="14.55" customHeight="1" x14ac:dyDescent="0.3"/>
  </sheetData>
  <mergeCells count="43">
    <mergeCell ref="U147:X147"/>
    <mergeCell ref="M147:P147"/>
    <mergeCell ref="M110:P110"/>
    <mergeCell ref="F110:H110"/>
    <mergeCell ref="I110:L110"/>
    <mergeCell ref="U110:X110"/>
    <mergeCell ref="Q110:R110"/>
    <mergeCell ref="T5:AC5"/>
    <mergeCell ref="F5:S5"/>
    <mergeCell ref="D112:E112"/>
    <mergeCell ref="O57:V57"/>
    <mergeCell ref="P58:S58"/>
    <mergeCell ref="D110:E111"/>
    <mergeCell ref="D99:E100"/>
    <mergeCell ref="F99:H99"/>
    <mergeCell ref="D1:AC1"/>
    <mergeCell ref="Y147:AB147"/>
    <mergeCell ref="Y6:AB6"/>
    <mergeCell ref="D147:E148"/>
    <mergeCell ref="U6:X6"/>
    <mergeCell ref="F147:H147"/>
    <mergeCell ref="F6:H6"/>
    <mergeCell ref="I6:L6"/>
    <mergeCell ref="D5:E7"/>
    <mergeCell ref="M6:P6"/>
    <mergeCell ref="D32:F32"/>
    <mergeCell ref="I147:L147"/>
    <mergeCell ref="D2:AC3"/>
    <mergeCell ref="Q6:R6"/>
    <mergeCell ref="Q147:R147"/>
    <mergeCell ref="Y110:AB110"/>
    <mergeCell ref="U91:X91"/>
    <mergeCell ref="Y91:AB91"/>
    <mergeCell ref="I99:L99"/>
    <mergeCell ref="M99:P99"/>
    <mergeCell ref="Q99:R99"/>
    <mergeCell ref="U99:X99"/>
    <mergeCell ref="Y99:AB99"/>
    <mergeCell ref="D91:E92"/>
    <mergeCell ref="F91:H91"/>
    <mergeCell ref="I91:L91"/>
    <mergeCell ref="M91:P91"/>
    <mergeCell ref="Q91:R91"/>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3:Q54"/>
  <sheetViews>
    <sheetView zoomScale="67" workbookViewId="0">
      <selection activeCell="A51" sqref="A51:P53"/>
    </sheetView>
  </sheetViews>
  <sheetFormatPr defaultColWidth="11.5546875" defaultRowHeight="14.4" x14ac:dyDescent="0.3"/>
  <cols>
    <col min="3" max="3" width="33.77734375" customWidth="1"/>
  </cols>
  <sheetData>
    <row r="3" spans="1:17" x14ac:dyDescent="0.3">
      <c r="A3" s="770" t="s">
        <v>588</v>
      </c>
      <c r="B3" s="154"/>
    </row>
    <row r="4" spans="1:17" x14ac:dyDescent="0.3">
      <c r="A4" s="865" t="s">
        <v>589</v>
      </c>
      <c r="B4" s="866"/>
      <c r="C4" s="866"/>
    </row>
    <row r="7" spans="1:17" x14ac:dyDescent="0.3">
      <c r="A7" s="1269" t="s">
        <v>590</v>
      </c>
      <c r="B7" s="1270"/>
      <c r="C7" s="1270"/>
      <c r="D7" s="1270"/>
      <c r="E7" s="1270"/>
      <c r="F7" s="1270"/>
      <c r="G7" s="1270"/>
      <c r="H7" s="1270"/>
      <c r="I7" s="1270"/>
      <c r="J7" s="1270"/>
      <c r="K7" s="1270"/>
      <c r="L7" s="1270"/>
      <c r="M7" s="1270"/>
      <c r="N7" s="1270"/>
      <c r="O7" s="1270"/>
      <c r="P7" s="1270"/>
    </row>
    <row r="8" spans="1:17" x14ac:dyDescent="0.3">
      <c r="A8" s="264" t="s">
        <v>591</v>
      </c>
      <c r="B8" s="264"/>
      <c r="C8" s="264"/>
      <c r="D8" s="860"/>
      <c r="E8" s="264"/>
      <c r="F8" s="264"/>
      <c r="G8" s="264"/>
      <c r="H8" s="264"/>
      <c r="I8" s="264"/>
      <c r="J8" s="264"/>
      <c r="K8" s="264"/>
      <c r="L8" s="264"/>
      <c r="M8" s="264"/>
      <c r="N8" s="264"/>
      <c r="O8" s="264"/>
      <c r="P8" s="264"/>
    </row>
    <row r="9" spans="1:17" x14ac:dyDescent="0.3">
      <c r="A9" s="154"/>
      <c r="B9" s="154"/>
      <c r="C9" s="154"/>
      <c r="D9" s="861"/>
      <c r="E9" s="154"/>
      <c r="F9" s="154"/>
      <c r="G9" s="154"/>
      <c r="H9" s="154"/>
      <c r="I9" s="154"/>
      <c r="J9" s="154"/>
      <c r="K9" s="154"/>
      <c r="L9" s="154"/>
      <c r="M9" s="154"/>
      <c r="N9" s="154"/>
      <c r="O9" s="154"/>
      <c r="P9" s="154"/>
    </row>
    <row r="10" spans="1:17" x14ac:dyDescent="0.3">
      <c r="A10" s="154"/>
      <c r="B10" s="154"/>
      <c r="C10" s="154"/>
      <c r="D10" s="861"/>
      <c r="E10" s="154"/>
      <c r="F10" s="154"/>
      <c r="G10" s="154"/>
      <c r="H10" s="154"/>
      <c r="I10" s="154"/>
      <c r="J10" s="154"/>
      <c r="K10" s="154"/>
      <c r="L10" s="154"/>
      <c r="M10" s="154"/>
      <c r="N10" s="154"/>
      <c r="O10" s="1271" t="s">
        <v>360</v>
      </c>
      <c r="P10" s="1271"/>
    </row>
    <row r="11" spans="1:17" x14ac:dyDescent="0.3">
      <c r="A11" s="154"/>
      <c r="B11" s="154"/>
      <c r="C11" s="195"/>
      <c r="D11" s="268"/>
      <c r="E11" s="195"/>
      <c r="F11" s="195"/>
      <c r="G11" s="195"/>
      <c r="H11" s="195"/>
      <c r="I11" s="195"/>
      <c r="J11" s="195"/>
      <c r="K11" s="195"/>
      <c r="L11" s="195"/>
      <c r="M11" s="195"/>
      <c r="N11" s="195"/>
      <c r="O11" s="534" t="s">
        <v>592</v>
      </c>
      <c r="P11" s="534" t="s">
        <v>592</v>
      </c>
    </row>
    <row r="12" spans="1:17" x14ac:dyDescent="0.3">
      <c r="A12" s="264"/>
      <c r="B12" s="264"/>
      <c r="C12" s="264"/>
      <c r="D12" s="860">
        <v>2020</v>
      </c>
      <c r="E12" s="860">
        <v>2021</v>
      </c>
      <c r="F12" s="860">
        <v>2022</v>
      </c>
      <c r="G12" s="860">
        <v>2023</v>
      </c>
      <c r="H12" s="860">
        <v>2024</v>
      </c>
      <c r="I12" s="860">
        <v>2025</v>
      </c>
      <c r="J12" s="860">
        <v>2026</v>
      </c>
      <c r="K12" s="860">
        <v>2027</v>
      </c>
      <c r="L12" s="860">
        <v>2028</v>
      </c>
      <c r="M12" s="860">
        <v>2029</v>
      </c>
      <c r="N12" s="860">
        <v>2030</v>
      </c>
      <c r="O12" s="857">
        <v>2025</v>
      </c>
      <c r="P12" s="857">
        <v>2030</v>
      </c>
    </row>
    <row r="13" spans="1:17" x14ac:dyDescent="0.3">
      <c r="A13" s="195" t="s">
        <v>593</v>
      </c>
      <c r="B13" s="195"/>
      <c r="C13" s="195"/>
      <c r="D13" s="868">
        <v>540.56299999999999</v>
      </c>
      <c r="E13" s="868">
        <v>0</v>
      </c>
      <c r="F13" s="868">
        <v>0</v>
      </c>
      <c r="G13" s="868">
        <v>0</v>
      </c>
      <c r="H13" s="868">
        <v>0</v>
      </c>
      <c r="I13" s="868">
        <v>0</v>
      </c>
      <c r="J13" s="868">
        <v>0</v>
      </c>
      <c r="K13" s="868">
        <v>0</v>
      </c>
      <c r="L13" s="868">
        <v>0</v>
      </c>
      <c r="M13" s="868">
        <v>0</v>
      </c>
      <c r="N13" s="868">
        <v>0</v>
      </c>
      <c r="O13" s="868">
        <v>0</v>
      </c>
      <c r="P13" s="868">
        <v>0</v>
      </c>
      <c r="Q13" t="s">
        <v>50</v>
      </c>
    </row>
    <row r="14" spans="1:17" x14ac:dyDescent="0.3">
      <c r="A14" s="154" t="s">
        <v>594</v>
      </c>
      <c r="B14" s="154"/>
      <c r="C14" s="154"/>
      <c r="D14" s="268"/>
      <c r="E14" s="195"/>
      <c r="F14" s="195"/>
      <c r="G14" s="195"/>
      <c r="H14" s="195"/>
      <c r="I14" s="195"/>
      <c r="J14" s="195"/>
      <c r="K14" s="195"/>
      <c r="L14" s="195"/>
      <c r="M14" s="195"/>
      <c r="N14" s="195"/>
      <c r="O14" s="195"/>
      <c r="P14" s="195"/>
      <c r="Q14" t="s">
        <v>595</v>
      </c>
    </row>
    <row r="15" spans="1:17" x14ac:dyDescent="0.3">
      <c r="A15" s="154"/>
      <c r="B15" s="154" t="s">
        <v>596</v>
      </c>
      <c r="C15" s="154"/>
      <c r="D15" s="268">
        <v>285.56</v>
      </c>
      <c r="E15" s="268">
        <v>5</v>
      </c>
      <c r="F15" s="268">
        <v>0</v>
      </c>
      <c r="G15" s="268">
        <v>0</v>
      </c>
      <c r="H15" s="268">
        <v>0</v>
      </c>
      <c r="I15" s="268">
        <v>0</v>
      </c>
      <c r="J15" s="268">
        <v>0</v>
      </c>
      <c r="K15" s="268">
        <v>0</v>
      </c>
      <c r="L15" s="268">
        <v>0</v>
      </c>
      <c r="M15" s="268">
        <v>0</v>
      </c>
      <c r="N15" s="268">
        <v>0</v>
      </c>
      <c r="O15" s="268">
        <v>5</v>
      </c>
      <c r="P15" s="268">
        <v>5</v>
      </c>
    </row>
    <row r="16" spans="1:17" x14ac:dyDescent="0.3">
      <c r="A16" s="195"/>
      <c r="B16" s="154" t="s">
        <v>597</v>
      </c>
      <c r="C16" s="195"/>
      <c r="D16" s="268">
        <v>67.209999999999994</v>
      </c>
      <c r="E16" s="268">
        <v>13.68</v>
      </c>
      <c r="F16" s="268">
        <v>0</v>
      </c>
      <c r="G16" s="268">
        <v>0</v>
      </c>
      <c r="H16" s="268">
        <v>0</v>
      </c>
      <c r="I16" s="268">
        <v>0</v>
      </c>
      <c r="J16" s="268">
        <v>0</v>
      </c>
      <c r="K16" s="268">
        <v>0</v>
      </c>
      <c r="L16" s="268">
        <v>0</v>
      </c>
      <c r="M16" s="268">
        <v>0</v>
      </c>
      <c r="N16" s="268">
        <v>0</v>
      </c>
      <c r="O16" s="268">
        <v>13.68</v>
      </c>
      <c r="P16" s="268">
        <v>13.68</v>
      </c>
    </row>
    <row r="17" spans="1:17" x14ac:dyDescent="0.3">
      <c r="A17" s="195"/>
      <c r="B17" s="154" t="s">
        <v>598</v>
      </c>
      <c r="C17" s="195"/>
      <c r="D17" s="268">
        <v>11.12</v>
      </c>
      <c r="E17" s="268">
        <v>47.8</v>
      </c>
      <c r="F17" s="268">
        <v>0</v>
      </c>
      <c r="G17" s="268">
        <v>0</v>
      </c>
      <c r="H17" s="268">
        <v>0</v>
      </c>
      <c r="I17" s="268">
        <v>0</v>
      </c>
      <c r="J17" s="268">
        <v>0</v>
      </c>
      <c r="K17" s="268">
        <v>0</v>
      </c>
      <c r="L17" s="268">
        <v>0</v>
      </c>
      <c r="M17" s="268">
        <v>0</v>
      </c>
      <c r="N17" s="268">
        <v>0</v>
      </c>
      <c r="O17" s="268">
        <v>47.8</v>
      </c>
      <c r="P17" s="268">
        <v>47.8</v>
      </c>
    </row>
    <row r="18" spans="1:17" x14ac:dyDescent="0.3">
      <c r="A18" s="195"/>
      <c r="B18" s="154" t="s">
        <v>599</v>
      </c>
      <c r="C18" s="195"/>
      <c r="D18" s="268">
        <v>6.2149999999999999</v>
      </c>
      <c r="E18" s="268">
        <v>5.0049999999999999</v>
      </c>
      <c r="F18" s="268">
        <v>0</v>
      </c>
      <c r="G18" s="268">
        <v>0</v>
      </c>
      <c r="H18" s="268">
        <v>0</v>
      </c>
      <c r="I18" s="268">
        <v>0</v>
      </c>
      <c r="J18" s="268">
        <v>0</v>
      </c>
      <c r="K18" s="268">
        <v>0</v>
      </c>
      <c r="L18" s="268">
        <v>0</v>
      </c>
      <c r="M18" s="268">
        <v>0</v>
      </c>
      <c r="N18" s="268">
        <v>0</v>
      </c>
      <c r="O18" s="268">
        <v>5.0049999999999999</v>
      </c>
      <c r="P18" s="268">
        <v>5.0049999999999999</v>
      </c>
    </row>
    <row r="19" spans="1:17" x14ac:dyDescent="0.3">
      <c r="A19" s="195"/>
      <c r="B19" s="154"/>
      <c r="C19" s="195"/>
      <c r="D19" s="268" t="s">
        <v>600</v>
      </c>
      <c r="E19" s="268" t="s">
        <v>600</v>
      </c>
      <c r="F19" s="268" t="s">
        <v>600</v>
      </c>
      <c r="G19" s="268" t="s">
        <v>600</v>
      </c>
      <c r="H19" s="268" t="s">
        <v>600</v>
      </c>
      <c r="I19" s="268" t="s">
        <v>600</v>
      </c>
      <c r="J19" s="268" t="s">
        <v>600</v>
      </c>
      <c r="K19" s="268" t="s">
        <v>600</v>
      </c>
      <c r="L19" s="268" t="s">
        <v>600</v>
      </c>
      <c r="M19" s="268" t="s">
        <v>600</v>
      </c>
      <c r="N19" s="268" t="s">
        <v>600</v>
      </c>
      <c r="O19" s="268" t="s">
        <v>600</v>
      </c>
      <c r="P19" s="268" t="s">
        <v>600</v>
      </c>
    </row>
    <row r="20" spans="1:17" x14ac:dyDescent="0.3">
      <c r="A20" s="195"/>
      <c r="B20" s="154"/>
      <c r="C20" s="195" t="s">
        <v>601</v>
      </c>
      <c r="D20" s="268">
        <v>370.10500000000002</v>
      </c>
      <c r="E20" s="268">
        <v>71.484999999999999</v>
      </c>
      <c r="F20" s="268">
        <v>0</v>
      </c>
      <c r="G20" s="268">
        <v>0</v>
      </c>
      <c r="H20" s="268">
        <v>0</v>
      </c>
      <c r="I20" s="268">
        <v>0</v>
      </c>
      <c r="J20" s="268">
        <v>0</v>
      </c>
      <c r="K20" s="268">
        <v>0</v>
      </c>
      <c r="L20" s="268">
        <v>0</v>
      </c>
      <c r="M20" s="268">
        <v>0</v>
      </c>
      <c r="N20" s="268">
        <v>0</v>
      </c>
      <c r="O20" s="268">
        <v>71.484999999999999</v>
      </c>
      <c r="P20" s="268">
        <v>71.484999999999999</v>
      </c>
    </row>
    <row r="21" spans="1:17" x14ac:dyDescent="0.3">
      <c r="A21" s="195"/>
      <c r="B21" s="154"/>
      <c r="C21" s="195"/>
      <c r="D21" s="268"/>
      <c r="E21" s="268"/>
      <c r="F21" s="268"/>
      <c r="G21" s="268"/>
      <c r="H21" s="268"/>
      <c r="I21" s="268"/>
      <c r="J21" s="268"/>
      <c r="K21" s="268"/>
      <c r="L21" s="268"/>
      <c r="M21" s="268"/>
      <c r="N21" s="268"/>
      <c r="O21" s="268"/>
      <c r="P21" s="268"/>
    </row>
    <row r="22" spans="1:17" ht="16.95" customHeight="1" x14ac:dyDescent="0.3">
      <c r="A22" s="195" t="s">
        <v>602</v>
      </c>
      <c r="B22" s="154"/>
      <c r="C22" s="195"/>
      <c r="D22" s="268">
        <v>271.98399999999998</v>
      </c>
      <c r="E22" s="268">
        <v>9.327</v>
      </c>
      <c r="F22" s="268">
        <v>0</v>
      </c>
      <c r="G22" s="268">
        <v>0</v>
      </c>
      <c r="H22" s="268">
        <v>0</v>
      </c>
      <c r="I22" s="268">
        <v>0</v>
      </c>
      <c r="J22" s="268">
        <v>0</v>
      </c>
      <c r="K22" s="268">
        <v>0</v>
      </c>
      <c r="L22" s="268">
        <v>0</v>
      </c>
      <c r="M22" s="268">
        <v>0</v>
      </c>
      <c r="N22" s="268">
        <v>0</v>
      </c>
      <c r="O22" s="268">
        <v>9.327</v>
      </c>
      <c r="P22" s="268">
        <v>9.327</v>
      </c>
      <c r="Q22" t="s">
        <v>603</v>
      </c>
    </row>
    <row r="23" spans="1:17" x14ac:dyDescent="0.3">
      <c r="A23" s="195" t="s">
        <v>149</v>
      </c>
      <c r="B23" s="154"/>
      <c r="C23" s="154"/>
      <c r="D23" s="268">
        <v>149.97300000000001</v>
      </c>
      <c r="E23" s="268">
        <v>2.5999999999999999E-2</v>
      </c>
      <c r="F23" s="268">
        <v>0</v>
      </c>
      <c r="G23" s="268">
        <v>0</v>
      </c>
      <c r="H23" s="268">
        <v>0</v>
      </c>
      <c r="I23" s="268">
        <v>0</v>
      </c>
      <c r="J23" s="268">
        <v>0</v>
      </c>
      <c r="K23" s="268">
        <v>0</v>
      </c>
      <c r="L23" s="268">
        <v>0</v>
      </c>
      <c r="M23" s="268">
        <v>0</v>
      </c>
      <c r="N23" s="268">
        <v>0</v>
      </c>
      <c r="O23" s="268">
        <v>2.5999999999999999E-2</v>
      </c>
      <c r="P23" s="268">
        <v>2.5999999999999999E-2</v>
      </c>
      <c r="Q23" t="s">
        <v>51</v>
      </c>
    </row>
    <row r="24" spans="1:17" x14ac:dyDescent="0.3">
      <c r="A24" s="195" t="s">
        <v>604</v>
      </c>
      <c r="B24" s="154"/>
      <c r="C24" s="154"/>
      <c r="D24" s="268">
        <v>135.41999999999999</v>
      </c>
      <c r="E24" s="268">
        <v>72.537999999999997</v>
      </c>
      <c r="F24" s="268">
        <v>10.331</v>
      </c>
      <c r="G24" s="268">
        <v>4.2670000000000003</v>
      </c>
      <c r="H24" s="268">
        <v>1.347</v>
      </c>
      <c r="I24" s="268">
        <v>0.67400000000000004</v>
      </c>
      <c r="J24" s="268">
        <v>0</v>
      </c>
      <c r="K24" s="268">
        <v>0</v>
      </c>
      <c r="L24" s="268">
        <v>0</v>
      </c>
      <c r="M24" s="268">
        <v>0</v>
      </c>
      <c r="N24" s="268">
        <v>0</v>
      </c>
      <c r="O24" s="268">
        <v>89.156999999999996</v>
      </c>
      <c r="P24" s="268">
        <v>89.156999999999996</v>
      </c>
      <c r="Q24" t="s">
        <v>605</v>
      </c>
    </row>
    <row r="25" spans="1:17" x14ac:dyDescent="0.3">
      <c r="A25" s="195" t="s">
        <v>606</v>
      </c>
      <c r="B25" s="154"/>
      <c r="C25" s="154"/>
      <c r="D25" s="268"/>
      <c r="E25" s="268"/>
      <c r="F25" s="268"/>
      <c r="G25" s="268"/>
      <c r="H25" s="268"/>
      <c r="I25" s="268"/>
      <c r="J25" s="268"/>
      <c r="K25" s="268"/>
      <c r="L25" s="268"/>
      <c r="M25" s="268"/>
      <c r="N25" s="268"/>
      <c r="O25" s="268"/>
      <c r="P25" s="268"/>
    </row>
    <row r="26" spans="1:17" x14ac:dyDescent="0.3">
      <c r="A26" s="195" t="s">
        <v>607</v>
      </c>
      <c r="B26" s="154"/>
      <c r="C26" s="154"/>
      <c r="D26" s="268">
        <v>40.831000000000003</v>
      </c>
      <c r="E26" s="268">
        <v>79.391999999999996</v>
      </c>
      <c r="F26" s="268">
        <v>47.442999999999998</v>
      </c>
      <c r="G26" s="268">
        <v>4.7220000000000004</v>
      </c>
      <c r="H26" s="268">
        <v>0</v>
      </c>
      <c r="I26" s="268">
        <v>0</v>
      </c>
      <c r="J26" s="268">
        <v>0</v>
      </c>
      <c r="K26" s="268">
        <v>0</v>
      </c>
      <c r="L26" s="268">
        <v>0</v>
      </c>
      <c r="M26" s="268">
        <v>0</v>
      </c>
      <c r="N26" s="268">
        <v>0</v>
      </c>
      <c r="O26" s="268">
        <v>131.55699999999999</v>
      </c>
      <c r="P26" s="268">
        <v>131.55699999999999</v>
      </c>
      <c r="Q26" t="s">
        <v>133</v>
      </c>
    </row>
    <row r="27" spans="1:17" x14ac:dyDescent="0.3">
      <c r="A27" s="195" t="s">
        <v>608</v>
      </c>
      <c r="B27" s="154"/>
      <c r="C27" s="154"/>
      <c r="D27" s="268">
        <v>58.054000000000002</v>
      </c>
      <c r="E27" s="268">
        <v>14.755000000000001</v>
      </c>
      <c r="F27" s="268">
        <v>3.4750000000000001</v>
      </c>
      <c r="G27" s="268">
        <v>3.9249999999999998</v>
      </c>
      <c r="H27" s="268">
        <v>4.375</v>
      </c>
      <c r="I27" s="268">
        <v>4.375</v>
      </c>
      <c r="J27" s="268">
        <v>4.5</v>
      </c>
      <c r="K27" s="268">
        <v>4.5</v>
      </c>
      <c r="L27" s="268">
        <v>4.5</v>
      </c>
      <c r="M27" s="268">
        <v>4.5</v>
      </c>
      <c r="N27" s="268">
        <v>4.5</v>
      </c>
      <c r="O27" s="268">
        <v>30.905000000000001</v>
      </c>
      <c r="P27" s="268">
        <v>53.405000000000001</v>
      </c>
    </row>
    <row r="28" spans="1:17" x14ac:dyDescent="0.3">
      <c r="A28" s="195" t="s">
        <v>609</v>
      </c>
      <c r="B28" s="154"/>
      <c r="C28" s="154"/>
      <c r="D28" s="268">
        <v>47.372999999999998</v>
      </c>
      <c r="E28" s="268">
        <v>-46.081000000000003</v>
      </c>
      <c r="F28" s="268">
        <v>0</v>
      </c>
      <c r="G28" s="268">
        <v>0</v>
      </c>
      <c r="H28" s="268">
        <v>0</v>
      </c>
      <c r="I28" s="268">
        <v>0</v>
      </c>
      <c r="J28" s="268">
        <v>0</v>
      </c>
      <c r="K28" s="268">
        <v>0</v>
      </c>
      <c r="L28" s="268">
        <v>0</v>
      </c>
      <c r="M28" s="268">
        <v>0</v>
      </c>
      <c r="N28" s="268">
        <v>0</v>
      </c>
      <c r="O28" s="268">
        <v>-46.081000000000003</v>
      </c>
      <c r="P28" s="268">
        <v>-46.081000000000003</v>
      </c>
      <c r="Q28" t="s">
        <v>55</v>
      </c>
    </row>
    <row r="29" spans="1:17" x14ac:dyDescent="0.3">
      <c r="A29" s="195" t="s">
        <v>610</v>
      </c>
      <c r="B29" s="154"/>
      <c r="C29" s="154"/>
      <c r="D29" s="268">
        <v>24.475000000000001</v>
      </c>
      <c r="E29" s="268">
        <v>32.784999999999997</v>
      </c>
      <c r="F29" s="268">
        <v>8.4600000000000009</v>
      </c>
      <c r="G29" s="268">
        <v>0</v>
      </c>
      <c r="H29" s="268">
        <v>0</v>
      </c>
      <c r="I29" s="268">
        <v>0</v>
      </c>
      <c r="J29" s="268">
        <v>0</v>
      </c>
      <c r="K29" s="268">
        <v>0</v>
      </c>
      <c r="L29" s="268">
        <v>0</v>
      </c>
      <c r="M29" s="268">
        <v>0</v>
      </c>
      <c r="N29" s="268">
        <v>0</v>
      </c>
      <c r="O29" s="268">
        <v>41.244999999999997</v>
      </c>
      <c r="P29" s="268">
        <v>41.244999999999997</v>
      </c>
      <c r="Q29" t="s">
        <v>611</v>
      </c>
    </row>
    <row r="30" spans="1:17" x14ac:dyDescent="0.3">
      <c r="A30" s="195" t="s">
        <v>612</v>
      </c>
      <c r="B30" s="154"/>
      <c r="C30" s="154"/>
      <c r="D30" s="268">
        <v>27.5</v>
      </c>
      <c r="E30" s="268">
        <v>0.86</v>
      </c>
      <c r="F30" s="268">
        <v>-0.22</v>
      </c>
      <c r="G30" s="268">
        <v>-0.49</v>
      </c>
      <c r="H30" s="268">
        <v>-0.56000000000000005</v>
      </c>
      <c r="I30" s="268">
        <v>-0.98</v>
      </c>
      <c r="J30" s="268">
        <v>-0.76</v>
      </c>
      <c r="K30" s="268">
        <v>-0.74</v>
      </c>
      <c r="L30" s="268">
        <v>-0.72</v>
      </c>
      <c r="M30" s="268">
        <v>-0.7</v>
      </c>
      <c r="N30" s="268">
        <v>-0.69</v>
      </c>
      <c r="O30" s="268">
        <v>-1.39</v>
      </c>
      <c r="P30" s="268">
        <v>-5</v>
      </c>
      <c r="Q30" t="s">
        <v>52</v>
      </c>
    </row>
    <row r="31" spans="1:17" x14ac:dyDescent="0.3">
      <c r="A31" s="195" t="s">
        <v>150</v>
      </c>
      <c r="B31" s="154"/>
      <c r="C31" s="154"/>
      <c r="D31" s="268">
        <v>11.407999999999999</v>
      </c>
      <c r="E31" s="268">
        <v>10.763</v>
      </c>
      <c r="F31" s="268">
        <v>5.7809999999999997</v>
      </c>
      <c r="G31" s="268">
        <v>0.92300000000000004</v>
      </c>
      <c r="H31" s="268">
        <v>0.52300000000000002</v>
      </c>
      <c r="I31" s="268">
        <v>0.43099999999999999</v>
      </c>
      <c r="J31" s="268">
        <v>0.246</v>
      </c>
      <c r="K31" s="268">
        <v>0</v>
      </c>
      <c r="L31" s="268">
        <v>0</v>
      </c>
      <c r="M31" s="268">
        <v>0</v>
      </c>
      <c r="N31" s="268">
        <v>0</v>
      </c>
      <c r="O31" s="268">
        <v>18.420999999999999</v>
      </c>
      <c r="P31" s="268">
        <v>18.667000000000002</v>
      </c>
      <c r="Q31" t="s">
        <v>613</v>
      </c>
    </row>
    <row r="32" spans="1:17" x14ac:dyDescent="0.3">
      <c r="A32" s="195" t="s">
        <v>614</v>
      </c>
      <c r="B32" s="154"/>
      <c r="C32" s="154"/>
      <c r="D32" s="268">
        <v>99.444000000000003</v>
      </c>
      <c r="E32" s="268">
        <v>61.634</v>
      </c>
      <c r="F32" s="268">
        <v>23.815000000000001</v>
      </c>
      <c r="G32" s="268">
        <v>7.35</v>
      </c>
      <c r="H32" s="268">
        <v>4.4029999999999996</v>
      </c>
      <c r="I32" s="268">
        <v>1.663</v>
      </c>
      <c r="J32" s="268">
        <v>0.74399999999999999</v>
      </c>
      <c r="K32" s="268">
        <v>0.65500000000000003</v>
      </c>
      <c r="L32" s="268">
        <v>0.68799999999999994</v>
      </c>
      <c r="M32" s="268">
        <v>10.603</v>
      </c>
      <c r="N32" s="268">
        <v>-35.328000000000003</v>
      </c>
      <c r="O32" s="268">
        <v>98.864999999999995</v>
      </c>
      <c r="P32" s="268">
        <v>76.227000000000004</v>
      </c>
      <c r="Q32" t="s">
        <v>615</v>
      </c>
    </row>
    <row r="33" spans="1:16" x14ac:dyDescent="0.3">
      <c r="A33" s="195"/>
      <c r="B33" s="154"/>
      <c r="C33" s="154"/>
      <c r="D33" s="268"/>
      <c r="E33" s="268"/>
      <c r="F33" s="268"/>
      <c r="G33" s="268"/>
      <c r="H33" s="268"/>
      <c r="I33" s="268"/>
      <c r="J33" s="268"/>
      <c r="K33" s="268"/>
      <c r="L33" s="268"/>
      <c r="M33" s="268"/>
      <c r="N33" s="268"/>
      <c r="O33" s="268"/>
      <c r="P33" s="268"/>
    </row>
    <row r="34" spans="1:16" x14ac:dyDescent="0.3">
      <c r="A34" s="858"/>
      <c r="B34" s="858"/>
      <c r="C34" s="858" t="s">
        <v>360</v>
      </c>
      <c r="D34" s="859">
        <v>1777.13</v>
      </c>
      <c r="E34" s="859">
        <v>307.48399999999998</v>
      </c>
      <c r="F34" s="859">
        <v>99.084999999999994</v>
      </c>
      <c r="G34" s="859">
        <v>20.696999999999999</v>
      </c>
      <c r="H34" s="859">
        <v>10.087999999999999</v>
      </c>
      <c r="I34" s="859">
        <v>6.1630000000000003</v>
      </c>
      <c r="J34" s="859">
        <v>4.7300000000000004</v>
      </c>
      <c r="K34" s="859">
        <v>4.415</v>
      </c>
      <c r="L34" s="859">
        <v>4.468</v>
      </c>
      <c r="M34" s="859">
        <v>14.403</v>
      </c>
      <c r="N34" s="859">
        <v>-31.518000000000001</v>
      </c>
      <c r="O34" s="859">
        <v>443.517</v>
      </c>
      <c r="P34" s="859">
        <v>440.01499999999999</v>
      </c>
    </row>
    <row r="35" spans="1:16" x14ac:dyDescent="0.3">
      <c r="A35" s="154"/>
      <c r="B35" s="154"/>
      <c r="C35" s="154"/>
      <c r="D35" s="867"/>
      <c r="E35" s="450"/>
      <c r="F35" s="195"/>
      <c r="G35" s="195"/>
      <c r="H35" s="195"/>
      <c r="I35" s="195"/>
      <c r="J35" s="195"/>
      <c r="K35" s="195"/>
      <c r="L35" s="195"/>
      <c r="M35" s="195"/>
      <c r="N35" s="195"/>
      <c r="O35" s="195"/>
      <c r="P35" s="195"/>
    </row>
    <row r="36" spans="1:16" x14ac:dyDescent="0.3">
      <c r="A36" s="856" t="s">
        <v>616</v>
      </c>
      <c r="B36" s="856"/>
      <c r="C36" s="856"/>
      <c r="D36" s="862"/>
      <c r="E36" s="856"/>
      <c r="F36" s="856"/>
      <c r="G36" s="856"/>
      <c r="H36" s="856"/>
      <c r="I36" s="856"/>
      <c r="J36" s="856"/>
      <c r="K36" s="856"/>
      <c r="L36" s="856"/>
      <c r="M36" s="856"/>
      <c r="N36" s="856"/>
      <c r="O36" s="856"/>
      <c r="P36" s="856"/>
    </row>
    <row r="37" spans="1:16" x14ac:dyDescent="0.3">
      <c r="A37" s="856"/>
      <c r="B37" s="856"/>
      <c r="C37" s="856"/>
      <c r="D37" s="862"/>
      <c r="E37" s="856"/>
      <c r="F37" s="856"/>
      <c r="G37" s="856"/>
      <c r="H37" s="856"/>
      <c r="I37" s="856"/>
      <c r="J37" s="856"/>
      <c r="K37" s="856"/>
      <c r="L37" s="856"/>
      <c r="M37" s="856"/>
      <c r="N37" s="856"/>
      <c r="O37" s="856"/>
      <c r="P37" s="856"/>
    </row>
    <row r="38" spans="1:16" x14ac:dyDescent="0.3">
      <c r="A38" s="1274" t="s">
        <v>617</v>
      </c>
      <c r="B38" s="1274"/>
      <c r="C38" s="1274"/>
      <c r="D38" s="1274"/>
      <c r="E38" s="1274"/>
      <c r="F38" s="1274"/>
      <c r="G38" s="1274"/>
      <c r="H38" s="1274"/>
      <c r="I38" s="1274"/>
      <c r="J38" s="1274"/>
      <c r="K38" s="1274"/>
      <c r="L38" s="1274"/>
      <c r="M38" s="1274"/>
      <c r="N38" s="1274"/>
      <c r="O38" s="1274"/>
      <c r="P38" s="1274"/>
    </row>
    <row r="39" spans="1:16" x14ac:dyDescent="0.3">
      <c r="A39" s="1274"/>
      <c r="B39" s="1274"/>
      <c r="C39" s="1274"/>
      <c r="D39" s="1274"/>
      <c r="E39" s="1274"/>
      <c r="F39" s="1274"/>
      <c r="G39" s="1274"/>
      <c r="H39" s="1274"/>
      <c r="I39" s="1274"/>
      <c r="J39" s="1274"/>
      <c r="K39" s="1274"/>
      <c r="L39" s="1274"/>
      <c r="M39" s="1274"/>
      <c r="N39" s="1274"/>
      <c r="O39" s="1274"/>
      <c r="P39" s="1274"/>
    </row>
    <row r="40" spans="1:16" x14ac:dyDescent="0.3">
      <c r="A40" s="1274"/>
      <c r="B40" s="1274"/>
      <c r="C40" s="1274"/>
      <c r="D40" s="1274"/>
      <c r="E40" s="1274"/>
      <c r="F40" s="1274"/>
      <c r="G40" s="1274"/>
      <c r="H40" s="1274"/>
      <c r="I40" s="1274"/>
      <c r="J40" s="1274"/>
      <c r="K40" s="1274"/>
      <c r="L40" s="1274"/>
      <c r="M40" s="1274"/>
      <c r="N40" s="1274"/>
      <c r="O40" s="1274"/>
      <c r="P40" s="1274"/>
    </row>
    <row r="41" spans="1:16" x14ac:dyDescent="0.3">
      <c r="A41" s="1274"/>
      <c r="B41" s="1274"/>
      <c r="C41" s="1274"/>
      <c r="D41" s="1274"/>
      <c r="E41" s="1274"/>
      <c r="F41" s="1274"/>
      <c r="G41" s="1274"/>
      <c r="H41" s="1274"/>
      <c r="I41" s="1274"/>
      <c r="J41" s="1274"/>
      <c r="K41" s="1274"/>
      <c r="L41" s="1274"/>
      <c r="M41" s="1274"/>
      <c r="N41" s="1274"/>
      <c r="O41" s="1274"/>
      <c r="P41" s="1274"/>
    </row>
    <row r="42" spans="1:16" x14ac:dyDescent="0.3">
      <c r="A42" s="1274"/>
      <c r="B42" s="1274"/>
      <c r="C42" s="1274"/>
      <c r="D42" s="1274"/>
      <c r="E42" s="1274"/>
      <c r="F42" s="1274"/>
      <c r="G42" s="1274"/>
      <c r="H42" s="1274"/>
      <c r="I42" s="1274"/>
      <c r="J42" s="1274"/>
      <c r="K42" s="1274"/>
      <c r="L42" s="1274"/>
      <c r="M42" s="1274"/>
      <c r="N42" s="1274"/>
      <c r="O42" s="1274"/>
      <c r="P42" s="1274"/>
    </row>
    <row r="43" spans="1:16" x14ac:dyDescent="0.3">
      <c r="A43" s="139"/>
      <c r="B43" s="139"/>
      <c r="C43" s="139"/>
      <c r="D43" s="139"/>
      <c r="E43" s="139"/>
      <c r="F43" s="139"/>
      <c r="G43" s="139"/>
      <c r="H43" s="139"/>
      <c r="I43" s="139"/>
      <c r="J43" s="139"/>
      <c r="K43" s="139"/>
      <c r="L43" s="139"/>
      <c r="M43" s="139"/>
      <c r="N43" s="139"/>
      <c r="O43" s="139"/>
      <c r="P43" s="139"/>
    </row>
    <row r="44" spans="1:16" x14ac:dyDescent="0.3">
      <c r="A44" s="1145" t="s">
        <v>618</v>
      </c>
      <c r="B44" s="1145"/>
      <c r="C44" s="1145"/>
      <c r="D44" s="1145"/>
      <c r="E44" s="1145"/>
      <c r="F44" s="1145"/>
      <c r="G44" s="1145"/>
      <c r="H44" s="1145"/>
      <c r="I44" s="1145"/>
      <c r="J44" s="1145"/>
      <c r="K44" s="1145"/>
      <c r="L44" s="1145"/>
      <c r="M44" s="1145"/>
      <c r="N44" s="1145"/>
      <c r="O44" s="1145"/>
      <c r="P44" s="1145"/>
    </row>
    <row r="45" spans="1:16" x14ac:dyDescent="0.3">
      <c r="A45" s="1145"/>
      <c r="B45" s="1145"/>
      <c r="C45" s="1145"/>
      <c r="D45" s="1145"/>
      <c r="E45" s="1145"/>
      <c r="F45" s="1145"/>
      <c r="G45" s="1145"/>
      <c r="H45" s="1145"/>
      <c r="I45" s="1145"/>
      <c r="J45" s="1145"/>
      <c r="K45" s="1145"/>
      <c r="L45" s="1145"/>
      <c r="M45" s="1145"/>
      <c r="N45" s="1145"/>
      <c r="O45" s="1145"/>
      <c r="P45" s="1145"/>
    </row>
    <row r="46" spans="1:16" x14ac:dyDescent="0.3">
      <c r="A46" s="1145"/>
      <c r="B46" s="1145"/>
      <c r="C46" s="1145"/>
      <c r="D46" s="1145"/>
      <c r="E46" s="1145"/>
      <c r="F46" s="1145"/>
      <c r="G46" s="1145"/>
      <c r="H46" s="1145"/>
      <c r="I46" s="1145"/>
      <c r="J46" s="1145"/>
      <c r="K46" s="1145"/>
      <c r="L46" s="1145"/>
      <c r="M46" s="1145"/>
      <c r="N46" s="1145"/>
      <c r="O46" s="1145"/>
      <c r="P46" s="1145"/>
    </row>
    <row r="47" spans="1:16" x14ac:dyDescent="0.3">
      <c r="A47" s="856"/>
      <c r="B47" s="856"/>
      <c r="C47" s="856"/>
      <c r="D47" s="862"/>
      <c r="E47" s="856"/>
      <c r="F47" s="856"/>
      <c r="G47" s="856"/>
      <c r="H47" s="856"/>
      <c r="I47" s="856"/>
      <c r="J47" s="856"/>
      <c r="K47" s="856"/>
      <c r="L47" s="856"/>
      <c r="M47" s="856"/>
      <c r="N47" s="856"/>
      <c r="O47" s="856"/>
      <c r="P47" s="856"/>
    </row>
    <row r="48" spans="1:16" x14ac:dyDescent="0.3">
      <c r="A48" s="1272" t="s">
        <v>619</v>
      </c>
      <c r="B48" s="1273"/>
      <c r="C48" s="1273"/>
      <c r="D48" s="1273"/>
      <c r="E48" s="1273"/>
      <c r="F48" s="1273"/>
      <c r="G48" s="1273"/>
      <c r="H48" s="1273"/>
      <c r="I48" s="1273"/>
      <c r="J48" s="1273"/>
      <c r="K48" s="1273"/>
      <c r="L48" s="1273"/>
      <c r="M48" s="1273"/>
      <c r="N48" s="1273"/>
      <c r="O48" s="1273"/>
      <c r="P48" s="1273"/>
    </row>
    <row r="49" spans="1:16" x14ac:dyDescent="0.3">
      <c r="A49" s="1273"/>
      <c r="B49" s="1273"/>
      <c r="C49" s="1273"/>
      <c r="D49" s="1273"/>
      <c r="E49" s="1273"/>
      <c r="F49" s="1273"/>
      <c r="G49" s="1273"/>
      <c r="H49" s="1273"/>
      <c r="I49" s="1273"/>
      <c r="J49" s="1273"/>
      <c r="K49" s="1273"/>
      <c r="L49" s="1273"/>
      <c r="M49" s="1273"/>
      <c r="N49" s="1273"/>
      <c r="O49" s="1273"/>
      <c r="P49" s="1273"/>
    </row>
    <row r="50" spans="1:16" x14ac:dyDescent="0.3">
      <c r="A50" s="856"/>
      <c r="B50" s="856"/>
      <c r="C50" s="856"/>
      <c r="D50" s="862"/>
      <c r="E50" s="856"/>
      <c r="F50" s="856"/>
      <c r="G50" s="856"/>
      <c r="H50" s="856"/>
      <c r="I50" s="856"/>
      <c r="J50" s="856"/>
      <c r="K50" s="856"/>
      <c r="L50" s="856"/>
      <c r="M50" s="856"/>
      <c r="N50" s="856"/>
      <c r="O50" s="856"/>
      <c r="P50" s="856"/>
    </row>
    <row r="51" spans="1:16" x14ac:dyDescent="0.3">
      <c r="A51" s="1268" t="s">
        <v>620</v>
      </c>
      <c r="B51" s="1268"/>
      <c r="C51" s="1268"/>
      <c r="D51" s="1268"/>
      <c r="E51" s="1268"/>
      <c r="F51" s="1268"/>
      <c r="G51" s="1268"/>
      <c r="H51" s="1268"/>
      <c r="I51" s="1268"/>
      <c r="J51" s="1268"/>
      <c r="K51" s="1268"/>
      <c r="L51" s="1268"/>
      <c r="M51" s="1268"/>
      <c r="N51" s="1268"/>
      <c r="O51" s="1268"/>
      <c r="P51" s="1268"/>
    </row>
    <row r="52" spans="1:16" x14ac:dyDescent="0.3">
      <c r="A52" s="1268"/>
      <c r="B52" s="1268"/>
      <c r="C52" s="1268"/>
      <c r="D52" s="1268"/>
      <c r="E52" s="1268"/>
      <c r="F52" s="1268"/>
      <c r="G52" s="1268"/>
      <c r="H52" s="1268"/>
      <c r="I52" s="1268"/>
      <c r="J52" s="1268"/>
      <c r="K52" s="1268"/>
      <c r="L52" s="1268"/>
      <c r="M52" s="1268"/>
      <c r="N52" s="1268"/>
      <c r="O52" s="1268"/>
      <c r="P52" s="1268"/>
    </row>
    <row r="53" spans="1:16" x14ac:dyDescent="0.3">
      <c r="A53" s="1268"/>
      <c r="B53" s="1268"/>
      <c r="C53" s="1268"/>
      <c r="D53" s="1268"/>
      <c r="E53" s="1268"/>
      <c r="F53" s="1268"/>
      <c r="G53" s="1268"/>
      <c r="H53" s="1268"/>
      <c r="I53" s="1268"/>
      <c r="J53" s="1268"/>
      <c r="K53" s="1268"/>
      <c r="L53" s="1268"/>
      <c r="M53" s="1268"/>
      <c r="N53" s="1268"/>
      <c r="O53" s="1268"/>
      <c r="P53" s="1268"/>
    </row>
    <row r="54" spans="1:16" x14ac:dyDescent="0.3">
      <c r="A54" s="863"/>
      <c r="B54" s="863"/>
      <c r="C54" s="863"/>
      <c r="D54" s="864"/>
      <c r="E54" s="863"/>
      <c r="F54" s="863"/>
      <c r="G54" s="863"/>
      <c r="H54" s="863"/>
      <c r="I54" s="863"/>
      <c r="J54" s="863"/>
      <c r="K54" s="863"/>
      <c r="L54" s="863"/>
      <c r="M54" s="863"/>
      <c r="N54" s="863"/>
      <c r="O54" s="863"/>
      <c r="P54" s="863"/>
    </row>
  </sheetData>
  <mergeCells count="6">
    <mergeCell ref="A51:P53"/>
    <mergeCell ref="A7:P7"/>
    <mergeCell ref="O10:P10"/>
    <mergeCell ref="A48:P49"/>
    <mergeCell ref="A38:P42"/>
    <mergeCell ref="A44:P46"/>
  </mergeCells>
  <hyperlinks>
    <hyperlink ref="A4" r:id="rId1" xr:uid="{00000000-0004-0000-1700-000000000000}"/>
  </hyperlink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98"/>
  <sheetViews>
    <sheetView topLeftCell="A184" workbookViewId="0">
      <selection activeCell="E179" sqref="E179"/>
    </sheetView>
  </sheetViews>
  <sheetFormatPr defaultColWidth="11.5546875" defaultRowHeight="14.4" x14ac:dyDescent="0.3"/>
  <cols>
    <col min="1" max="1" width="36" customWidth="1"/>
    <col min="2" max="2" width="15.5546875" customWidth="1"/>
    <col min="15" max="15" width="19.77734375" customWidth="1"/>
    <col min="16" max="16" width="125.77734375" customWidth="1"/>
  </cols>
  <sheetData>
    <row r="1" spans="1:15" x14ac:dyDescent="0.3">
      <c r="A1" s="99" t="s">
        <v>1489</v>
      </c>
      <c r="D1" s="958">
        <v>2022</v>
      </c>
      <c r="E1" s="958">
        <v>2023</v>
      </c>
      <c r="F1" s="958">
        <v>2024</v>
      </c>
      <c r="G1" s="958">
        <v>2025</v>
      </c>
      <c r="H1" s="958">
        <v>2026</v>
      </c>
      <c r="I1" s="958">
        <v>2027</v>
      </c>
      <c r="J1" s="958">
        <v>2028</v>
      </c>
      <c r="K1" s="958">
        <v>2029</v>
      </c>
      <c r="L1" s="958">
        <v>2030</v>
      </c>
      <c r="M1" s="959">
        <v>2031</v>
      </c>
      <c r="N1" s="960" t="s">
        <v>1286</v>
      </c>
      <c r="O1" s="960" t="s">
        <v>1287</v>
      </c>
    </row>
    <row r="2" spans="1:15" x14ac:dyDescent="0.3">
      <c r="C2" s="1275" t="s">
        <v>1490</v>
      </c>
      <c r="D2" s="1275"/>
      <c r="E2" s="1275"/>
      <c r="F2" s="1275"/>
      <c r="G2" s="1275"/>
      <c r="H2" s="1275"/>
      <c r="I2" s="1275"/>
      <c r="J2" s="1275"/>
      <c r="K2" s="1275"/>
      <c r="L2" s="1275"/>
      <c r="M2" s="1275"/>
      <c r="N2" s="1275"/>
      <c r="O2" s="1275"/>
    </row>
    <row r="3" spans="1:15" x14ac:dyDescent="0.3">
      <c r="A3" s="37" t="s">
        <v>1295</v>
      </c>
      <c r="B3" s="37">
        <v>13601</v>
      </c>
      <c r="C3" s="37" t="s">
        <v>1491</v>
      </c>
      <c r="D3" s="37">
        <v>0</v>
      </c>
      <c r="E3" s="37">
        <v>0</v>
      </c>
      <c r="F3" s="37">
        <v>601</v>
      </c>
      <c r="G3" s="37">
        <v>1038</v>
      </c>
      <c r="H3" s="37">
        <v>1251</v>
      </c>
      <c r="I3" s="37">
        <v>1431</v>
      </c>
      <c r="J3" s="37">
        <v>1492</v>
      </c>
      <c r="K3" s="37">
        <v>1530</v>
      </c>
      <c r="L3" s="37">
        <v>1567</v>
      </c>
      <c r="M3" s="37">
        <v>1606</v>
      </c>
      <c r="N3" s="37">
        <v>2890</v>
      </c>
      <c r="O3" s="37">
        <v>10516</v>
      </c>
    </row>
    <row r="4" spans="1:15" x14ac:dyDescent="0.3">
      <c r="A4" s="37" t="s">
        <v>1308</v>
      </c>
      <c r="B4" s="37">
        <v>10301</v>
      </c>
      <c r="C4" s="37" t="s">
        <v>1491</v>
      </c>
      <c r="D4" s="37">
        <v>0</v>
      </c>
      <c r="E4" s="37">
        <v>3823</v>
      </c>
      <c r="F4" s="37">
        <v>3380</v>
      </c>
      <c r="G4" s="37">
        <v>4970</v>
      </c>
      <c r="H4" s="37">
        <v>6248</v>
      </c>
      <c r="I4" s="37">
        <v>7996</v>
      </c>
      <c r="J4" s="37">
        <v>10106</v>
      </c>
      <c r="K4" s="37">
        <v>12617</v>
      </c>
      <c r="L4" s="37">
        <v>15072</v>
      </c>
      <c r="M4" s="37">
        <v>15388</v>
      </c>
      <c r="N4" s="37">
        <v>18421</v>
      </c>
      <c r="O4" s="37">
        <v>79600</v>
      </c>
    </row>
    <row r="5" spans="1:15" x14ac:dyDescent="0.3">
      <c r="A5" s="37" t="s">
        <v>1310</v>
      </c>
      <c r="B5" s="37">
        <v>13802</v>
      </c>
      <c r="C5" s="37" t="s">
        <v>1491</v>
      </c>
      <c r="D5" s="37">
        <v>0</v>
      </c>
      <c r="E5" s="37">
        <v>55</v>
      </c>
      <c r="F5" s="37">
        <v>55</v>
      </c>
      <c r="G5" s="37">
        <v>55</v>
      </c>
      <c r="H5" s="37">
        <v>55</v>
      </c>
      <c r="I5" s="37">
        <v>55</v>
      </c>
      <c r="J5" s="37">
        <v>55</v>
      </c>
      <c r="K5" s="37">
        <v>55</v>
      </c>
      <c r="L5" s="37">
        <v>55</v>
      </c>
      <c r="M5" s="37">
        <v>55</v>
      </c>
      <c r="N5" s="37">
        <v>220</v>
      </c>
      <c r="O5" s="37">
        <v>495</v>
      </c>
    </row>
    <row r="6" spans="1:15" x14ac:dyDescent="0.3">
      <c r="A6" s="37" t="s">
        <v>1312</v>
      </c>
      <c r="B6" s="37">
        <v>22005</v>
      </c>
      <c r="C6" s="37" t="s">
        <v>1491</v>
      </c>
      <c r="D6" s="37">
        <v>0</v>
      </c>
      <c r="E6" s="37">
        <v>19</v>
      </c>
      <c r="F6" s="37">
        <v>26</v>
      </c>
      <c r="G6" s="37">
        <v>27</v>
      </c>
      <c r="H6" s="37">
        <v>17</v>
      </c>
      <c r="I6" s="37">
        <v>7</v>
      </c>
      <c r="J6" s="37">
        <v>3</v>
      </c>
      <c r="K6" s="37">
        <v>1</v>
      </c>
      <c r="L6" s="37">
        <v>0</v>
      </c>
      <c r="M6" s="37">
        <v>0</v>
      </c>
      <c r="N6" s="37">
        <v>89</v>
      </c>
      <c r="O6" s="37">
        <v>100</v>
      </c>
    </row>
    <row r="7" spans="1:15" x14ac:dyDescent="0.3">
      <c r="A7" s="37" t="s">
        <v>1298</v>
      </c>
      <c r="B7" s="37">
        <v>23001</v>
      </c>
      <c r="C7" s="37" t="s">
        <v>1491</v>
      </c>
      <c r="D7" s="37">
        <v>0</v>
      </c>
      <c r="E7" s="37">
        <v>35</v>
      </c>
      <c r="F7" s="37">
        <v>125</v>
      </c>
      <c r="G7" s="37">
        <v>170</v>
      </c>
      <c r="H7" s="37">
        <v>375</v>
      </c>
      <c r="I7" s="37">
        <v>470</v>
      </c>
      <c r="J7" s="37">
        <v>415</v>
      </c>
      <c r="K7" s="37">
        <v>280</v>
      </c>
      <c r="L7" s="37">
        <v>217</v>
      </c>
      <c r="M7" s="37">
        <v>58</v>
      </c>
      <c r="N7" s="37">
        <v>705</v>
      </c>
      <c r="O7" s="37">
        <v>2145</v>
      </c>
    </row>
    <row r="8" spans="1:15" x14ac:dyDescent="0.3">
      <c r="A8" s="37" t="s">
        <v>1314</v>
      </c>
      <c r="B8" s="37">
        <v>23005</v>
      </c>
      <c r="C8" s="37" t="s">
        <v>1491</v>
      </c>
      <c r="D8" s="37">
        <v>0</v>
      </c>
      <c r="E8" s="37">
        <v>15</v>
      </c>
      <c r="F8" s="37">
        <v>15</v>
      </c>
      <c r="G8" s="37">
        <v>15</v>
      </c>
      <c r="H8" s="37">
        <v>10</v>
      </c>
      <c r="I8" s="37">
        <v>10</v>
      </c>
      <c r="J8" s="37">
        <v>10</v>
      </c>
      <c r="K8" s="37">
        <v>10</v>
      </c>
      <c r="L8" s="37">
        <v>10</v>
      </c>
      <c r="M8" s="37">
        <v>5</v>
      </c>
      <c r="N8" s="37">
        <v>55</v>
      </c>
      <c r="O8" s="37">
        <v>100</v>
      </c>
    </row>
    <row r="9" spans="1:15" x14ac:dyDescent="0.3">
      <c r="A9" s="37" t="s">
        <v>1367</v>
      </c>
      <c r="B9" s="37">
        <v>23003</v>
      </c>
      <c r="C9" s="37" t="s">
        <v>1354</v>
      </c>
      <c r="D9" s="37">
        <v>0</v>
      </c>
      <c r="E9" s="37">
        <v>65</v>
      </c>
      <c r="F9" s="37">
        <v>150</v>
      </c>
      <c r="G9" s="37">
        <v>290</v>
      </c>
      <c r="H9" s="37">
        <v>290</v>
      </c>
      <c r="I9" s="37">
        <v>290</v>
      </c>
      <c r="J9" s="37">
        <v>285</v>
      </c>
      <c r="K9" s="37">
        <v>250</v>
      </c>
      <c r="L9" s="37">
        <v>220</v>
      </c>
      <c r="M9" s="37">
        <v>160</v>
      </c>
      <c r="N9" s="37">
        <v>795</v>
      </c>
      <c r="O9" s="37">
        <v>2000</v>
      </c>
    </row>
    <row r="10" spans="1:15" x14ac:dyDescent="0.3">
      <c r="A10" s="37" t="s">
        <v>1395</v>
      </c>
      <c r="B10" s="37">
        <v>11102</v>
      </c>
      <c r="C10" s="37" t="s">
        <v>210</v>
      </c>
      <c r="D10" s="37">
        <v>0</v>
      </c>
      <c r="E10" s="37">
        <v>110</v>
      </c>
      <c r="F10" s="37">
        <v>504</v>
      </c>
      <c r="G10" s="37">
        <v>878</v>
      </c>
      <c r="H10" s="37">
        <v>1193</v>
      </c>
      <c r="I10" s="37">
        <v>1596</v>
      </c>
      <c r="J10" s="37">
        <v>2081</v>
      </c>
      <c r="K10" s="37">
        <v>2587</v>
      </c>
      <c r="L10" s="37">
        <v>3117</v>
      </c>
      <c r="M10" s="37">
        <v>3648</v>
      </c>
      <c r="N10" s="37">
        <v>2685</v>
      </c>
      <c r="O10" s="37">
        <v>15714</v>
      </c>
    </row>
    <row r="11" spans="1:15" x14ac:dyDescent="0.3">
      <c r="A11" s="37" t="s">
        <v>1397</v>
      </c>
      <c r="B11" s="37">
        <v>11405</v>
      </c>
      <c r="C11" s="37" t="s">
        <v>210</v>
      </c>
      <c r="D11" s="37">
        <v>0</v>
      </c>
      <c r="E11" s="37">
        <v>0</v>
      </c>
      <c r="F11" s="37">
        <v>235</v>
      </c>
      <c r="G11" s="37">
        <v>317</v>
      </c>
      <c r="H11" s="37">
        <v>304</v>
      </c>
      <c r="I11" s="37">
        <v>314</v>
      </c>
      <c r="J11" s="37">
        <v>324</v>
      </c>
      <c r="K11" s="37">
        <v>335</v>
      </c>
      <c r="L11" s="37">
        <v>346</v>
      </c>
      <c r="M11" s="37">
        <v>359</v>
      </c>
      <c r="N11" s="37">
        <v>856</v>
      </c>
      <c r="O11" s="37">
        <v>2534</v>
      </c>
    </row>
    <row r="12" spans="1:15" x14ac:dyDescent="0.3">
      <c r="A12" s="37" t="s">
        <v>1399</v>
      </c>
      <c r="B12" s="37">
        <v>11001</v>
      </c>
      <c r="C12" s="37" t="s">
        <v>211</v>
      </c>
      <c r="D12" s="37">
        <v>0</v>
      </c>
      <c r="E12" s="37">
        <v>0</v>
      </c>
      <c r="F12" s="37">
        <v>0</v>
      </c>
      <c r="G12" s="37">
        <v>0</v>
      </c>
      <c r="H12" s="37">
        <v>-3728</v>
      </c>
      <c r="I12" s="37">
        <v>-8317</v>
      </c>
      <c r="J12" s="37">
        <v>-17535</v>
      </c>
      <c r="K12" s="37">
        <v>-21009</v>
      </c>
      <c r="L12" s="37">
        <v>-23416</v>
      </c>
      <c r="M12" s="37">
        <v>-24516</v>
      </c>
      <c r="N12" s="37">
        <v>-3728</v>
      </c>
      <c r="O12" s="37">
        <v>-98521</v>
      </c>
    </row>
    <row r="13" spans="1:15" x14ac:dyDescent="0.3">
      <c r="A13" s="37">
        <v>0</v>
      </c>
      <c r="B13" s="37">
        <v>11004</v>
      </c>
      <c r="C13" s="37" t="s">
        <v>211</v>
      </c>
      <c r="D13" s="37">
        <v>0</v>
      </c>
      <c r="E13" s="37">
        <v>333</v>
      </c>
      <c r="F13" s="37">
        <v>314</v>
      </c>
      <c r="G13" s="37">
        <v>314</v>
      </c>
      <c r="H13" s="37">
        <v>314</v>
      </c>
      <c r="I13" s="37">
        <v>314</v>
      </c>
      <c r="J13" s="37">
        <v>314</v>
      </c>
      <c r="K13" s="37">
        <v>314</v>
      </c>
      <c r="L13" s="37">
        <v>314</v>
      </c>
      <c r="M13" s="37">
        <v>314</v>
      </c>
      <c r="N13" s="37">
        <v>1275</v>
      </c>
      <c r="O13" s="37">
        <v>2845</v>
      </c>
    </row>
    <row r="14" spans="1:15" x14ac:dyDescent="0.3">
      <c r="A14" s="37" t="s">
        <v>1395</v>
      </c>
      <c r="B14" s="37">
        <v>11102</v>
      </c>
      <c r="C14" s="37" t="s">
        <v>211</v>
      </c>
      <c r="D14" s="37">
        <v>0</v>
      </c>
      <c r="E14" s="37">
        <v>-719</v>
      </c>
      <c r="F14" s="37">
        <v>-1051</v>
      </c>
      <c r="G14" s="37">
        <v>-18680</v>
      </c>
      <c r="H14" s="37">
        <v>-7174</v>
      </c>
      <c r="I14" s="37">
        <v>-7523</v>
      </c>
      <c r="J14" s="37">
        <v>-7820</v>
      </c>
      <c r="K14" s="37">
        <v>-8529</v>
      </c>
      <c r="L14" s="37">
        <v>-9564</v>
      </c>
      <c r="M14" s="37">
        <v>-10720</v>
      </c>
      <c r="N14" s="37">
        <v>-27624</v>
      </c>
      <c r="O14" s="37">
        <v>-71780</v>
      </c>
    </row>
    <row r="15" spans="1:15" x14ac:dyDescent="0.3">
      <c r="A15" s="37">
        <v>0</v>
      </c>
      <c r="B15" s="37">
        <v>11102</v>
      </c>
      <c r="C15" s="37" t="s">
        <v>211</v>
      </c>
      <c r="D15" s="37">
        <v>0</v>
      </c>
      <c r="E15" s="37">
        <v>-23</v>
      </c>
      <c r="F15" s="37">
        <v>-60</v>
      </c>
      <c r="G15" s="37">
        <v>-61</v>
      </c>
      <c r="H15" s="37">
        <v>-43</v>
      </c>
      <c r="I15" s="37">
        <v>-30</v>
      </c>
      <c r="J15" s="37">
        <v>-34</v>
      </c>
      <c r="K15" s="37">
        <v>-26</v>
      </c>
      <c r="L15" s="37">
        <v>-3</v>
      </c>
      <c r="M15" s="37">
        <v>7</v>
      </c>
      <c r="N15" s="37">
        <v>-187</v>
      </c>
      <c r="O15" s="37">
        <v>-273</v>
      </c>
    </row>
    <row r="16" spans="1:15" x14ac:dyDescent="0.3">
      <c r="A16" s="37" t="s">
        <v>1402</v>
      </c>
      <c r="B16" s="37">
        <v>11201</v>
      </c>
      <c r="C16" s="37" t="s">
        <v>211</v>
      </c>
      <c r="D16" s="37">
        <v>0</v>
      </c>
      <c r="E16" s="37">
        <v>48</v>
      </c>
      <c r="F16" s="37">
        <v>2541</v>
      </c>
      <c r="G16" s="37">
        <v>4311</v>
      </c>
      <c r="H16" s="37">
        <v>3827</v>
      </c>
      <c r="I16" s="37">
        <v>4927</v>
      </c>
      <c r="J16" s="37">
        <v>5162</v>
      </c>
      <c r="K16" s="37">
        <v>4780</v>
      </c>
      <c r="L16" s="37">
        <v>2375</v>
      </c>
      <c r="M16" s="37">
        <v>1866</v>
      </c>
      <c r="N16" s="37">
        <v>10727</v>
      </c>
      <c r="O16" s="37">
        <v>29837</v>
      </c>
    </row>
    <row r="17" spans="1:15" x14ac:dyDescent="0.3">
      <c r="A17" s="37" t="s">
        <v>1492</v>
      </c>
      <c r="B17" s="37">
        <v>11202</v>
      </c>
      <c r="C17" s="37" t="s">
        <v>211</v>
      </c>
      <c r="D17" s="37">
        <v>0</v>
      </c>
      <c r="E17" s="37">
        <v>5</v>
      </c>
      <c r="F17" s="37">
        <v>3</v>
      </c>
      <c r="G17" s="37">
        <v>17</v>
      </c>
      <c r="H17" s="37">
        <v>15</v>
      </c>
      <c r="I17" s="37">
        <v>15</v>
      </c>
      <c r="J17" s="37">
        <v>20</v>
      </c>
      <c r="K17" s="37">
        <v>15</v>
      </c>
      <c r="L17" s="37">
        <v>15</v>
      </c>
      <c r="M17" s="37">
        <v>20</v>
      </c>
      <c r="N17" s="37">
        <v>40</v>
      </c>
      <c r="O17" s="37">
        <v>125</v>
      </c>
    </row>
    <row r="18" spans="1:15" x14ac:dyDescent="0.3">
      <c r="A18" s="37" t="s">
        <v>1404</v>
      </c>
      <c r="B18" s="37">
        <v>11301</v>
      </c>
      <c r="C18" s="37" t="s">
        <v>211</v>
      </c>
      <c r="D18" s="37">
        <v>0</v>
      </c>
      <c r="E18" s="37">
        <v>0</v>
      </c>
      <c r="F18" s="37">
        <v>0</v>
      </c>
      <c r="G18" s="37">
        <v>0</v>
      </c>
      <c r="H18" s="37">
        <v>0</v>
      </c>
      <c r="I18" s="37">
        <v>-16290</v>
      </c>
      <c r="J18" s="37">
        <v>-25656</v>
      </c>
      <c r="K18" s="37">
        <v>-23394</v>
      </c>
      <c r="L18" s="37">
        <v>-27561</v>
      </c>
      <c r="M18" s="37">
        <v>-29250</v>
      </c>
      <c r="N18" s="37">
        <v>0</v>
      </c>
      <c r="O18" s="37">
        <v>-122151</v>
      </c>
    </row>
    <row r="19" spans="1:15" x14ac:dyDescent="0.3">
      <c r="A19" s="37" t="s">
        <v>1406</v>
      </c>
      <c r="B19" s="37">
        <v>11401</v>
      </c>
      <c r="C19" s="37" t="s">
        <v>211</v>
      </c>
      <c r="D19" s="37">
        <v>0</v>
      </c>
      <c r="E19" s="37">
        <v>-69</v>
      </c>
      <c r="F19" s="37">
        <v>301</v>
      </c>
      <c r="G19" s="37">
        <v>863</v>
      </c>
      <c r="H19" s="37">
        <v>579</v>
      </c>
      <c r="I19" s="37">
        <v>466</v>
      </c>
      <c r="J19" s="37">
        <v>551</v>
      </c>
      <c r="K19" s="37">
        <v>503</v>
      </c>
      <c r="L19" s="37">
        <v>593</v>
      </c>
      <c r="M19" s="37">
        <v>632</v>
      </c>
      <c r="N19" s="37">
        <v>1674</v>
      </c>
      <c r="O19" s="37">
        <v>4419</v>
      </c>
    </row>
    <row r="20" spans="1:15" x14ac:dyDescent="0.3">
      <c r="A20" s="37">
        <v>0</v>
      </c>
      <c r="B20" s="37">
        <v>11402</v>
      </c>
      <c r="C20" s="37" t="s">
        <v>211</v>
      </c>
      <c r="D20" s="37">
        <v>0</v>
      </c>
      <c r="E20" s="37">
        <v>-1</v>
      </c>
      <c r="F20" s="37">
        <v>-1</v>
      </c>
      <c r="G20" s="37">
        <v>-1</v>
      </c>
      <c r="H20" s="37">
        <v>-2</v>
      </c>
      <c r="I20" s="37">
        <v>-2</v>
      </c>
      <c r="J20" s="37">
        <v>-2</v>
      </c>
      <c r="K20" s="37">
        <v>-2</v>
      </c>
      <c r="L20" s="37">
        <v>-2</v>
      </c>
      <c r="M20" s="37">
        <v>-2</v>
      </c>
      <c r="N20" s="37">
        <v>-5</v>
      </c>
      <c r="O20" s="37">
        <v>-15</v>
      </c>
    </row>
    <row r="21" spans="1:15" x14ac:dyDescent="0.3">
      <c r="A21" s="37">
        <v>0</v>
      </c>
      <c r="B21" s="37">
        <v>11403</v>
      </c>
      <c r="C21" s="37" t="s">
        <v>211</v>
      </c>
      <c r="D21" s="37">
        <v>0</v>
      </c>
      <c r="E21" s="37">
        <v>0</v>
      </c>
      <c r="F21" s="37">
        <v>0</v>
      </c>
      <c r="G21" s="37">
        <v>0</v>
      </c>
      <c r="H21" s="37">
        <v>0</v>
      </c>
      <c r="I21" s="37">
        <v>0</v>
      </c>
      <c r="J21" s="37">
        <v>0</v>
      </c>
      <c r="K21" s="37">
        <v>0</v>
      </c>
      <c r="L21" s="37">
        <v>0</v>
      </c>
      <c r="M21" s="37">
        <v>0</v>
      </c>
      <c r="N21" s="37">
        <v>0</v>
      </c>
      <c r="O21" s="37">
        <v>0</v>
      </c>
    </row>
    <row r="22" spans="1:15" x14ac:dyDescent="0.3">
      <c r="A22" s="37">
        <v>0</v>
      </c>
      <c r="B22" s="37">
        <v>11406</v>
      </c>
      <c r="C22" s="37" t="s">
        <v>211</v>
      </c>
      <c r="D22" s="37">
        <v>0</v>
      </c>
      <c r="E22" s="37">
        <v>1</v>
      </c>
      <c r="F22" s="37">
        <v>501</v>
      </c>
      <c r="G22" s="37">
        <v>506</v>
      </c>
      <c r="H22" s="37">
        <v>561</v>
      </c>
      <c r="I22" s="37">
        <v>628</v>
      </c>
      <c r="J22" s="37">
        <v>681</v>
      </c>
      <c r="K22" s="37">
        <v>608</v>
      </c>
      <c r="L22" s="37">
        <v>659</v>
      </c>
      <c r="M22" s="37">
        <v>684</v>
      </c>
      <c r="N22" s="37">
        <v>1569</v>
      </c>
      <c r="O22" s="37">
        <v>4829</v>
      </c>
    </row>
    <row r="23" spans="1:15" x14ac:dyDescent="0.3">
      <c r="A23" s="37">
        <v>0</v>
      </c>
      <c r="B23" s="37">
        <v>11407</v>
      </c>
      <c r="C23" s="37" t="s">
        <v>211</v>
      </c>
      <c r="D23" s="37">
        <v>0</v>
      </c>
      <c r="E23" s="37">
        <v>10</v>
      </c>
      <c r="F23" s="37">
        <v>25</v>
      </c>
      <c r="G23" s="37">
        <v>28</v>
      </c>
      <c r="H23" s="37">
        <v>29</v>
      </c>
      <c r="I23" s="37">
        <v>31</v>
      </c>
      <c r="J23" s="37">
        <v>33</v>
      </c>
      <c r="K23" s="37">
        <v>33</v>
      </c>
      <c r="L23" s="37">
        <v>35</v>
      </c>
      <c r="M23" s="37">
        <v>37</v>
      </c>
      <c r="N23" s="37">
        <v>92</v>
      </c>
      <c r="O23" s="37">
        <v>261</v>
      </c>
    </row>
    <row r="24" spans="1:15" x14ac:dyDescent="0.3">
      <c r="A24" s="37">
        <v>0</v>
      </c>
      <c r="B24" s="37">
        <v>11408</v>
      </c>
      <c r="C24" s="37" t="s">
        <v>211</v>
      </c>
      <c r="D24" s="37">
        <v>0</v>
      </c>
      <c r="E24" s="37">
        <v>0</v>
      </c>
      <c r="F24" s="37">
        <v>0</v>
      </c>
      <c r="G24" s="37">
        <v>0</v>
      </c>
      <c r="H24" s="37">
        <v>0</v>
      </c>
      <c r="I24" s="37">
        <v>0</v>
      </c>
      <c r="J24" s="37">
        <v>0</v>
      </c>
      <c r="K24" s="37">
        <v>0</v>
      </c>
      <c r="L24" s="37">
        <v>0</v>
      </c>
      <c r="M24" s="37">
        <v>0</v>
      </c>
      <c r="N24" s="37">
        <v>0</v>
      </c>
      <c r="O24" s="37">
        <v>0</v>
      </c>
    </row>
    <row r="25" spans="1:15" x14ac:dyDescent="0.3">
      <c r="A25" s="37" t="s">
        <v>1408</v>
      </c>
      <c r="B25" s="37">
        <v>11404</v>
      </c>
      <c r="C25" s="37" t="s">
        <v>211</v>
      </c>
      <c r="D25" s="37">
        <v>0</v>
      </c>
      <c r="E25" s="37">
        <v>0</v>
      </c>
      <c r="F25" s="37">
        <v>195</v>
      </c>
      <c r="G25" s="37">
        <v>230</v>
      </c>
      <c r="H25" s="37">
        <v>248</v>
      </c>
      <c r="I25" s="37">
        <v>266</v>
      </c>
      <c r="J25" s="37">
        <v>311</v>
      </c>
      <c r="K25" s="37">
        <v>281</v>
      </c>
      <c r="L25" s="37">
        <v>327</v>
      </c>
      <c r="M25" s="37">
        <v>347</v>
      </c>
      <c r="N25" s="37">
        <v>673</v>
      </c>
      <c r="O25" s="37">
        <v>2205</v>
      </c>
    </row>
    <row r="26" spans="1:15" x14ac:dyDescent="0.3">
      <c r="A26" s="37" t="s">
        <v>1420</v>
      </c>
      <c r="B26" s="37">
        <v>12001</v>
      </c>
      <c r="C26" s="37" t="s">
        <v>1493</v>
      </c>
      <c r="D26" s="37">
        <v>0</v>
      </c>
      <c r="E26" s="37">
        <v>20892</v>
      </c>
      <c r="F26" s="37">
        <v>11288</v>
      </c>
      <c r="G26" s="37">
        <v>9651</v>
      </c>
      <c r="H26" s="37">
        <v>-8548</v>
      </c>
      <c r="I26" s="37">
        <v>-463</v>
      </c>
      <c r="J26" s="37">
        <v>0</v>
      </c>
      <c r="K26" s="37">
        <v>0</v>
      </c>
      <c r="L26" s="37">
        <v>0</v>
      </c>
      <c r="M26" s="37">
        <v>0</v>
      </c>
      <c r="N26" s="37">
        <v>33283</v>
      </c>
      <c r="O26" s="37">
        <v>32820</v>
      </c>
    </row>
    <row r="27" spans="1:15" x14ac:dyDescent="0.3">
      <c r="A27" s="37" t="s">
        <v>1422</v>
      </c>
      <c r="B27" s="37">
        <v>22003</v>
      </c>
      <c r="C27" s="37" t="s">
        <v>1493</v>
      </c>
      <c r="D27" s="37">
        <v>0</v>
      </c>
      <c r="E27" s="37">
        <v>24</v>
      </c>
      <c r="F27" s="37">
        <v>65</v>
      </c>
      <c r="G27" s="37">
        <v>112</v>
      </c>
      <c r="H27" s="37">
        <v>130</v>
      </c>
      <c r="I27" s="37">
        <v>98</v>
      </c>
      <c r="J27" s="37">
        <v>56</v>
      </c>
      <c r="K27" s="37">
        <v>15</v>
      </c>
      <c r="L27" s="37">
        <v>0</v>
      </c>
      <c r="M27" s="37">
        <v>0</v>
      </c>
      <c r="N27" s="37">
        <v>331</v>
      </c>
      <c r="O27" s="37">
        <v>500</v>
      </c>
    </row>
    <row r="28" spans="1:15" x14ac:dyDescent="0.3">
      <c r="A28" s="37" t="s">
        <v>1424</v>
      </c>
      <c r="B28" s="37">
        <v>22004</v>
      </c>
      <c r="C28" s="37" t="s">
        <v>1493</v>
      </c>
      <c r="D28" s="37">
        <v>0</v>
      </c>
      <c r="E28" s="37">
        <v>50</v>
      </c>
      <c r="F28" s="37">
        <v>500</v>
      </c>
      <c r="G28" s="37">
        <v>920</v>
      </c>
      <c r="H28" s="37">
        <v>1310</v>
      </c>
      <c r="I28" s="37">
        <v>1680</v>
      </c>
      <c r="J28" s="37">
        <v>1780</v>
      </c>
      <c r="K28" s="37">
        <v>1640</v>
      </c>
      <c r="L28" s="37">
        <v>1090</v>
      </c>
      <c r="M28" s="37">
        <v>630</v>
      </c>
      <c r="N28" s="37">
        <v>2780</v>
      </c>
      <c r="O28" s="37">
        <v>9600</v>
      </c>
    </row>
    <row r="29" spans="1:15" ht="45" customHeight="1" x14ac:dyDescent="0.3">
      <c r="A29" s="14" t="s">
        <v>1494</v>
      </c>
      <c r="B29" s="37">
        <v>22007</v>
      </c>
      <c r="C29" s="37" t="s">
        <v>1493</v>
      </c>
      <c r="D29" s="37">
        <v>-622</v>
      </c>
      <c r="E29" s="37">
        <v>80</v>
      </c>
      <c r="F29" s="37">
        <v>248</v>
      </c>
      <c r="G29" s="37">
        <v>266</v>
      </c>
      <c r="H29" s="37">
        <v>363</v>
      </c>
      <c r="I29" s="37">
        <v>464</v>
      </c>
      <c r="J29" s="37">
        <v>451</v>
      </c>
      <c r="K29" s="37">
        <v>336</v>
      </c>
      <c r="L29" s="37">
        <v>226</v>
      </c>
      <c r="M29" s="37">
        <v>117</v>
      </c>
      <c r="N29" s="37">
        <v>335</v>
      </c>
      <c r="O29" s="37">
        <v>1929</v>
      </c>
    </row>
    <row r="30" spans="1:15" x14ac:dyDescent="0.3">
      <c r="A30" s="37" t="s">
        <v>1426</v>
      </c>
      <c r="B30" s="37">
        <v>23002</v>
      </c>
      <c r="C30" s="37" t="s">
        <v>1493</v>
      </c>
      <c r="D30" s="37">
        <v>0</v>
      </c>
      <c r="E30" s="37">
        <v>30</v>
      </c>
      <c r="F30" s="37">
        <v>90</v>
      </c>
      <c r="G30" s="37">
        <v>90</v>
      </c>
      <c r="H30" s="37">
        <v>85</v>
      </c>
      <c r="I30" s="37">
        <v>70</v>
      </c>
      <c r="J30" s="37">
        <v>65</v>
      </c>
      <c r="K30" s="37">
        <v>65</v>
      </c>
      <c r="L30" s="37">
        <v>35</v>
      </c>
      <c r="M30" s="37">
        <v>15</v>
      </c>
      <c r="N30" s="37">
        <v>295</v>
      </c>
      <c r="O30" s="37">
        <v>545</v>
      </c>
    </row>
    <row r="31" spans="1:15" x14ac:dyDescent="0.3">
      <c r="A31" s="37" t="s">
        <v>1417</v>
      </c>
      <c r="B31" s="37">
        <v>30002</v>
      </c>
      <c r="C31" s="37" t="s">
        <v>1493</v>
      </c>
      <c r="D31" s="37">
        <v>0</v>
      </c>
      <c r="E31" s="37">
        <v>20</v>
      </c>
      <c r="F31" s="37">
        <v>65</v>
      </c>
      <c r="G31" s="37">
        <v>110</v>
      </c>
      <c r="H31" s="37">
        <v>135</v>
      </c>
      <c r="I31" s="37">
        <v>180</v>
      </c>
      <c r="J31" s="37">
        <v>230</v>
      </c>
      <c r="K31" s="37">
        <v>180</v>
      </c>
      <c r="L31" s="37">
        <v>60</v>
      </c>
      <c r="M31" s="37">
        <v>10</v>
      </c>
      <c r="N31" s="37">
        <v>330</v>
      </c>
      <c r="O31" s="37">
        <v>990</v>
      </c>
    </row>
    <row r="32" spans="1:15" x14ac:dyDescent="0.3">
      <c r="A32" s="37" t="s">
        <v>1495</v>
      </c>
      <c r="B32" s="37">
        <v>13104</v>
      </c>
      <c r="C32" s="37" t="s">
        <v>1496</v>
      </c>
      <c r="D32" s="37">
        <v>0</v>
      </c>
      <c r="E32" s="37">
        <v>20</v>
      </c>
      <c r="F32" s="37">
        <v>145</v>
      </c>
      <c r="G32" s="37">
        <v>225</v>
      </c>
      <c r="H32" s="37">
        <v>238</v>
      </c>
      <c r="I32" s="37">
        <v>222</v>
      </c>
      <c r="J32" s="37">
        <v>206</v>
      </c>
      <c r="K32" s="37">
        <v>186</v>
      </c>
      <c r="L32" s="37">
        <v>165</v>
      </c>
      <c r="M32" s="37">
        <v>142</v>
      </c>
      <c r="N32" s="37">
        <v>628</v>
      </c>
      <c r="O32" s="37">
        <v>1550</v>
      </c>
    </row>
    <row r="33" spans="1:15" x14ac:dyDescent="0.3">
      <c r="A33" s="37" t="s">
        <v>1497</v>
      </c>
      <c r="B33" s="37">
        <v>13105</v>
      </c>
      <c r="C33" s="37" t="s">
        <v>1496</v>
      </c>
      <c r="D33" s="37">
        <v>0</v>
      </c>
      <c r="E33" s="37">
        <v>0</v>
      </c>
      <c r="F33" s="37">
        <v>1050</v>
      </c>
      <c r="G33" s="37">
        <v>1692</v>
      </c>
      <c r="H33" s="37">
        <v>1781</v>
      </c>
      <c r="I33" s="37">
        <v>1842</v>
      </c>
      <c r="J33" s="37">
        <v>1901</v>
      </c>
      <c r="K33" s="37">
        <v>1944</v>
      </c>
      <c r="L33" s="37">
        <v>2054</v>
      </c>
      <c r="M33" s="37">
        <v>2137</v>
      </c>
      <c r="N33" s="37">
        <v>4522</v>
      </c>
      <c r="O33" s="37">
        <v>14401</v>
      </c>
    </row>
    <row r="34" spans="1:15" x14ac:dyDescent="0.3">
      <c r="A34" s="37" t="s">
        <v>1454</v>
      </c>
      <c r="B34" s="37">
        <v>13204</v>
      </c>
      <c r="C34" s="37" t="s">
        <v>1496</v>
      </c>
      <c r="D34" s="37">
        <v>0</v>
      </c>
      <c r="E34" s="37">
        <v>59</v>
      </c>
      <c r="F34" s="37">
        <v>149</v>
      </c>
      <c r="G34" s="37">
        <v>244</v>
      </c>
      <c r="H34" s="37">
        <v>364</v>
      </c>
      <c r="I34" s="37">
        <v>498</v>
      </c>
      <c r="J34" s="37">
        <v>657</v>
      </c>
      <c r="K34" s="37">
        <v>851</v>
      </c>
      <c r="L34" s="37">
        <v>1086</v>
      </c>
      <c r="M34" s="37">
        <v>1410</v>
      </c>
      <c r="N34" s="37">
        <v>815</v>
      </c>
      <c r="O34" s="37">
        <v>5317</v>
      </c>
    </row>
    <row r="35" spans="1:15" x14ac:dyDescent="0.3">
      <c r="A35" s="37" t="s">
        <v>1498</v>
      </c>
      <c r="B35" s="37">
        <v>13502</v>
      </c>
      <c r="C35" s="37" t="s">
        <v>1496</v>
      </c>
      <c r="D35" s="37">
        <v>0</v>
      </c>
      <c r="E35" s="37">
        <v>842</v>
      </c>
      <c r="F35" s="37">
        <v>1201</v>
      </c>
      <c r="G35" s="37">
        <v>1291</v>
      </c>
      <c r="H35" s="37">
        <v>1519</v>
      </c>
      <c r="I35" s="37">
        <v>1710</v>
      </c>
      <c r="J35" s="37">
        <v>1890</v>
      </c>
      <c r="K35" s="37">
        <v>2176</v>
      </c>
      <c r="L35" s="37">
        <v>2189</v>
      </c>
      <c r="M35" s="37">
        <v>1882</v>
      </c>
      <c r="N35" s="37">
        <v>4853</v>
      </c>
      <c r="O35" s="37">
        <v>14699</v>
      </c>
    </row>
    <row r="36" spans="1:15" x14ac:dyDescent="0.3">
      <c r="A36" s="37" t="s">
        <v>1499</v>
      </c>
      <c r="B36" s="37">
        <v>13701</v>
      </c>
      <c r="C36" s="37" t="s">
        <v>1496</v>
      </c>
      <c r="D36" s="37">
        <v>0</v>
      </c>
      <c r="E36" s="37">
        <v>1</v>
      </c>
      <c r="F36" s="37">
        <v>1</v>
      </c>
      <c r="G36" s="37">
        <v>2</v>
      </c>
      <c r="H36" s="37">
        <v>2</v>
      </c>
      <c r="I36" s="37">
        <v>3</v>
      </c>
      <c r="J36" s="37">
        <v>3</v>
      </c>
      <c r="K36" s="37">
        <v>4</v>
      </c>
      <c r="L36" s="37">
        <v>5</v>
      </c>
      <c r="M36" s="37">
        <v>6</v>
      </c>
      <c r="N36" s="37">
        <v>6</v>
      </c>
      <c r="O36" s="37">
        <v>26</v>
      </c>
    </row>
    <row r="37" spans="1:15" x14ac:dyDescent="0.3">
      <c r="A37" s="37" t="s">
        <v>1436</v>
      </c>
      <c r="B37" s="37">
        <v>21001</v>
      </c>
      <c r="C37" s="37" t="s">
        <v>1496</v>
      </c>
      <c r="D37" s="37">
        <v>0</v>
      </c>
      <c r="E37" s="37">
        <v>178</v>
      </c>
      <c r="F37" s="37">
        <v>716</v>
      </c>
      <c r="G37" s="37">
        <v>1268</v>
      </c>
      <c r="H37" s="37">
        <v>2150</v>
      </c>
      <c r="I37" s="37">
        <v>3000</v>
      </c>
      <c r="J37" s="37">
        <v>2906</v>
      </c>
      <c r="K37" s="37">
        <v>2533</v>
      </c>
      <c r="L37" s="37">
        <v>1750</v>
      </c>
      <c r="M37" s="37">
        <v>807</v>
      </c>
      <c r="N37" s="37">
        <v>4312</v>
      </c>
      <c r="O37" s="37">
        <v>15308</v>
      </c>
    </row>
    <row r="38" spans="1:15" x14ac:dyDescent="0.3">
      <c r="A38" s="37">
        <v>0</v>
      </c>
      <c r="B38" s="37">
        <v>21002</v>
      </c>
      <c r="C38" s="37" t="s">
        <v>1496</v>
      </c>
      <c r="D38" s="37">
        <v>0</v>
      </c>
      <c r="E38" s="37">
        <v>86</v>
      </c>
      <c r="F38" s="37">
        <v>95</v>
      </c>
      <c r="G38" s="37">
        <v>125</v>
      </c>
      <c r="H38" s="37">
        <v>225</v>
      </c>
      <c r="I38" s="37">
        <v>225</v>
      </c>
      <c r="J38" s="37">
        <v>245</v>
      </c>
      <c r="K38" s="37">
        <v>240</v>
      </c>
      <c r="L38" s="37">
        <v>109</v>
      </c>
      <c r="M38" s="37">
        <v>50</v>
      </c>
      <c r="N38" s="37">
        <v>531</v>
      </c>
      <c r="O38" s="37">
        <v>1400</v>
      </c>
    </row>
    <row r="39" spans="1:15" x14ac:dyDescent="0.3">
      <c r="A39" s="37" t="s">
        <v>1448</v>
      </c>
      <c r="B39" s="37">
        <v>22002</v>
      </c>
      <c r="C39" s="37" t="s">
        <v>1496</v>
      </c>
      <c r="D39" s="37">
        <v>0</v>
      </c>
      <c r="E39" s="37">
        <v>5</v>
      </c>
      <c r="F39" s="37">
        <v>41</v>
      </c>
      <c r="G39" s="37">
        <v>116</v>
      </c>
      <c r="H39" s="37">
        <v>284</v>
      </c>
      <c r="I39" s="37">
        <v>417</v>
      </c>
      <c r="J39" s="37">
        <v>459</v>
      </c>
      <c r="K39" s="37">
        <v>355</v>
      </c>
      <c r="L39" s="37">
        <v>210</v>
      </c>
      <c r="M39" s="37">
        <v>90</v>
      </c>
      <c r="N39" s="37">
        <v>446</v>
      </c>
      <c r="O39" s="37">
        <v>1977</v>
      </c>
    </row>
    <row r="40" spans="1:15" x14ac:dyDescent="0.3">
      <c r="A40" s="37" t="s">
        <v>1464</v>
      </c>
      <c r="B40" s="37">
        <v>30001</v>
      </c>
      <c r="C40" s="37" t="s">
        <v>1496</v>
      </c>
      <c r="D40" s="37">
        <v>0</v>
      </c>
      <c r="E40" s="37">
        <v>25</v>
      </c>
      <c r="F40" s="37">
        <v>100</v>
      </c>
      <c r="G40" s="37">
        <v>125</v>
      </c>
      <c r="H40" s="37">
        <v>100</v>
      </c>
      <c r="I40" s="37">
        <v>75</v>
      </c>
      <c r="J40" s="37">
        <v>30</v>
      </c>
      <c r="K40" s="37">
        <v>20</v>
      </c>
      <c r="L40" s="37">
        <v>0</v>
      </c>
      <c r="M40" s="37">
        <v>0</v>
      </c>
      <c r="N40" s="37">
        <v>350</v>
      </c>
      <c r="O40" s="37">
        <v>475</v>
      </c>
    </row>
    <row r="42" spans="1:15" x14ac:dyDescent="0.3">
      <c r="C42" s="1276" t="s">
        <v>1500</v>
      </c>
      <c r="D42" s="1276"/>
      <c r="E42" s="1276"/>
      <c r="F42" s="1276"/>
      <c r="G42" s="1276"/>
      <c r="H42" s="1276"/>
      <c r="I42" s="1276"/>
      <c r="J42" s="1276"/>
      <c r="K42" s="1276"/>
      <c r="L42" s="1276"/>
      <c r="M42" s="1276"/>
      <c r="N42" s="1276"/>
      <c r="O42" s="1276"/>
    </row>
    <row r="43" spans="1:15" x14ac:dyDescent="0.3">
      <c r="A43" s="37" t="s">
        <v>1501</v>
      </c>
      <c r="B43" s="37">
        <v>10101</v>
      </c>
      <c r="C43" s="37" t="s">
        <v>1502</v>
      </c>
      <c r="D43" s="37">
        <v>0</v>
      </c>
      <c r="E43" s="37">
        <v>34679</v>
      </c>
      <c r="F43" s="37">
        <v>34258</v>
      </c>
      <c r="G43" s="37">
        <v>22039</v>
      </c>
      <c r="H43" s="37">
        <v>17702</v>
      </c>
      <c r="I43" s="37">
        <v>18699</v>
      </c>
      <c r="J43" s="37">
        <v>20798</v>
      </c>
      <c r="K43" s="37">
        <v>22756</v>
      </c>
      <c r="L43" s="37">
        <v>24658</v>
      </c>
      <c r="M43" s="37">
        <v>26659</v>
      </c>
      <c r="N43" s="37">
        <v>108678</v>
      </c>
      <c r="O43" s="37">
        <v>222248</v>
      </c>
    </row>
    <row r="44" spans="1:15" x14ac:dyDescent="0.3">
      <c r="A44" s="37" t="s">
        <v>1503</v>
      </c>
      <c r="B44" s="37" t="s">
        <v>1504</v>
      </c>
      <c r="C44" s="37" t="s">
        <v>1502</v>
      </c>
      <c r="D44" s="37">
        <v>0</v>
      </c>
      <c r="E44" s="37">
        <v>113</v>
      </c>
      <c r="F44" s="37">
        <v>314</v>
      </c>
      <c r="G44" s="37">
        <v>470</v>
      </c>
      <c r="H44" s="37">
        <v>642</v>
      </c>
      <c r="I44" s="37">
        <v>812</v>
      </c>
      <c r="J44" s="37">
        <v>973</v>
      </c>
      <c r="K44" s="37">
        <v>1100</v>
      </c>
      <c r="L44" s="37">
        <v>1181</v>
      </c>
      <c r="M44" s="37">
        <v>1245</v>
      </c>
      <c r="N44" s="37">
        <v>1539</v>
      </c>
      <c r="O44" s="37">
        <v>6850</v>
      </c>
    </row>
    <row r="45" spans="1:15" x14ac:dyDescent="0.3">
      <c r="A45" s="37" t="s">
        <v>1505</v>
      </c>
      <c r="B45" s="37">
        <v>13101</v>
      </c>
      <c r="C45" s="37" t="s">
        <v>1502</v>
      </c>
      <c r="D45" s="37">
        <v>0</v>
      </c>
      <c r="E45" s="37">
        <v>-1562</v>
      </c>
      <c r="F45" s="37">
        <v>-2183</v>
      </c>
      <c r="G45" s="37">
        <v>-3317</v>
      </c>
      <c r="H45" s="37">
        <v>-4822</v>
      </c>
      <c r="I45" s="37">
        <v>-6428</v>
      </c>
      <c r="J45" s="37">
        <v>-7677</v>
      </c>
      <c r="K45" s="37">
        <v>-8232</v>
      </c>
      <c r="L45" s="37">
        <v>-8329</v>
      </c>
      <c r="M45" s="37">
        <v>-8511</v>
      </c>
      <c r="N45" s="37">
        <v>-11885</v>
      </c>
      <c r="O45" s="37">
        <v>-51062</v>
      </c>
    </row>
    <row r="46" spans="1:15" x14ac:dyDescent="0.3">
      <c r="A46" s="37" t="s">
        <v>1506</v>
      </c>
      <c r="B46" s="37">
        <v>13102</v>
      </c>
      <c r="C46" s="37" t="s">
        <v>1502</v>
      </c>
      <c r="D46" s="37">
        <v>0</v>
      </c>
      <c r="E46" s="37">
        <v>-2140</v>
      </c>
      <c r="F46" s="37">
        <v>-1559</v>
      </c>
      <c r="G46" s="37">
        <v>-2458</v>
      </c>
      <c r="H46" s="37">
        <v>-5367</v>
      </c>
      <c r="I46" s="37">
        <v>-2359</v>
      </c>
      <c r="J46" s="37">
        <v>-48</v>
      </c>
      <c r="K46" s="37">
        <v>-38</v>
      </c>
      <c r="L46" s="37">
        <v>-9</v>
      </c>
      <c r="M46" s="37">
        <v>15</v>
      </c>
      <c r="N46" s="37">
        <v>-11523</v>
      </c>
      <c r="O46" s="37">
        <v>-13962</v>
      </c>
    </row>
    <row r="47" spans="1:15" x14ac:dyDescent="0.3">
      <c r="A47" s="37" t="s">
        <v>1507</v>
      </c>
      <c r="B47" s="37">
        <v>13104</v>
      </c>
      <c r="C47" s="37" t="s">
        <v>1502</v>
      </c>
      <c r="D47" s="37">
        <v>0</v>
      </c>
      <c r="E47" s="37">
        <v>-22</v>
      </c>
      <c r="F47" s="37">
        <v>-158</v>
      </c>
      <c r="G47" s="37">
        <v>-244</v>
      </c>
      <c r="H47" s="37">
        <v>-257</v>
      </c>
      <c r="I47" s="37">
        <v>-241</v>
      </c>
      <c r="J47" s="37">
        <v>-223</v>
      </c>
      <c r="K47" s="37">
        <v>-202</v>
      </c>
      <c r="L47" s="37">
        <v>-178</v>
      </c>
      <c r="M47" s="37">
        <v>-154</v>
      </c>
      <c r="N47" s="37">
        <v>-681</v>
      </c>
      <c r="O47" s="37">
        <v>-1679</v>
      </c>
    </row>
    <row r="48" spans="1:15" x14ac:dyDescent="0.3">
      <c r="A48" s="37" t="s">
        <v>1508</v>
      </c>
      <c r="B48" s="37">
        <v>13105</v>
      </c>
      <c r="C48" s="37" t="s">
        <v>1502</v>
      </c>
      <c r="D48" s="37">
        <v>0</v>
      </c>
      <c r="E48" s="37">
        <v>0</v>
      </c>
      <c r="F48" s="37">
        <v>-1138</v>
      </c>
      <c r="G48" s="37">
        <v>-1832</v>
      </c>
      <c r="H48" s="37">
        <v>-1929</v>
      </c>
      <c r="I48" s="37">
        <v>-1996</v>
      </c>
      <c r="J48" s="37">
        <v>-2059</v>
      </c>
      <c r="K48" s="37">
        <v>-2106</v>
      </c>
      <c r="L48" s="37">
        <v>-2225</v>
      </c>
      <c r="M48" s="37">
        <v>-2315</v>
      </c>
      <c r="N48" s="37">
        <v>-4899</v>
      </c>
      <c r="O48" s="37">
        <v>-15600</v>
      </c>
    </row>
    <row r="49" spans="1:15" x14ac:dyDescent="0.3">
      <c r="A49" s="37" t="s">
        <v>1509</v>
      </c>
      <c r="B49" s="37">
        <v>13303</v>
      </c>
      <c r="C49" s="37" t="s">
        <v>1502</v>
      </c>
      <c r="D49" s="37">
        <v>0</v>
      </c>
      <c r="E49" s="37">
        <v>-62</v>
      </c>
      <c r="F49" s="37">
        <v>-50</v>
      </c>
      <c r="G49" s="37">
        <v>-46</v>
      </c>
      <c r="H49" s="37">
        <v>-42</v>
      </c>
      <c r="I49" s="37">
        <v>-38</v>
      </c>
      <c r="J49" s="37">
        <v>-35</v>
      </c>
      <c r="K49" s="37">
        <v>-32</v>
      </c>
      <c r="L49" s="37">
        <v>-30</v>
      </c>
      <c r="M49" s="37">
        <v>-28</v>
      </c>
      <c r="N49" s="37">
        <v>-200</v>
      </c>
      <c r="O49" s="37">
        <v>-362</v>
      </c>
    </row>
    <row r="50" spans="1:15" x14ac:dyDescent="0.3">
      <c r="A50" s="37" t="s">
        <v>1510</v>
      </c>
      <c r="B50" s="37" t="s">
        <v>1511</v>
      </c>
      <c r="C50" s="37" t="s">
        <v>1502</v>
      </c>
      <c r="D50" s="37">
        <v>0</v>
      </c>
      <c r="E50" s="37">
        <v>-2376</v>
      </c>
      <c r="F50" s="37">
        <v>-2679</v>
      </c>
      <c r="G50" s="37">
        <v>-2315</v>
      </c>
      <c r="H50" s="37">
        <v>-2572</v>
      </c>
      <c r="I50" s="37">
        <v>-2467</v>
      </c>
      <c r="J50" s="37">
        <v>-2490</v>
      </c>
      <c r="K50" s="37">
        <v>-2638</v>
      </c>
      <c r="L50" s="37">
        <v>-2569</v>
      </c>
      <c r="M50" s="37">
        <v>-2081</v>
      </c>
      <c r="N50" s="37">
        <v>-9943</v>
      </c>
      <c r="O50" s="37">
        <v>-22188</v>
      </c>
    </row>
    <row r="51" spans="1:15" x14ac:dyDescent="0.3">
      <c r="A51" s="37" t="s">
        <v>1512</v>
      </c>
      <c r="B51" s="37">
        <v>13601</v>
      </c>
      <c r="C51" s="37" t="s">
        <v>1502</v>
      </c>
      <c r="D51" s="37">
        <v>0</v>
      </c>
      <c r="E51" s="37">
        <v>902</v>
      </c>
      <c r="F51" s="37">
        <v>1230</v>
      </c>
      <c r="G51" s="37">
        <v>1271</v>
      </c>
      <c r="H51" s="37">
        <v>1304</v>
      </c>
      <c r="I51" s="37">
        <v>1336</v>
      </c>
      <c r="J51" s="37">
        <v>1368</v>
      </c>
      <c r="K51" s="37">
        <v>1402</v>
      </c>
      <c r="L51" s="37">
        <v>1436</v>
      </c>
      <c r="M51" s="37">
        <v>1470</v>
      </c>
      <c r="N51" s="37">
        <v>4707</v>
      </c>
      <c r="O51" s="37">
        <v>11719</v>
      </c>
    </row>
    <row r="52" spans="1:15" x14ac:dyDescent="0.3">
      <c r="A52" s="37" t="s">
        <v>1513</v>
      </c>
      <c r="B52" s="37" t="s">
        <v>1514</v>
      </c>
      <c r="C52" s="37" t="s">
        <v>1502</v>
      </c>
      <c r="D52" s="37">
        <v>0</v>
      </c>
      <c r="E52" s="37">
        <v>1</v>
      </c>
      <c r="F52" s="37">
        <v>1</v>
      </c>
      <c r="G52" s="37">
        <v>-678</v>
      </c>
      <c r="H52" s="37">
        <v>-858</v>
      </c>
      <c r="I52" s="37">
        <v>-7820</v>
      </c>
      <c r="J52" s="37">
        <v>-11303</v>
      </c>
      <c r="K52" s="37">
        <v>-12736</v>
      </c>
      <c r="L52" s="37">
        <v>-14927</v>
      </c>
      <c r="M52" s="37">
        <v>-17285</v>
      </c>
      <c r="N52" s="37">
        <v>-1535</v>
      </c>
      <c r="O52" s="37">
        <v>-65606</v>
      </c>
    </row>
    <row r="53" spans="1:15" x14ac:dyDescent="0.3">
      <c r="A53" s="37" t="s">
        <v>1515</v>
      </c>
      <c r="B53" s="37">
        <v>13901</v>
      </c>
      <c r="C53" s="37" t="s">
        <v>1502</v>
      </c>
      <c r="D53" s="37">
        <v>0</v>
      </c>
      <c r="E53" s="37">
        <v>103</v>
      </c>
      <c r="F53" s="37">
        <v>135</v>
      </c>
      <c r="G53" s="37">
        <v>131</v>
      </c>
      <c r="H53" s="37">
        <v>130</v>
      </c>
      <c r="I53" s="37">
        <v>130</v>
      </c>
      <c r="J53" s="37">
        <v>131</v>
      </c>
      <c r="K53" s="37">
        <v>132</v>
      </c>
      <c r="L53" s="37">
        <v>133</v>
      </c>
      <c r="M53" s="37">
        <v>134</v>
      </c>
      <c r="N53" s="37">
        <v>498</v>
      </c>
      <c r="O53" s="37">
        <v>1159</v>
      </c>
    </row>
    <row r="54" spans="1:15" x14ac:dyDescent="0.3">
      <c r="A54" s="37" t="s">
        <v>1516</v>
      </c>
      <c r="B54" s="37">
        <v>13902</v>
      </c>
      <c r="C54" s="37" t="s">
        <v>1502</v>
      </c>
      <c r="D54" s="37">
        <v>0</v>
      </c>
      <c r="E54" s="37">
        <v>-16</v>
      </c>
      <c r="F54" s="37">
        <v>-13</v>
      </c>
      <c r="G54" s="37">
        <v>-15</v>
      </c>
      <c r="H54" s="37">
        <v>-16</v>
      </c>
      <c r="I54" s="37">
        <v>-18</v>
      </c>
      <c r="J54" s="37">
        <v>-21</v>
      </c>
      <c r="K54" s="37">
        <v>-22</v>
      </c>
      <c r="L54" s="37">
        <v>-23</v>
      </c>
      <c r="M54" s="37">
        <v>-24</v>
      </c>
      <c r="N54" s="37">
        <v>-60</v>
      </c>
      <c r="O54" s="37">
        <v>-168</v>
      </c>
    </row>
    <row r="55" spans="1:15" x14ac:dyDescent="0.3">
      <c r="A55" s="37" t="s">
        <v>1517</v>
      </c>
      <c r="B55" s="37" t="s">
        <v>1518</v>
      </c>
      <c r="C55" s="37" t="s">
        <v>1502</v>
      </c>
      <c r="D55" s="37">
        <v>0</v>
      </c>
      <c r="E55" s="37">
        <v>0</v>
      </c>
      <c r="F55" s="37">
        <v>0</v>
      </c>
      <c r="G55" s="37">
        <v>0</v>
      </c>
      <c r="H55" s="37">
        <v>0</v>
      </c>
      <c r="I55" s="37">
        <v>17666</v>
      </c>
      <c r="J55" s="37">
        <v>26198</v>
      </c>
      <c r="K55" s="37">
        <v>9453</v>
      </c>
      <c r="L55" s="37">
        <v>-274</v>
      </c>
      <c r="M55" s="37">
        <v>-284</v>
      </c>
      <c r="N55" s="37">
        <v>0</v>
      </c>
      <c r="O55" s="37">
        <v>52759</v>
      </c>
    </row>
    <row r="56" spans="1:15" x14ac:dyDescent="0.3">
      <c r="A56" s="37" t="s">
        <v>1519</v>
      </c>
      <c r="B56" s="37">
        <v>60113</v>
      </c>
      <c r="C56" s="37" t="s">
        <v>1502</v>
      </c>
      <c r="D56" s="37">
        <v>0</v>
      </c>
      <c r="E56" s="37">
        <v>0</v>
      </c>
      <c r="F56" s="37">
        <v>0</v>
      </c>
      <c r="G56" s="37">
        <v>0</v>
      </c>
      <c r="H56" s="37">
        <v>850</v>
      </c>
      <c r="I56" s="137">
        <v>1350</v>
      </c>
      <c r="J56" s="137">
        <v>1400</v>
      </c>
      <c r="K56" s="137">
        <v>1200</v>
      </c>
      <c r="L56" s="137">
        <v>1050</v>
      </c>
      <c r="M56" s="37">
        <v>500</v>
      </c>
      <c r="N56" s="37">
        <v>850</v>
      </c>
      <c r="O56" s="137">
        <v>6350</v>
      </c>
    </row>
    <row r="57" spans="1:15" x14ac:dyDescent="0.3">
      <c r="A57" s="37" t="s">
        <v>1520</v>
      </c>
      <c r="B57" s="37">
        <v>10201</v>
      </c>
      <c r="C57" s="37" t="s">
        <v>1502</v>
      </c>
      <c r="D57" s="37">
        <v>0</v>
      </c>
      <c r="E57" s="37">
        <v>5697</v>
      </c>
      <c r="F57" s="37">
        <v>7875</v>
      </c>
      <c r="G57" s="37">
        <v>8070</v>
      </c>
      <c r="H57" s="37">
        <v>8581</v>
      </c>
      <c r="I57" s="37">
        <v>8882</v>
      </c>
      <c r="J57" s="37">
        <v>8838</v>
      </c>
      <c r="K57" s="37">
        <v>8603</v>
      </c>
      <c r="L57" s="37">
        <v>8500</v>
      </c>
      <c r="M57" s="37">
        <v>8641</v>
      </c>
      <c r="N57" s="37">
        <v>30223</v>
      </c>
      <c r="O57" s="37">
        <v>73686</v>
      </c>
    </row>
    <row r="58" spans="1:15" x14ac:dyDescent="0.3">
      <c r="A58" s="37" t="s">
        <v>1527</v>
      </c>
      <c r="B58" s="37">
        <v>13304</v>
      </c>
      <c r="C58" s="37" t="s">
        <v>1532</v>
      </c>
      <c r="D58" s="37">
        <v>0</v>
      </c>
      <c r="E58" s="37">
        <v>-273</v>
      </c>
      <c r="F58" s="37">
        <v>-193</v>
      </c>
      <c r="G58" s="37">
        <v>-203</v>
      </c>
      <c r="H58" s="37">
        <v>-216</v>
      </c>
      <c r="I58" s="37">
        <v>-230</v>
      </c>
      <c r="J58" s="37">
        <v>-241</v>
      </c>
      <c r="K58" s="37">
        <v>-240</v>
      </c>
      <c r="L58" s="37">
        <v>-229</v>
      </c>
      <c r="M58" s="37">
        <v>-217</v>
      </c>
      <c r="N58" s="37">
        <v>-887</v>
      </c>
      <c r="O58" s="37">
        <v>-2043</v>
      </c>
    </row>
    <row r="59" spans="1:15" x14ac:dyDescent="0.3">
      <c r="A59" s="37" t="s">
        <v>1523</v>
      </c>
      <c r="B59" s="37" t="s">
        <v>1524</v>
      </c>
      <c r="C59" s="37" t="s">
        <v>1532</v>
      </c>
      <c r="D59" s="37">
        <v>0</v>
      </c>
      <c r="E59" s="37">
        <v>-2882</v>
      </c>
      <c r="F59" s="37">
        <v>-2038</v>
      </c>
      <c r="G59" s="37">
        <v>-1405</v>
      </c>
      <c r="H59" s="37">
        <v>-554</v>
      </c>
      <c r="I59" s="37">
        <v>-753</v>
      </c>
      <c r="J59" s="37">
        <v>-970</v>
      </c>
      <c r="K59" s="37">
        <v>-1231</v>
      </c>
      <c r="L59" s="37">
        <v>-1581</v>
      </c>
      <c r="M59" s="37">
        <v>-2108</v>
      </c>
      <c r="N59" s="37">
        <v>-6880</v>
      </c>
      <c r="O59" s="37">
        <v>-13523</v>
      </c>
    </row>
    <row r="60" spans="1:15" x14ac:dyDescent="0.3">
      <c r="A60" s="961" t="s">
        <v>1521</v>
      </c>
      <c r="B60" s="962">
        <v>10301</v>
      </c>
      <c r="C60" s="962" t="s">
        <v>239</v>
      </c>
      <c r="D60" s="962">
        <v>0</v>
      </c>
      <c r="E60" s="963">
        <v>2012</v>
      </c>
      <c r="F60" s="963">
        <v>5106</v>
      </c>
      <c r="G60" s="963">
        <v>11125</v>
      </c>
      <c r="H60" s="963">
        <v>16116</v>
      </c>
      <c r="I60" s="963">
        <v>21716</v>
      </c>
      <c r="J60" s="963">
        <v>26314</v>
      </c>
      <c r="K60" s="963">
        <v>31218</v>
      </c>
      <c r="L60" s="963">
        <v>34877</v>
      </c>
      <c r="M60" s="963">
        <v>31904</v>
      </c>
      <c r="N60" s="963">
        <v>34359</v>
      </c>
      <c r="O60" s="964">
        <v>180388</v>
      </c>
    </row>
    <row r="61" spans="1:15" x14ac:dyDescent="0.3">
      <c r="A61" s="37" t="s">
        <v>1522</v>
      </c>
      <c r="B61" s="37">
        <v>12001</v>
      </c>
      <c r="C61" s="37" t="s">
        <v>239</v>
      </c>
      <c r="D61" s="37">
        <v>0</v>
      </c>
      <c r="E61" s="37">
        <v>1297</v>
      </c>
      <c r="F61" s="37">
        <v>-10555</v>
      </c>
      <c r="G61" s="37">
        <v>-10586</v>
      </c>
      <c r="H61" s="37">
        <v>-11431</v>
      </c>
      <c r="I61" s="37">
        <v>-154</v>
      </c>
      <c r="J61" s="37">
        <v>132</v>
      </c>
      <c r="K61" s="37">
        <v>53</v>
      </c>
      <c r="L61" s="37">
        <v>6</v>
      </c>
      <c r="M61" s="37">
        <v>0</v>
      </c>
      <c r="N61" s="37">
        <v>-31275</v>
      </c>
      <c r="O61" s="37">
        <v>-31238</v>
      </c>
    </row>
    <row r="62" spans="1:15" x14ac:dyDescent="0.3">
      <c r="A62" s="37" t="s">
        <v>1525</v>
      </c>
      <c r="B62" s="37">
        <v>13301</v>
      </c>
      <c r="C62" s="37" t="s">
        <v>239</v>
      </c>
      <c r="D62" s="37">
        <v>0</v>
      </c>
      <c r="E62" s="37">
        <v>-1887</v>
      </c>
      <c r="F62" s="37">
        <v>-1348</v>
      </c>
      <c r="G62" s="37">
        <v>-1324</v>
      </c>
      <c r="H62" s="37">
        <v>-1345</v>
      </c>
      <c r="I62" s="37">
        <v>-1327</v>
      </c>
      <c r="J62" s="37">
        <v>-1277</v>
      </c>
      <c r="K62" s="37">
        <v>-1301</v>
      </c>
      <c r="L62" s="37">
        <v>-1314</v>
      </c>
      <c r="M62" s="37">
        <v>-1327</v>
      </c>
      <c r="N62" s="37">
        <v>-5904</v>
      </c>
      <c r="O62" s="37">
        <v>-12451</v>
      </c>
    </row>
    <row r="63" spans="1:15" x14ac:dyDescent="0.3">
      <c r="A63" s="37" t="s">
        <v>1526</v>
      </c>
      <c r="B63" s="37">
        <v>13302</v>
      </c>
      <c r="C63" s="37" t="s">
        <v>239</v>
      </c>
      <c r="D63" s="37">
        <v>0</v>
      </c>
      <c r="E63" s="37">
        <v>-459</v>
      </c>
      <c r="F63" s="37">
        <v>-1021</v>
      </c>
      <c r="G63" s="37">
        <v>-2692</v>
      </c>
      <c r="H63" s="37">
        <v>-2770</v>
      </c>
      <c r="I63" s="37">
        <v>-2850</v>
      </c>
      <c r="J63" s="37">
        <v>-2935</v>
      </c>
      <c r="K63" s="37">
        <v>-3019</v>
      </c>
      <c r="L63" s="37">
        <v>-3092</v>
      </c>
      <c r="M63" s="37">
        <v>-3185</v>
      </c>
      <c r="N63" s="37">
        <v>-6942</v>
      </c>
      <c r="O63" s="37">
        <v>-22022</v>
      </c>
    </row>
    <row r="64" spans="1:15" x14ac:dyDescent="0.3">
      <c r="A64" s="37" t="s">
        <v>1528</v>
      </c>
      <c r="B64" s="37" t="s">
        <v>1529</v>
      </c>
      <c r="C64" s="37" t="s">
        <v>239</v>
      </c>
      <c r="D64" s="37">
        <v>0</v>
      </c>
      <c r="E64" s="37">
        <v>-511</v>
      </c>
      <c r="F64" s="37">
        <v>-852</v>
      </c>
      <c r="G64" s="37">
        <v>-1050</v>
      </c>
      <c r="H64" s="37">
        <v>-1275</v>
      </c>
      <c r="I64" s="37">
        <v>-1572</v>
      </c>
      <c r="J64" s="37">
        <v>-1862</v>
      </c>
      <c r="K64" s="37">
        <v>-2104</v>
      </c>
      <c r="L64" s="37">
        <v>-2364</v>
      </c>
      <c r="M64" s="37">
        <v>-2615</v>
      </c>
      <c r="N64" s="37">
        <v>-3689</v>
      </c>
      <c r="O64" s="37">
        <v>-14209</v>
      </c>
    </row>
    <row r="67" spans="3:15" x14ac:dyDescent="0.3">
      <c r="D67" s="965">
        <v>2022</v>
      </c>
      <c r="E67" s="965">
        <v>2023</v>
      </c>
      <c r="F67" s="965">
        <v>2024</v>
      </c>
      <c r="G67" s="965">
        <v>2025</v>
      </c>
      <c r="H67" s="965">
        <v>2026</v>
      </c>
      <c r="I67" s="965">
        <v>2027</v>
      </c>
      <c r="J67" s="965">
        <v>2028</v>
      </c>
      <c r="K67" s="965">
        <v>2029</v>
      </c>
      <c r="L67" s="965">
        <v>2030</v>
      </c>
      <c r="M67" s="966">
        <v>2031</v>
      </c>
      <c r="N67" s="967" t="s">
        <v>1466</v>
      </c>
      <c r="O67" s="968" t="s">
        <v>1467</v>
      </c>
    </row>
    <row r="68" spans="3:15" x14ac:dyDescent="0.3">
      <c r="C68" s="1277" t="s">
        <v>1530</v>
      </c>
      <c r="D68" s="1278"/>
      <c r="E68" s="1278"/>
      <c r="F68" s="1278"/>
      <c r="G68" s="1278"/>
      <c r="H68" s="1278"/>
      <c r="I68" s="1278"/>
      <c r="J68" s="1278"/>
      <c r="K68" s="1278"/>
      <c r="L68" s="1278"/>
      <c r="M68" s="1278"/>
      <c r="N68" s="1278"/>
      <c r="O68" s="1279"/>
    </row>
    <row r="69" spans="3:15" x14ac:dyDescent="0.3">
      <c r="C69" s="49" t="s">
        <v>1491</v>
      </c>
      <c r="D69" s="37">
        <f t="shared" ref="D69:O69" si="0">SUM(D3:D8)</f>
        <v>0</v>
      </c>
      <c r="E69" s="37">
        <f t="shared" si="0"/>
        <v>3947</v>
      </c>
      <c r="F69" s="37">
        <f t="shared" si="0"/>
        <v>4202</v>
      </c>
      <c r="G69" s="37">
        <f t="shared" si="0"/>
        <v>6275</v>
      </c>
      <c r="H69" s="37">
        <f t="shared" si="0"/>
        <v>7956</v>
      </c>
      <c r="I69" s="37">
        <f t="shared" si="0"/>
        <v>9969</v>
      </c>
      <c r="J69" s="37">
        <f t="shared" si="0"/>
        <v>12081</v>
      </c>
      <c r="K69" s="37">
        <f t="shared" si="0"/>
        <v>14493</v>
      </c>
      <c r="L69" s="37">
        <f t="shared" si="0"/>
        <v>16921</v>
      </c>
      <c r="M69" s="37">
        <f t="shared" si="0"/>
        <v>17112</v>
      </c>
      <c r="N69" s="37">
        <f t="shared" si="0"/>
        <v>22380</v>
      </c>
      <c r="O69" s="37">
        <f t="shared" si="0"/>
        <v>92956</v>
      </c>
    </row>
    <row r="70" spans="3:15" x14ac:dyDescent="0.3">
      <c r="C70" s="49" t="s">
        <v>1354</v>
      </c>
      <c r="D70" s="37">
        <f t="shared" ref="D70:O70" si="1">SUM(D9)</f>
        <v>0</v>
      </c>
      <c r="E70" s="37">
        <f t="shared" si="1"/>
        <v>65</v>
      </c>
      <c r="F70" s="37">
        <f t="shared" si="1"/>
        <v>150</v>
      </c>
      <c r="G70" s="37">
        <f t="shared" si="1"/>
        <v>290</v>
      </c>
      <c r="H70" s="37">
        <f t="shared" si="1"/>
        <v>290</v>
      </c>
      <c r="I70" s="37">
        <f t="shared" si="1"/>
        <v>290</v>
      </c>
      <c r="J70" s="37">
        <f t="shared" si="1"/>
        <v>285</v>
      </c>
      <c r="K70" s="37">
        <f t="shared" si="1"/>
        <v>250</v>
      </c>
      <c r="L70" s="37">
        <f t="shared" si="1"/>
        <v>220</v>
      </c>
      <c r="M70" s="37">
        <f t="shared" si="1"/>
        <v>160</v>
      </c>
      <c r="N70" s="49">
        <f t="shared" si="1"/>
        <v>795</v>
      </c>
      <c r="O70" s="292">
        <f t="shared" si="1"/>
        <v>2000</v>
      </c>
    </row>
    <row r="71" spans="3:15" x14ac:dyDescent="0.3">
      <c r="C71" s="49" t="s">
        <v>210</v>
      </c>
      <c r="D71" s="37">
        <f t="shared" ref="D71:O71" si="2">SUM(D10:D11)</f>
        <v>0</v>
      </c>
      <c r="E71" s="37">
        <f t="shared" si="2"/>
        <v>110</v>
      </c>
      <c r="F71" s="37">
        <f t="shared" si="2"/>
        <v>739</v>
      </c>
      <c r="G71" s="37">
        <f t="shared" si="2"/>
        <v>1195</v>
      </c>
      <c r="H71" s="37">
        <f t="shared" si="2"/>
        <v>1497</v>
      </c>
      <c r="I71" s="37">
        <f t="shared" si="2"/>
        <v>1910</v>
      </c>
      <c r="J71" s="37">
        <f t="shared" si="2"/>
        <v>2405</v>
      </c>
      <c r="K71" s="37">
        <f t="shared" si="2"/>
        <v>2922</v>
      </c>
      <c r="L71" s="37">
        <f t="shared" si="2"/>
        <v>3463</v>
      </c>
      <c r="M71" s="37">
        <f t="shared" si="2"/>
        <v>4007</v>
      </c>
      <c r="N71" s="49">
        <f t="shared" si="2"/>
        <v>3541</v>
      </c>
      <c r="O71" s="292">
        <f t="shared" si="2"/>
        <v>18248</v>
      </c>
    </row>
    <row r="72" spans="3:15" x14ac:dyDescent="0.3">
      <c r="C72" s="49" t="s">
        <v>211</v>
      </c>
      <c r="D72" s="37">
        <f t="shared" ref="D72:O72" si="3">SUM(D12:D25)</f>
        <v>0</v>
      </c>
      <c r="E72" s="37">
        <f t="shared" si="3"/>
        <v>-415</v>
      </c>
      <c r="F72" s="37">
        <f t="shared" si="3"/>
        <v>2768</v>
      </c>
      <c r="G72" s="37">
        <f t="shared" si="3"/>
        <v>-12473</v>
      </c>
      <c r="H72" s="37">
        <f t="shared" si="3"/>
        <v>-5374</v>
      </c>
      <c r="I72" s="37">
        <f t="shared" si="3"/>
        <v>-25515</v>
      </c>
      <c r="J72" s="37">
        <f t="shared" si="3"/>
        <v>-43975</v>
      </c>
      <c r="K72" s="37">
        <f t="shared" si="3"/>
        <v>-46426</v>
      </c>
      <c r="L72" s="37">
        <f t="shared" si="3"/>
        <v>-56228</v>
      </c>
      <c r="M72" s="37">
        <f t="shared" si="3"/>
        <v>-60581</v>
      </c>
      <c r="N72" s="49">
        <f t="shared" si="3"/>
        <v>-15494</v>
      </c>
      <c r="O72" s="292">
        <f t="shared" si="3"/>
        <v>-248219</v>
      </c>
    </row>
    <row r="73" spans="3:15" x14ac:dyDescent="0.3">
      <c r="C73" s="49" t="s">
        <v>1493</v>
      </c>
      <c r="D73" s="37">
        <f t="shared" ref="D73:O73" si="4">SUM(D26:D31)</f>
        <v>-622</v>
      </c>
      <c r="E73" s="37">
        <f t="shared" si="4"/>
        <v>21096</v>
      </c>
      <c r="F73" s="37">
        <f t="shared" si="4"/>
        <v>12256</v>
      </c>
      <c r="G73" s="37">
        <f t="shared" si="4"/>
        <v>11149</v>
      </c>
      <c r="H73" s="37">
        <f t="shared" si="4"/>
        <v>-6525</v>
      </c>
      <c r="I73" s="37">
        <f t="shared" si="4"/>
        <v>2029</v>
      </c>
      <c r="J73" s="37">
        <f t="shared" si="4"/>
        <v>2582</v>
      </c>
      <c r="K73" s="37">
        <f t="shared" si="4"/>
        <v>2236</v>
      </c>
      <c r="L73" s="37">
        <f t="shared" si="4"/>
        <v>1411</v>
      </c>
      <c r="M73" s="37">
        <f t="shared" si="4"/>
        <v>772</v>
      </c>
      <c r="N73" s="49">
        <f t="shared" si="4"/>
        <v>37354</v>
      </c>
      <c r="O73" s="292">
        <f t="shared" si="4"/>
        <v>46384</v>
      </c>
    </row>
    <row r="74" spans="3:15" x14ac:dyDescent="0.3">
      <c r="C74" s="49" t="s">
        <v>1496</v>
      </c>
      <c r="D74" s="37">
        <f t="shared" ref="D74:O74" si="5">SUM(D32:D40)</f>
        <v>0</v>
      </c>
      <c r="E74" s="37">
        <f t="shared" si="5"/>
        <v>1216</v>
      </c>
      <c r="F74" s="37">
        <f t="shared" si="5"/>
        <v>3498</v>
      </c>
      <c r="G74" s="37">
        <f t="shared" si="5"/>
        <v>5088</v>
      </c>
      <c r="H74" s="37">
        <f t="shared" si="5"/>
        <v>6663</v>
      </c>
      <c r="I74" s="37">
        <f t="shared" si="5"/>
        <v>7992</v>
      </c>
      <c r="J74" s="37">
        <f t="shared" si="5"/>
        <v>8297</v>
      </c>
      <c r="K74" s="37">
        <f t="shared" si="5"/>
        <v>8309</v>
      </c>
      <c r="L74" s="37">
        <f t="shared" si="5"/>
        <v>7568</v>
      </c>
      <c r="M74" s="37">
        <f t="shared" si="5"/>
        <v>6524</v>
      </c>
      <c r="N74" s="409">
        <f t="shared" si="5"/>
        <v>16463</v>
      </c>
      <c r="O74" s="294">
        <f t="shared" si="5"/>
        <v>55153</v>
      </c>
    </row>
    <row r="75" spans="3:15" x14ac:dyDescent="0.3">
      <c r="C75" s="1277" t="s">
        <v>1531</v>
      </c>
      <c r="D75" s="1278"/>
      <c r="E75" s="1278"/>
      <c r="F75" s="1278"/>
      <c r="G75" s="1278"/>
      <c r="H75" s="1278"/>
      <c r="I75" s="1278"/>
      <c r="J75" s="1278"/>
      <c r="K75" s="1278"/>
      <c r="L75" s="1278"/>
      <c r="M75" s="1278"/>
      <c r="N75" s="1278"/>
      <c r="O75" s="1279"/>
    </row>
    <row r="76" spans="3:15" x14ac:dyDescent="0.3">
      <c r="C76" s="49" t="s">
        <v>434</v>
      </c>
      <c r="D76" s="37">
        <v>0</v>
      </c>
      <c r="E76" s="37">
        <v>596</v>
      </c>
      <c r="F76" s="37">
        <v>1406</v>
      </c>
      <c r="G76" s="37">
        <v>1885</v>
      </c>
      <c r="H76" s="37">
        <v>2113</v>
      </c>
      <c r="I76" s="37">
        <v>2058</v>
      </c>
      <c r="J76" s="37">
        <v>1745</v>
      </c>
      <c r="K76" s="37">
        <v>1369</v>
      </c>
      <c r="L76" s="37">
        <v>970</v>
      </c>
      <c r="M76" s="37">
        <v>369</v>
      </c>
      <c r="N76" s="689">
        <v>6000</v>
      </c>
      <c r="O76" s="128">
        <v>12511</v>
      </c>
    </row>
    <row r="77" spans="3:15" x14ac:dyDescent="0.3">
      <c r="C77" s="49" t="s">
        <v>134</v>
      </c>
      <c r="D77" s="37">
        <v>0</v>
      </c>
      <c r="E77" s="37">
        <v>754</v>
      </c>
      <c r="F77" s="37">
        <v>2328</v>
      </c>
      <c r="G77" s="37">
        <v>3782</v>
      </c>
      <c r="H77" s="37">
        <v>5158</v>
      </c>
      <c r="I77" s="37">
        <v>4539</v>
      </c>
      <c r="J77" s="37">
        <v>3010</v>
      </c>
      <c r="K77" s="37">
        <v>1730</v>
      </c>
      <c r="L77" s="37">
        <v>790</v>
      </c>
      <c r="M77" s="37">
        <v>244</v>
      </c>
      <c r="N77" s="49">
        <v>12022</v>
      </c>
      <c r="O77" s="292">
        <v>22335</v>
      </c>
    </row>
    <row r="78" spans="3:15" x14ac:dyDescent="0.3">
      <c r="C78" s="49" t="s">
        <v>192</v>
      </c>
      <c r="D78" s="37">
        <v>0</v>
      </c>
      <c r="E78" s="37">
        <v>68</v>
      </c>
      <c r="F78" s="37">
        <v>1363</v>
      </c>
      <c r="G78" s="37">
        <v>2433</v>
      </c>
      <c r="H78" s="37">
        <v>2803</v>
      </c>
      <c r="I78" s="37">
        <v>1741</v>
      </c>
      <c r="J78" s="37">
        <v>570</v>
      </c>
      <c r="K78" s="37">
        <v>35</v>
      </c>
      <c r="L78" s="37">
        <v>0</v>
      </c>
      <c r="M78" s="37">
        <v>0</v>
      </c>
      <c r="N78" s="49">
        <v>6667</v>
      </c>
      <c r="O78" s="292">
        <v>9013</v>
      </c>
    </row>
    <row r="79" spans="3:15" x14ac:dyDescent="0.3">
      <c r="C79" s="49" t="s">
        <v>52</v>
      </c>
      <c r="D79" s="37">
        <v>0</v>
      </c>
      <c r="E79" s="37">
        <v>81</v>
      </c>
      <c r="F79" s="37">
        <v>350</v>
      </c>
      <c r="G79" s="37">
        <v>1354</v>
      </c>
      <c r="H79" s="37">
        <v>2869</v>
      </c>
      <c r="I79" s="37">
        <v>3890</v>
      </c>
      <c r="J79" s="37">
        <v>3430</v>
      </c>
      <c r="K79" s="37">
        <v>2260</v>
      </c>
      <c r="L79" s="37">
        <v>1320</v>
      </c>
      <c r="M79" s="37">
        <v>665</v>
      </c>
      <c r="N79" s="49">
        <v>4654</v>
      </c>
      <c r="O79" s="292">
        <v>16219</v>
      </c>
    </row>
    <row r="80" spans="3:15" x14ac:dyDescent="0.3">
      <c r="C80" s="49" t="s">
        <v>57</v>
      </c>
      <c r="D80" s="37">
        <v>0</v>
      </c>
      <c r="E80" s="37">
        <v>794</v>
      </c>
      <c r="F80" s="37">
        <v>3183</v>
      </c>
      <c r="G80" s="37">
        <v>5818</v>
      </c>
      <c r="H80" s="37">
        <v>7253</v>
      </c>
      <c r="I80" s="37">
        <v>5628</v>
      </c>
      <c r="J80" s="37">
        <v>1977</v>
      </c>
      <c r="K80" s="37">
        <v>229</v>
      </c>
      <c r="L80" s="37">
        <v>33</v>
      </c>
      <c r="M80" s="37">
        <v>1</v>
      </c>
      <c r="N80" s="49">
        <v>17048</v>
      </c>
      <c r="O80" s="292">
        <v>24916</v>
      </c>
    </row>
    <row r="81" spans="1:16" x14ac:dyDescent="0.3">
      <c r="C81" s="49"/>
      <c r="N81" s="409"/>
      <c r="O81" s="294"/>
    </row>
    <row r="82" spans="1:16" x14ac:dyDescent="0.3">
      <c r="C82" s="1277" t="s">
        <v>1500</v>
      </c>
      <c r="D82" s="1278"/>
      <c r="E82" s="1278"/>
      <c r="F82" s="1278"/>
      <c r="G82" s="1278"/>
      <c r="H82" s="1278"/>
      <c r="I82" s="1278"/>
      <c r="J82" s="1278"/>
      <c r="K82" s="1278"/>
      <c r="L82" s="1278"/>
      <c r="M82" s="1278"/>
      <c r="N82" s="1278"/>
      <c r="O82" s="1279"/>
    </row>
    <row r="83" spans="1:16" x14ac:dyDescent="0.3">
      <c r="C83" s="49" t="s">
        <v>1502</v>
      </c>
      <c r="D83" s="37">
        <f t="shared" ref="D83:O83" si="6">SUM(D43:D57)</f>
        <v>0</v>
      </c>
      <c r="E83" s="37">
        <f t="shared" si="6"/>
        <v>35317</v>
      </c>
      <c r="F83" s="37">
        <f t="shared" si="6"/>
        <v>36033</v>
      </c>
      <c r="G83" s="37">
        <f t="shared" si="6"/>
        <v>21076</v>
      </c>
      <c r="H83" s="37">
        <f t="shared" si="6"/>
        <v>13346</v>
      </c>
      <c r="I83" s="37">
        <f t="shared" si="6"/>
        <v>27508</v>
      </c>
      <c r="J83" s="37">
        <f t="shared" si="6"/>
        <v>35850</v>
      </c>
      <c r="K83" s="37">
        <f t="shared" si="6"/>
        <v>18640</v>
      </c>
      <c r="L83" s="37">
        <f t="shared" si="6"/>
        <v>8394</v>
      </c>
      <c r="M83" s="37">
        <f t="shared" si="6"/>
        <v>7982</v>
      </c>
      <c r="N83" s="37">
        <f t="shared" si="6"/>
        <v>105769</v>
      </c>
      <c r="O83" s="37">
        <f t="shared" si="6"/>
        <v>204144</v>
      </c>
    </row>
    <row r="84" spans="1:16" x14ac:dyDescent="0.3">
      <c r="C84" s="49" t="s">
        <v>546</v>
      </c>
      <c r="D84" s="37">
        <f>SUM(D58:D59)</f>
        <v>0</v>
      </c>
      <c r="E84" s="37">
        <f t="shared" ref="E84:O84" si="7">SUM(E58:E59)</f>
        <v>-3155</v>
      </c>
      <c r="F84" s="37">
        <f t="shared" si="7"/>
        <v>-2231</v>
      </c>
      <c r="G84" s="37">
        <f t="shared" si="7"/>
        <v>-1608</v>
      </c>
      <c r="H84" s="37">
        <f t="shared" si="7"/>
        <v>-770</v>
      </c>
      <c r="I84" s="37">
        <f t="shared" si="7"/>
        <v>-983</v>
      </c>
      <c r="J84" s="37">
        <f t="shared" si="7"/>
        <v>-1211</v>
      </c>
      <c r="K84" s="37">
        <f t="shared" si="7"/>
        <v>-1471</v>
      </c>
      <c r="L84" s="37">
        <f t="shared" si="7"/>
        <v>-1810</v>
      </c>
      <c r="M84" s="37">
        <f t="shared" si="7"/>
        <v>-2325</v>
      </c>
      <c r="N84" s="37">
        <f t="shared" si="7"/>
        <v>-7767</v>
      </c>
      <c r="O84" s="37">
        <f t="shared" si="7"/>
        <v>-15566</v>
      </c>
    </row>
    <row r="85" spans="1:16" x14ac:dyDescent="0.3">
      <c r="C85" s="49" t="s">
        <v>239</v>
      </c>
      <c r="D85" s="37">
        <f>SUM(D60:D64)</f>
        <v>0</v>
      </c>
      <c r="E85" s="37">
        <f t="shared" ref="E85:O85" si="8">SUM(E60:E64)</f>
        <v>452</v>
      </c>
      <c r="F85" s="37">
        <f t="shared" si="8"/>
        <v>-8670</v>
      </c>
      <c r="G85" s="37">
        <f t="shared" si="8"/>
        <v>-4527</v>
      </c>
      <c r="H85" s="37">
        <f t="shared" si="8"/>
        <v>-705</v>
      </c>
      <c r="I85" s="37">
        <f t="shared" si="8"/>
        <v>15813</v>
      </c>
      <c r="J85" s="37">
        <f t="shared" si="8"/>
        <v>20372</v>
      </c>
      <c r="K85" s="37">
        <f t="shared" si="8"/>
        <v>24847</v>
      </c>
      <c r="L85" s="37">
        <f t="shared" si="8"/>
        <v>28113</v>
      </c>
      <c r="M85" s="37">
        <f t="shared" si="8"/>
        <v>24777</v>
      </c>
      <c r="N85" s="37">
        <f t="shared" si="8"/>
        <v>-13451</v>
      </c>
      <c r="O85" s="37">
        <f t="shared" si="8"/>
        <v>100468</v>
      </c>
    </row>
    <row r="87" spans="1:16" x14ac:dyDescent="0.3">
      <c r="A87" s="62" t="s">
        <v>1477</v>
      </c>
    </row>
    <row r="88" spans="1:16" x14ac:dyDescent="0.3">
      <c r="A88" s="885" t="s">
        <v>1284</v>
      </c>
      <c r="B88" s="886" t="s">
        <v>1285</v>
      </c>
      <c r="C88" s="887">
        <v>2022</v>
      </c>
      <c r="D88" s="887">
        <v>2023</v>
      </c>
      <c r="E88" s="887">
        <v>2024</v>
      </c>
      <c r="F88" s="887">
        <v>2025</v>
      </c>
      <c r="G88" s="887">
        <v>2026</v>
      </c>
      <c r="H88" s="887">
        <v>2027</v>
      </c>
      <c r="I88" s="887">
        <v>2028</v>
      </c>
      <c r="J88" s="887">
        <v>2029</v>
      </c>
      <c r="K88" s="887">
        <v>2030</v>
      </c>
      <c r="L88" s="887">
        <v>2031</v>
      </c>
      <c r="M88" s="888" t="s">
        <v>1286</v>
      </c>
      <c r="N88" s="888" t="s">
        <v>1287</v>
      </c>
      <c r="O88" s="889" t="s">
        <v>1288</v>
      </c>
      <c r="P88" s="890" t="s">
        <v>1289</v>
      </c>
    </row>
    <row r="89" spans="1:16" x14ac:dyDescent="0.3">
      <c r="A89" s="891" t="s">
        <v>1290</v>
      </c>
      <c r="B89" s="892" t="s">
        <v>1291</v>
      </c>
      <c r="C89" s="893">
        <v>0</v>
      </c>
      <c r="D89" s="893">
        <v>3</v>
      </c>
      <c r="E89" s="893">
        <v>3</v>
      </c>
      <c r="F89" s="893">
        <v>3</v>
      </c>
      <c r="G89" s="893">
        <v>3</v>
      </c>
      <c r="H89" s="893">
        <v>1</v>
      </c>
      <c r="I89" s="893">
        <v>0</v>
      </c>
      <c r="J89" s="893">
        <v>0</v>
      </c>
      <c r="K89" s="893">
        <v>0</v>
      </c>
      <c r="L89" s="893">
        <v>0</v>
      </c>
      <c r="M89" s="893">
        <v>12</v>
      </c>
      <c r="N89" s="893">
        <v>13</v>
      </c>
      <c r="O89" s="894" t="s">
        <v>1292</v>
      </c>
      <c r="P89" s="895"/>
    </row>
    <row r="90" spans="1:16" ht="24" customHeight="1" x14ac:dyDescent="0.3">
      <c r="A90" s="891" t="s">
        <v>1293</v>
      </c>
      <c r="B90" s="892" t="s">
        <v>1294</v>
      </c>
      <c r="C90" s="893">
        <v>0</v>
      </c>
      <c r="D90" s="893">
        <v>65</v>
      </c>
      <c r="E90" s="893">
        <v>1360</v>
      </c>
      <c r="F90" s="893">
        <v>2430</v>
      </c>
      <c r="G90" s="893">
        <v>2800</v>
      </c>
      <c r="H90" s="893">
        <v>1740</v>
      </c>
      <c r="I90" s="893">
        <v>570</v>
      </c>
      <c r="J90" s="893">
        <v>35</v>
      </c>
      <c r="K90" s="893">
        <v>0</v>
      </c>
      <c r="L90" s="893">
        <v>0</v>
      </c>
      <c r="M90" s="893">
        <v>6655</v>
      </c>
      <c r="N90" s="893">
        <v>9000</v>
      </c>
      <c r="O90" s="894" t="s">
        <v>1292</v>
      </c>
      <c r="P90" s="896"/>
    </row>
    <row r="91" spans="1:16" x14ac:dyDescent="0.3">
      <c r="A91" s="897" t="s">
        <v>1295</v>
      </c>
      <c r="B91" s="898" t="s">
        <v>1296</v>
      </c>
      <c r="C91" s="899">
        <v>0</v>
      </c>
      <c r="D91" s="899">
        <v>0</v>
      </c>
      <c r="E91" s="899">
        <v>601</v>
      </c>
      <c r="F91" s="900">
        <v>1038</v>
      </c>
      <c r="G91" s="900">
        <v>1251</v>
      </c>
      <c r="H91" s="900">
        <v>1431</v>
      </c>
      <c r="I91" s="900">
        <v>1492</v>
      </c>
      <c r="J91" s="900">
        <v>1530</v>
      </c>
      <c r="K91" s="900">
        <v>1567</v>
      </c>
      <c r="L91" s="900">
        <v>1606</v>
      </c>
      <c r="M91" s="900">
        <v>2890</v>
      </c>
      <c r="N91" s="900">
        <v>10516</v>
      </c>
      <c r="O91" s="901" t="s">
        <v>1297</v>
      </c>
      <c r="P91" s="902"/>
    </row>
    <row r="92" spans="1:16" x14ac:dyDescent="0.3">
      <c r="A92" s="903" t="s">
        <v>1298</v>
      </c>
      <c r="B92" s="904" t="s">
        <v>1299</v>
      </c>
      <c r="C92" s="965">
        <v>0</v>
      </c>
      <c r="D92" s="965">
        <v>30</v>
      </c>
      <c r="E92" s="965">
        <v>120</v>
      </c>
      <c r="F92" s="965">
        <v>165</v>
      </c>
      <c r="G92" s="965">
        <v>370</v>
      </c>
      <c r="H92" s="965">
        <v>470</v>
      </c>
      <c r="I92" s="965">
        <v>420</v>
      </c>
      <c r="J92" s="965">
        <v>285</v>
      </c>
      <c r="K92" s="965">
        <v>220</v>
      </c>
      <c r="L92" s="966">
        <v>65</v>
      </c>
      <c r="M92" s="965">
        <v>685</v>
      </c>
      <c r="N92" s="905">
        <v>2145</v>
      </c>
      <c r="O92" s="906" t="s">
        <v>1300</v>
      </c>
      <c r="P92" s="907" t="s">
        <v>1301</v>
      </c>
    </row>
    <row r="93" spans="1:16" x14ac:dyDescent="0.3">
      <c r="A93" s="891" t="s">
        <v>1302</v>
      </c>
      <c r="B93" s="892" t="s">
        <v>1303</v>
      </c>
      <c r="C93" s="893">
        <v>0</v>
      </c>
      <c r="D93" s="893">
        <v>2</v>
      </c>
      <c r="E93" s="893">
        <v>10</v>
      </c>
      <c r="F93" s="893">
        <v>25</v>
      </c>
      <c r="G93" s="893">
        <v>28</v>
      </c>
      <c r="H93" s="893">
        <v>17</v>
      </c>
      <c r="I93" s="893">
        <v>11</v>
      </c>
      <c r="J93" s="893">
        <v>4</v>
      </c>
      <c r="K93" s="893">
        <v>2</v>
      </c>
      <c r="L93" s="893">
        <v>1</v>
      </c>
      <c r="M93" s="893">
        <v>65</v>
      </c>
      <c r="N93" s="893">
        <v>100</v>
      </c>
      <c r="O93" s="894" t="s">
        <v>1300</v>
      </c>
      <c r="P93" s="895" t="s">
        <v>1304</v>
      </c>
    </row>
    <row r="94" spans="1:16" ht="24" customHeight="1" x14ac:dyDescent="0.3">
      <c r="A94" s="908" t="s">
        <v>1305</v>
      </c>
      <c r="B94" s="909" t="s">
        <v>1306</v>
      </c>
      <c r="C94" s="893">
        <v>0</v>
      </c>
      <c r="D94" s="893">
        <v>36</v>
      </c>
      <c r="E94" s="893">
        <v>30</v>
      </c>
      <c r="F94" s="893">
        <v>14</v>
      </c>
      <c r="G94" s="893">
        <v>7</v>
      </c>
      <c r="H94" s="893">
        <v>0</v>
      </c>
      <c r="I94" s="893">
        <v>0</v>
      </c>
      <c r="J94" s="893">
        <v>0</v>
      </c>
      <c r="K94" s="893">
        <v>0</v>
      </c>
      <c r="L94" s="893">
        <v>0</v>
      </c>
      <c r="M94" s="893">
        <v>87</v>
      </c>
      <c r="N94" s="893">
        <v>87</v>
      </c>
      <c r="O94" s="894" t="s">
        <v>1300</v>
      </c>
      <c r="P94" s="895" t="s">
        <v>1307</v>
      </c>
    </row>
    <row r="95" spans="1:16" x14ac:dyDescent="0.3">
      <c r="A95" s="891" t="s">
        <v>1308</v>
      </c>
      <c r="B95" s="892" t="s">
        <v>1309</v>
      </c>
      <c r="C95" s="893">
        <v>0</v>
      </c>
      <c r="D95" s="910">
        <v>5240</v>
      </c>
      <c r="E95" s="910">
        <v>4175</v>
      </c>
      <c r="F95" s="910">
        <v>5215</v>
      </c>
      <c r="G95" s="910">
        <v>6493</v>
      </c>
      <c r="H95" s="910">
        <v>7982</v>
      </c>
      <c r="I95" s="910">
        <v>9820</v>
      </c>
      <c r="J95" s="910">
        <v>11813</v>
      </c>
      <c r="K95" s="910">
        <v>14269</v>
      </c>
      <c r="L95" s="910">
        <v>14605</v>
      </c>
      <c r="M95" s="910">
        <v>21123</v>
      </c>
      <c r="N95" s="910">
        <v>79612</v>
      </c>
      <c r="O95" s="911" t="s">
        <v>1300</v>
      </c>
      <c r="P95" s="895"/>
    </row>
    <row r="96" spans="1:16" x14ac:dyDescent="0.3">
      <c r="A96" s="891" t="s">
        <v>1310</v>
      </c>
      <c r="B96" s="892" t="s">
        <v>1311</v>
      </c>
      <c r="C96" s="912">
        <v>0</v>
      </c>
      <c r="D96" s="912">
        <v>55</v>
      </c>
      <c r="E96" s="912">
        <v>55</v>
      </c>
      <c r="F96" s="912">
        <v>55</v>
      </c>
      <c r="G96" s="912">
        <v>55</v>
      </c>
      <c r="H96" s="912">
        <v>55</v>
      </c>
      <c r="I96" s="912">
        <v>55</v>
      </c>
      <c r="J96" s="912">
        <v>55</v>
      </c>
      <c r="K96" s="912">
        <v>55</v>
      </c>
      <c r="L96" s="912">
        <v>55</v>
      </c>
      <c r="M96" s="912">
        <v>220</v>
      </c>
      <c r="N96" s="912">
        <v>495</v>
      </c>
      <c r="O96" s="913" t="s">
        <v>1300</v>
      </c>
      <c r="P96" s="896"/>
    </row>
    <row r="97" spans="1:16" x14ac:dyDescent="0.3">
      <c r="A97" s="891" t="s">
        <v>1312</v>
      </c>
      <c r="B97" s="892" t="s">
        <v>1313</v>
      </c>
      <c r="C97" s="893">
        <v>0</v>
      </c>
      <c r="D97" s="893">
        <v>19</v>
      </c>
      <c r="E97" s="893">
        <v>26</v>
      </c>
      <c r="F97" s="893">
        <v>27</v>
      </c>
      <c r="G97" s="893">
        <v>17</v>
      </c>
      <c r="H97" s="893">
        <v>7</v>
      </c>
      <c r="I97" s="893">
        <v>3</v>
      </c>
      <c r="J97" s="893">
        <v>1</v>
      </c>
      <c r="K97" s="893">
        <v>0</v>
      </c>
      <c r="L97" s="893">
        <v>0</v>
      </c>
      <c r="M97" s="893">
        <v>89</v>
      </c>
      <c r="N97" s="893">
        <v>100</v>
      </c>
      <c r="O97" s="911" t="s">
        <v>1300</v>
      </c>
      <c r="P97" s="896"/>
    </row>
    <row r="98" spans="1:16" x14ac:dyDescent="0.3">
      <c r="A98" s="891" t="s">
        <v>1314</v>
      </c>
      <c r="B98" s="892" t="s">
        <v>1315</v>
      </c>
      <c r="C98" s="893">
        <v>0</v>
      </c>
      <c r="D98" s="893">
        <v>15</v>
      </c>
      <c r="E98" s="893">
        <v>15</v>
      </c>
      <c r="F98" s="893">
        <v>15</v>
      </c>
      <c r="G98" s="893">
        <v>10</v>
      </c>
      <c r="H98" s="893">
        <v>10</v>
      </c>
      <c r="I98" s="893">
        <v>10</v>
      </c>
      <c r="J98" s="893">
        <v>10</v>
      </c>
      <c r="K98" s="893">
        <v>10</v>
      </c>
      <c r="L98" s="893">
        <v>5</v>
      </c>
      <c r="M98" s="893">
        <v>55</v>
      </c>
      <c r="N98" s="893">
        <v>100</v>
      </c>
      <c r="O98" s="894" t="s">
        <v>1300</v>
      </c>
      <c r="P98" s="896"/>
    </row>
    <row r="99" spans="1:16" ht="36" customHeight="1" x14ac:dyDescent="0.3">
      <c r="A99" s="891" t="s">
        <v>1316</v>
      </c>
      <c r="B99" s="892" t="s">
        <v>1317</v>
      </c>
      <c r="C99" s="914">
        <v>0</v>
      </c>
      <c r="D99" s="914">
        <v>22</v>
      </c>
      <c r="E99" s="914">
        <v>96</v>
      </c>
      <c r="F99" s="914">
        <v>170</v>
      </c>
      <c r="G99" s="914">
        <v>213</v>
      </c>
      <c r="H99" s="914">
        <v>160</v>
      </c>
      <c r="I99" s="914">
        <v>47</v>
      </c>
      <c r="J99" s="914">
        <v>2</v>
      </c>
      <c r="K99" s="914">
        <v>0</v>
      </c>
      <c r="L99" s="914">
        <v>0</v>
      </c>
      <c r="M99" s="914">
        <v>501</v>
      </c>
      <c r="N99" s="914">
        <v>710</v>
      </c>
      <c r="O99" s="893" t="s">
        <v>1300</v>
      </c>
      <c r="P99" s="896"/>
    </row>
    <row r="100" spans="1:16" ht="36" customHeight="1" x14ac:dyDescent="0.3">
      <c r="A100" s="891" t="s">
        <v>1318</v>
      </c>
      <c r="B100" s="892" t="s">
        <v>1319</v>
      </c>
      <c r="C100" s="915"/>
      <c r="D100" s="915">
        <v>90</v>
      </c>
      <c r="E100" s="915">
        <v>260</v>
      </c>
      <c r="F100" s="915">
        <v>427</v>
      </c>
      <c r="G100" s="915">
        <v>560</v>
      </c>
      <c r="H100" s="915">
        <v>572</v>
      </c>
      <c r="I100" s="915">
        <v>534</v>
      </c>
      <c r="J100" s="915">
        <v>275</v>
      </c>
      <c r="K100" s="915">
        <v>162</v>
      </c>
      <c r="L100" s="915">
        <v>70</v>
      </c>
      <c r="M100" s="915">
        <v>1347</v>
      </c>
      <c r="N100" s="915">
        <v>2960</v>
      </c>
      <c r="O100" s="916" t="s">
        <v>1300</v>
      </c>
      <c r="P100" s="896"/>
    </row>
    <row r="101" spans="1:16" x14ac:dyDescent="0.3">
      <c r="A101" s="891" t="s">
        <v>1320</v>
      </c>
      <c r="B101" s="892" t="s">
        <v>1321</v>
      </c>
      <c r="C101" s="893">
        <v>0</v>
      </c>
      <c r="D101" s="893">
        <v>40</v>
      </c>
      <c r="E101" s="893">
        <v>60</v>
      </c>
      <c r="F101" s="893">
        <v>52</v>
      </c>
      <c r="G101" s="893">
        <v>40</v>
      </c>
      <c r="H101" s="893">
        <v>27</v>
      </c>
      <c r="I101" s="893">
        <v>19</v>
      </c>
      <c r="J101" s="893">
        <v>10</v>
      </c>
      <c r="K101" s="893">
        <v>2</v>
      </c>
      <c r="L101" s="893">
        <v>0</v>
      </c>
      <c r="M101" s="893">
        <v>192</v>
      </c>
      <c r="N101" s="893">
        <v>250</v>
      </c>
      <c r="O101" s="894" t="s">
        <v>1300</v>
      </c>
      <c r="P101" s="896"/>
    </row>
    <row r="102" spans="1:16" x14ac:dyDescent="0.3">
      <c r="A102" s="908" t="s">
        <v>1322</v>
      </c>
      <c r="B102" s="909" t="s">
        <v>1323</v>
      </c>
      <c r="C102" s="893">
        <v>0</v>
      </c>
      <c r="D102" s="893">
        <v>49</v>
      </c>
      <c r="E102" s="893">
        <v>62</v>
      </c>
      <c r="F102" s="893">
        <v>62</v>
      </c>
      <c r="G102" s="893">
        <v>62</v>
      </c>
      <c r="H102" s="893">
        <v>63</v>
      </c>
      <c r="I102" s="893">
        <v>63</v>
      </c>
      <c r="J102" s="893">
        <v>63</v>
      </c>
      <c r="K102" s="893">
        <v>64</v>
      </c>
      <c r="L102" s="893">
        <v>12</v>
      </c>
      <c r="M102" s="893">
        <v>235</v>
      </c>
      <c r="N102" s="893">
        <v>500</v>
      </c>
      <c r="O102" s="894" t="s">
        <v>1300</v>
      </c>
      <c r="P102" s="896"/>
    </row>
    <row r="103" spans="1:16" x14ac:dyDescent="0.3">
      <c r="A103" s="891" t="s">
        <v>1324</v>
      </c>
      <c r="B103" s="892" t="s">
        <v>1325</v>
      </c>
      <c r="C103" s="893">
        <v>0</v>
      </c>
      <c r="D103" s="893">
        <v>0</v>
      </c>
      <c r="E103" s="893">
        <v>0</v>
      </c>
      <c r="F103" s="893">
        <v>0</v>
      </c>
      <c r="G103" s="893">
        <v>-20</v>
      </c>
      <c r="H103" s="893">
        <v>-28</v>
      </c>
      <c r="I103" s="893">
        <v>-28</v>
      </c>
      <c r="J103" s="893">
        <v>-28</v>
      </c>
      <c r="K103" s="893">
        <v>-28</v>
      </c>
      <c r="L103" s="893">
        <v>-28</v>
      </c>
      <c r="M103" s="893">
        <v>-20</v>
      </c>
      <c r="N103" s="893">
        <v>-160</v>
      </c>
      <c r="O103" s="894" t="s">
        <v>1300</v>
      </c>
      <c r="P103" s="896"/>
    </row>
    <row r="104" spans="1:16" ht="24" customHeight="1" x14ac:dyDescent="0.3">
      <c r="A104" s="891" t="s">
        <v>1326</v>
      </c>
      <c r="B104" s="892" t="s">
        <v>1327</v>
      </c>
      <c r="C104" s="893">
        <v>0</v>
      </c>
      <c r="D104" s="893">
        <v>-235</v>
      </c>
      <c r="E104" s="893">
        <v>-44</v>
      </c>
      <c r="F104" s="893">
        <v>-22</v>
      </c>
      <c r="G104" s="893">
        <v>-26</v>
      </c>
      <c r="H104" s="893">
        <v>-23</v>
      </c>
      <c r="I104" s="893">
        <v>-19</v>
      </c>
      <c r="J104" s="893">
        <v>-41</v>
      </c>
      <c r="K104" s="893">
        <v>-35</v>
      </c>
      <c r="L104" s="893">
        <v>-39</v>
      </c>
      <c r="M104" s="893">
        <v>-327</v>
      </c>
      <c r="N104" s="893">
        <v>-484</v>
      </c>
      <c r="O104" s="894" t="s">
        <v>1300</v>
      </c>
      <c r="P104" s="896"/>
    </row>
    <row r="105" spans="1:16" x14ac:dyDescent="0.3">
      <c r="A105" s="891" t="s">
        <v>1328</v>
      </c>
      <c r="B105" s="892" t="s">
        <v>1329</v>
      </c>
      <c r="C105" s="893">
        <v>0</v>
      </c>
      <c r="D105" s="893">
        <v>7</v>
      </c>
      <c r="E105" s="893">
        <v>8</v>
      </c>
      <c r="F105" s="893">
        <v>6</v>
      </c>
      <c r="G105" s="893">
        <v>2</v>
      </c>
      <c r="H105" s="893">
        <v>1</v>
      </c>
      <c r="I105" s="893">
        <v>0</v>
      </c>
      <c r="J105" s="893">
        <v>0</v>
      </c>
      <c r="K105" s="893">
        <v>0</v>
      </c>
      <c r="L105" s="893">
        <v>0</v>
      </c>
      <c r="M105" s="893">
        <v>23</v>
      </c>
      <c r="N105" s="893">
        <v>24</v>
      </c>
      <c r="O105" s="894" t="s">
        <v>1300</v>
      </c>
      <c r="P105" s="896"/>
    </row>
    <row r="106" spans="1:16" ht="36" customHeight="1" x14ac:dyDescent="0.3">
      <c r="A106" s="891" t="s">
        <v>1330</v>
      </c>
      <c r="B106" s="892" t="s">
        <v>1331</v>
      </c>
      <c r="C106" s="893">
        <v>0</v>
      </c>
      <c r="D106" s="893">
        <v>50</v>
      </c>
      <c r="E106" s="893">
        <v>77</v>
      </c>
      <c r="F106" s="893">
        <v>87</v>
      </c>
      <c r="G106" s="893">
        <v>81</v>
      </c>
      <c r="H106" s="893">
        <v>50</v>
      </c>
      <c r="I106" s="893">
        <v>30</v>
      </c>
      <c r="J106" s="893">
        <v>10</v>
      </c>
      <c r="K106" s="893">
        <v>0</v>
      </c>
      <c r="L106" s="893">
        <v>0</v>
      </c>
      <c r="M106" s="893">
        <v>295</v>
      </c>
      <c r="N106" s="893">
        <v>385</v>
      </c>
      <c r="O106" s="894" t="s">
        <v>1300</v>
      </c>
      <c r="P106" s="896"/>
    </row>
    <row r="107" spans="1:16" x14ac:dyDescent="0.3">
      <c r="A107" s="908" t="s">
        <v>1332</v>
      </c>
      <c r="B107" s="909" t="s">
        <v>1333</v>
      </c>
      <c r="C107" s="893">
        <v>0</v>
      </c>
      <c r="D107" s="893">
        <v>3</v>
      </c>
      <c r="E107" s="893">
        <v>2</v>
      </c>
      <c r="F107" s="893">
        <v>0</v>
      </c>
      <c r="G107" s="893">
        <v>0</v>
      </c>
      <c r="H107" s="893">
        <v>0</v>
      </c>
      <c r="I107" s="893">
        <v>0</v>
      </c>
      <c r="J107" s="893">
        <v>0</v>
      </c>
      <c r="K107" s="893">
        <v>0</v>
      </c>
      <c r="L107" s="893">
        <v>0</v>
      </c>
      <c r="M107" s="893">
        <v>5</v>
      </c>
      <c r="N107" s="893">
        <v>5</v>
      </c>
      <c r="O107" s="894" t="s">
        <v>1334</v>
      </c>
      <c r="P107" s="896"/>
    </row>
    <row r="108" spans="1:16" x14ac:dyDescent="0.3">
      <c r="A108" s="908" t="s">
        <v>1335</v>
      </c>
      <c r="B108" s="909" t="s">
        <v>1336</v>
      </c>
      <c r="C108" s="893">
        <v>0</v>
      </c>
      <c r="D108" s="893">
        <v>70</v>
      </c>
      <c r="E108" s="893">
        <v>80</v>
      </c>
      <c r="F108" s="893">
        <v>62</v>
      </c>
      <c r="G108" s="893">
        <v>25</v>
      </c>
      <c r="H108" s="893">
        <v>13</v>
      </c>
      <c r="I108" s="893">
        <v>0</v>
      </c>
      <c r="J108" s="893">
        <v>0</v>
      </c>
      <c r="K108" s="893">
        <v>0</v>
      </c>
      <c r="L108" s="893">
        <v>0</v>
      </c>
      <c r="M108" s="893">
        <v>237</v>
      </c>
      <c r="N108" s="893">
        <v>250</v>
      </c>
      <c r="O108" s="894" t="s">
        <v>1334</v>
      </c>
      <c r="P108" s="896"/>
    </row>
    <row r="109" spans="1:16" ht="24" customHeight="1" x14ac:dyDescent="0.3">
      <c r="A109" s="908" t="s">
        <v>1337</v>
      </c>
      <c r="B109" s="909" t="s">
        <v>1338</v>
      </c>
      <c r="C109" s="912">
        <v>0</v>
      </c>
      <c r="D109" s="912">
        <v>33</v>
      </c>
      <c r="E109" s="912">
        <v>54</v>
      </c>
      <c r="F109" s="912">
        <v>37</v>
      </c>
      <c r="G109" s="912">
        <v>16</v>
      </c>
      <c r="H109" s="912">
        <v>0</v>
      </c>
      <c r="I109" s="912">
        <v>0</v>
      </c>
      <c r="J109" s="912">
        <v>0</v>
      </c>
      <c r="K109" s="912">
        <v>0</v>
      </c>
      <c r="L109" s="912">
        <v>0</v>
      </c>
      <c r="M109" s="912">
        <v>140</v>
      </c>
      <c r="N109" s="912">
        <v>140</v>
      </c>
      <c r="O109" s="894" t="s">
        <v>1300</v>
      </c>
      <c r="P109" s="896"/>
    </row>
    <row r="110" spans="1:16" x14ac:dyDescent="0.3">
      <c r="A110" s="891" t="s">
        <v>1339</v>
      </c>
      <c r="B110" s="892" t="s">
        <v>1340</v>
      </c>
      <c r="C110" s="893">
        <v>0</v>
      </c>
      <c r="D110" s="893">
        <v>40</v>
      </c>
      <c r="E110" s="893">
        <v>40</v>
      </c>
      <c r="F110" s="893">
        <v>30</v>
      </c>
      <c r="G110" s="893">
        <v>10</v>
      </c>
      <c r="H110" s="893">
        <v>5</v>
      </c>
      <c r="I110" s="893">
        <v>0</v>
      </c>
      <c r="J110" s="893">
        <v>0</v>
      </c>
      <c r="K110" s="893">
        <v>0</v>
      </c>
      <c r="L110" s="893">
        <v>0</v>
      </c>
      <c r="M110" s="893">
        <v>120</v>
      </c>
      <c r="N110" s="893">
        <v>125</v>
      </c>
      <c r="O110" s="894" t="s">
        <v>1300</v>
      </c>
      <c r="P110" s="896"/>
    </row>
    <row r="111" spans="1:16" x14ac:dyDescent="0.3">
      <c r="A111" s="908" t="s">
        <v>1341</v>
      </c>
      <c r="B111" s="892" t="s">
        <v>1342</v>
      </c>
      <c r="C111" s="893">
        <v>0</v>
      </c>
      <c r="D111" s="893">
        <v>5</v>
      </c>
      <c r="E111" s="893">
        <v>8</v>
      </c>
      <c r="F111" s="893">
        <v>8</v>
      </c>
      <c r="G111" s="893">
        <v>8</v>
      </c>
      <c r="H111" s="893">
        <v>4</v>
      </c>
      <c r="I111" s="893">
        <v>0</v>
      </c>
      <c r="J111" s="893">
        <v>0</v>
      </c>
      <c r="K111" s="893">
        <v>0</v>
      </c>
      <c r="L111" s="893">
        <v>0</v>
      </c>
      <c r="M111" s="893">
        <v>29</v>
      </c>
      <c r="N111" s="893">
        <v>33</v>
      </c>
      <c r="O111" s="894" t="s">
        <v>1300</v>
      </c>
      <c r="P111" s="896"/>
    </row>
    <row r="112" spans="1:16" x14ac:dyDescent="0.3">
      <c r="A112" s="891" t="s">
        <v>1343</v>
      </c>
      <c r="B112" s="909" t="s">
        <v>1344</v>
      </c>
      <c r="C112" s="893">
        <v>0</v>
      </c>
      <c r="D112" s="893">
        <v>3</v>
      </c>
      <c r="E112" s="893">
        <v>8</v>
      </c>
      <c r="F112" s="893">
        <v>8</v>
      </c>
      <c r="G112" s="893">
        <v>8</v>
      </c>
      <c r="H112" s="893">
        <v>3</v>
      </c>
      <c r="I112" s="893">
        <v>0</v>
      </c>
      <c r="J112" s="893">
        <v>0</v>
      </c>
      <c r="K112" s="893">
        <v>0</v>
      </c>
      <c r="L112" s="893">
        <v>0</v>
      </c>
      <c r="M112" s="893">
        <v>27</v>
      </c>
      <c r="N112" s="893">
        <v>30</v>
      </c>
      <c r="O112" s="894" t="s">
        <v>1300</v>
      </c>
      <c r="P112" s="896"/>
    </row>
    <row r="113" spans="1:16" ht="24" customHeight="1" x14ac:dyDescent="0.3">
      <c r="A113" s="891" t="s">
        <v>1345</v>
      </c>
      <c r="B113" s="892" t="s">
        <v>1346</v>
      </c>
      <c r="C113" s="912">
        <v>0</v>
      </c>
      <c r="D113" s="912">
        <v>165</v>
      </c>
      <c r="E113" s="912">
        <v>165</v>
      </c>
      <c r="F113" s="912">
        <v>230</v>
      </c>
      <c r="G113" s="912">
        <v>340</v>
      </c>
      <c r="H113" s="912">
        <v>490</v>
      </c>
      <c r="I113" s="912">
        <v>540</v>
      </c>
      <c r="J113" s="912">
        <v>640</v>
      </c>
      <c r="K113" s="912">
        <v>475</v>
      </c>
      <c r="L113" s="912">
        <v>330</v>
      </c>
      <c r="M113" s="912">
        <v>900</v>
      </c>
      <c r="N113" s="912">
        <v>3375</v>
      </c>
      <c r="O113" s="911" t="s">
        <v>1300</v>
      </c>
      <c r="P113" s="896"/>
    </row>
    <row r="114" spans="1:16" ht="24" customHeight="1" x14ac:dyDescent="0.3">
      <c r="A114" s="917" t="s">
        <v>1316</v>
      </c>
      <c r="B114" s="918" t="s">
        <v>1347</v>
      </c>
      <c r="C114" s="893">
        <v>0</v>
      </c>
      <c r="D114" s="893">
        <v>195</v>
      </c>
      <c r="E114" s="893">
        <v>448</v>
      </c>
      <c r="F114" s="893">
        <v>641</v>
      </c>
      <c r="G114" s="893">
        <v>716</v>
      </c>
      <c r="H114" s="893">
        <v>681</v>
      </c>
      <c r="I114" s="893">
        <v>528</v>
      </c>
      <c r="J114" s="893">
        <v>421</v>
      </c>
      <c r="K114" s="893">
        <v>323</v>
      </c>
      <c r="L114" s="893">
        <v>23</v>
      </c>
      <c r="M114" s="910">
        <v>2000</v>
      </c>
      <c r="N114" s="910">
        <v>3976</v>
      </c>
      <c r="O114" s="911" t="s">
        <v>1300</v>
      </c>
      <c r="P114" s="919"/>
    </row>
    <row r="115" spans="1:16" ht="30" customHeight="1" x14ac:dyDescent="0.3">
      <c r="A115" s="903" t="s">
        <v>1348</v>
      </c>
      <c r="B115" s="904" t="s">
        <v>1349</v>
      </c>
      <c r="C115" s="920">
        <v>0</v>
      </c>
      <c r="D115" s="920">
        <v>20</v>
      </c>
      <c r="E115" s="920">
        <v>57</v>
      </c>
      <c r="F115" s="920">
        <v>96</v>
      </c>
      <c r="G115" s="920">
        <v>150</v>
      </c>
      <c r="H115" s="920">
        <v>200</v>
      </c>
      <c r="I115" s="920">
        <v>185</v>
      </c>
      <c r="J115" s="920">
        <v>147</v>
      </c>
      <c r="K115" s="920">
        <v>106</v>
      </c>
      <c r="L115" s="920">
        <v>39</v>
      </c>
      <c r="M115" s="920">
        <v>323</v>
      </c>
      <c r="N115" s="921">
        <v>1000</v>
      </c>
      <c r="O115" s="922" t="s">
        <v>1350</v>
      </c>
      <c r="P115" s="923" t="s">
        <v>1351</v>
      </c>
    </row>
    <row r="116" spans="1:16" x14ac:dyDescent="0.3">
      <c r="A116" s="908" t="s">
        <v>1352</v>
      </c>
      <c r="B116" s="892" t="s">
        <v>1353</v>
      </c>
      <c r="C116" s="893">
        <v>0</v>
      </c>
      <c r="D116" s="893">
        <v>15</v>
      </c>
      <c r="E116" s="893">
        <v>53</v>
      </c>
      <c r="F116" s="893">
        <v>57</v>
      </c>
      <c r="G116" s="893">
        <v>48</v>
      </c>
      <c r="H116" s="893">
        <v>43</v>
      </c>
      <c r="I116" s="893">
        <v>17</v>
      </c>
      <c r="J116" s="893">
        <v>2</v>
      </c>
      <c r="K116" s="893">
        <v>0</v>
      </c>
      <c r="L116" s="893">
        <v>0</v>
      </c>
      <c r="M116" s="893">
        <v>173</v>
      </c>
      <c r="N116" s="893">
        <v>235</v>
      </c>
      <c r="O116" s="894" t="s">
        <v>1354</v>
      </c>
      <c r="P116" s="895" t="s">
        <v>1355</v>
      </c>
    </row>
    <row r="117" spans="1:16" x14ac:dyDescent="0.3">
      <c r="A117" s="891" t="s">
        <v>1356</v>
      </c>
      <c r="B117" s="892" t="s">
        <v>1357</v>
      </c>
      <c r="C117" s="893">
        <v>0</v>
      </c>
      <c r="D117" s="893">
        <v>15</v>
      </c>
      <c r="E117" s="893">
        <v>53</v>
      </c>
      <c r="F117" s="893">
        <v>57</v>
      </c>
      <c r="G117" s="893">
        <v>48</v>
      </c>
      <c r="H117" s="893">
        <v>43</v>
      </c>
      <c r="I117" s="893">
        <v>17</v>
      </c>
      <c r="J117" s="893">
        <v>2</v>
      </c>
      <c r="K117" s="893">
        <v>0</v>
      </c>
      <c r="L117" s="893">
        <v>0</v>
      </c>
      <c r="M117" s="893">
        <v>173</v>
      </c>
      <c r="N117" s="893">
        <v>235</v>
      </c>
      <c r="O117" s="894" t="s">
        <v>1354</v>
      </c>
      <c r="P117" s="895" t="s">
        <v>1355</v>
      </c>
    </row>
    <row r="118" spans="1:16" x14ac:dyDescent="0.3">
      <c r="A118" s="908" t="s">
        <v>1358</v>
      </c>
      <c r="B118" s="909" t="s">
        <v>1359</v>
      </c>
      <c r="C118" s="893">
        <v>0</v>
      </c>
      <c r="D118" s="893">
        <v>42</v>
      </c>
      <c r="E118" s="893">
        <v>18</v>
      </c>
      <c r="F118" s="893">
        <v>0</v>
      </c>
      <c r="G118" s="893">
        <v>0</v>
      </c>
      <c r="H118" s="893">
        <v>0</v>
      </c>
      <c r="I118" s="893">
        <v>0</v>
      </c>
      <c r="J118" s="893">
        <v>0</v>
      </c>
      <c r="K118" s="893">
        <v>0</v>
      </c>
      <c r="L118" s="893">
        <v>0</v>
      </c>
      <c r="M118" s="893">
        <v>60</v>
      </c>
      <c r="N118" s="893">
        <v>60</v>
      </c>
      <c r="O118" s="894" t="s">
        <v>1350</v>
      </c>
      <c r="P118" s="896" t="s">
        <v>1360</v>
      </c>
    </row>
    <row r="119" spans="1:16" x14ac:dyDescent="0.3">
      <c r="A119" s="891" t="s">
        <v>1361</v>
      </c>
      <c r="B119" s="892" t="s">
        <v>1362</v>
      </c>
      <c r="C119" s="893">
        <v>0</v>
      </c>
      <c r="D119" s="893">
        <v>2</v>
      </c>
      <c r="E119" s="893">
        <v>13</v>
      </c>
      <c r="F119" s="893">
        <v>26</v>
      </c>
      <c r="G119" s="893">
        <v>30</v>
      </c>
      <c r="H119" s="893">
        <v>24</v>
      </c>
      <c r="I119" s="893">
        <v>0</v>
      </c>
      <c r="J119" s="893">
        <v>0</v>
      </c>
      <c r="K119" s="893">
        <v>0</v>
      </c>
      <c r="L119" s="893">
        <v>0</v>
      </c>
      <c r="M119" s="893">
        <v>71</v>
      </c>
      <c r="N119" s="893">
        <v>95</v>
      </c>
      <c r="O119" s="894" t="s">
        <v>1350</v>
      </c>
      <c r="P119" s="895" t="s">
        <v>1363</v>
      </c>
    </row>
    <row r="120" spans="1:16" ht="36" customHeight="1" x14ac:dyDescent="0.3">
      <c r="A120" s="891" t="s">
        <v>1364</v>
      </c>
      <c r="B120" s="892" t="s">
        <v>1365</v>
      </c>
      <c r="C120" s="893">
        <v>0</v>
      </c>
      <c r="D120" s="893">
        <v>3</v>
      </c>
      <c r="E120" s="893">
        <v>19</v>
      </c>
      <c r="F120" s="893">
        <v>67</v>
      </c>
      <c r="G120" s="893">
        <v>86</v>
      </c>
      <c r="H120" s="893">
        <v>59</v>
      </c>
      <c r="I120" s="893">
        <v>35</v>
      </c>
      <c r="J120" s="893">
        <v>19</v>
      </c>
      <c r="K120" s="893">
        <v>6</v>
      </c>
      <c r="L120" s="893">
        <v>0</v>
      </c>
      <c r="M120" s="893">
        <v>175</v>
      </c>
      <c r="N120" s="893">
        <v>294</v>
      </c>
      <c r="O120" s="894" t="s">
        <v>1350</v>
      </c>
      <c r="P120" s="919" t="s">
        <v>1366</v>
      </c>
    </row>
    <row r="121" spans="1:16" x14ac:dyDescent="0.3">
      <c r="A121" s="891" t="s">
        <v>1367</v>
      </c>
      <c r="B121" s="892" t="s">
        <v>1368</v>
      </c>
      <c r="C121" s="893">
        <v>0</v>
      </c>
      <c r="D121" s="893">
        <v>65</v>
      </c>
      <c r="E121" s="893">
        <v>150</v>
      </c>
      <c r="F121" s="893">
        <v>290</v>
      </c>
      <c r="G121" s="893">
        <v>290</v>
      </c>
      <c r="H121" s="893">
        <v>290</v>
      </c>
      <c r="I121" s="893">
        <v>285</v>
      </c>
      <c r="J121" s="893">
        <v>250</v>
      </c>
      <c r="K121" s="893">
        <v>220</v>
      </c>
      <c r="L121" s="893">
        <v>160</v>
      </c>
      <c r="M121" s="893">
        <v>795</v>
      </c>
      <c r="N121" s="910">
        <v>2000</v>
      </c>
      <c r="O121" s="894" t="s">
        <v>1350</v>
      </c>
      <c r="P121" s="896"/>
    </row>
    <row r="122" spans="1:16" x14ac:dyDescent="0.3">
      <c r="A122" s="891" t="s">
        <v>1369</v>
      </c>
      <c r="B122" s="892" t="s">
        <v>1370</v>
      </c>
      <c r="C122" s="893">
        <v>0</v>
      </c>
      <c r="D122" s="893">
        <v>5</v>
      </c>
      <c r="E122" s="893">
        <v>20</v>
      </c>
      <c r="F122" s="893">
        <v>65</v>
      </c>
      <c r="G122" s="893">
        <v>105</v>
      </c>
      <c r="H122" s="893">
        <v>140</v>
      </c>
      <c r="I122" s="893">
        <v>175</v>
      </c>
      <c r="J122" s="893">
        <v>210</v>
      </c>
      <c r="K122" s="893">
        <v>150</v>
      </c>
      <c r="L122" s="893">
        <v>35</v>
      </c>
      <c r="M122" s="893">
        <v>195</v>
      </c>
      <c r="N122" s="893">
        <v>905</v>
      </c>
      <c r="O122" s="924" t="s">
        <v>1350</v>
      </c>
      <c r="P122" s="925"/>
    </row>
    <row r="123" spans="1:16" x14ac:dyDescent="0.3">
      <c r="A123" s="891" t="s">
        <v>1371</v>
      </c>
      <c r="B123" s="892" t="s">
        <v>1372</v>
      </c>
      <c r="C123" s="893">
        <v>0</v>
      </c>
      <c r="D123" s="893">
        <v>10</v>
      </c>
      <c r="E123" s="893">
        <v>150</v>
      </c>
      <c r="F123" s="893">
        <v>300</v>
      </c>
      <c r="G123" s="893">
        <v>590</v>
      </c>
      <c r="H123" s="893">
        <v>460</v>
      </c>
      <c r="I123" s="893">
        <v>295</v>
      </c>
      <c r="J123" s="893">
        <v>195</v>
      </c>
      <c r="K123" s="893">
        <v>0</v>
      </c>
      <c r="L123" s="893">
        <v>0</v>
      </c>
      <c r="M123" s="910">
        <v>1050</v>
      </c>
      <c r="N123" s="910">
        <v>2000</v>
      </c>
      <c r="O123" s="894" t="s">
        <v>1350</v>
      </c>
      <c r="P123" s="896"/>
    </row>
    <row r="124" spans="1:16" x14ac:dyDescent="0.3">
      <c r="A124" s="891" t="s">
        <v>1373</v>
      </c>
      <c r="B124" s="892" t="s">
        <v>1374</v>
      </c>
      <c r="C124" s="893"/>
      <c r="D124" s="893"/>
      <c r="E124" s="893"/>
      <c r="F124" s="893"/>
      <c r="G124" s="893"/>
      <c r="H124" s="893"/>
      <c r="I124" s="893"/>
      <c r="J124" s="893"/>
      <c r="K124" s="893"/>
      <c r="L124" s="893"/>
      <c r="M124" s="893"/>
      <c r="N124" s="893"/>
      <c r="O124" s="894"/>
      <c r="P124" s="896"/>
    </row>
    <row r="125" spans="1:16" ht="24" customHeight="1" x14ac:dyDescent="0.3">
      <c r="A125" s="908" t="s">
        <v>1375</v>
      </c>
      <c r="B125" s="909" t="s">
        <v>1376</v>
      </c>
      <c r="C125" s="912">
        <v>0</v>
      </c>
      <c r="D125" s="912">
        <v>72</v>
      </c>
      <c r="E125" s="912">
        <v>123</v>
      </c>
      <c r="F125" s="912">
        <v>122</v>
      </c>
      <c r="G125" s="912">
        <v>115</v>
      </c>
      <c r="H125" s="912">
        <v>55</v>
      </c>
      <c r="I125" s="912">
        <v>55</v>
      </c>
      <c r="J125" s="912">
        <v>33</v>
      </c>
      <c r="K125" s="912">
        <v>0</v>
      </c>
      <c r="L125" s="912">
        <v>0</v>
      </c>
      <c r="M125" s="912">
        <v>432</v>
      </c>
      <c r="N125" s="912">
        <v>575</v>
      </c>
      <c r="O125" s="893" t="s">
        <v>1350</v>
      </c>
      <c r="P125" s="896"/>
    </row>
    <row r="126" spans="1:16" x14ac:dyDescent="0.3">
      <c r="A126" s="891" t="s">
        <v>1377</v>
      </c>
      <c r="B126" s="892" t="s">
        <v>1378</v>
      </c>
      <c r="C126" s="893">
        <v>0</v>
      </c>
      <c r="D126" s="893">
        <v>1</v>
      </c>
      <c r="E126" s="893">
        <v>2</v>
      </c>
      <c r="F126" s="893">
        <v>2</v>
      </c>
      <c r="G126" s="893">
        <v>2</v>
      </c>
      <c r="H126" s="893">
        <v>2</v>
      </c>
      <c r="I126" s="893">
        <v>2</v>
      </c>
      <c r="J126" s="893">
        <v>2</v>
      </c>
      <c r="K126" s="893">
        <v>2</v>
      </c>
      <c r="L126" s="893">
        <v>1</v>
      </c>
      <c r="M126" s="893">
        <v>7</v>
      </c>
      <c r="N126" s="893">
        <v>16</v>
      </c>
      <c r="O126" s="894" t="s">
        <v>1350</v>
      </c>
      <c r="P126" s="896"/>
    </row>
    <row r="127" spans="1:16" x14ac:dyDescent="0.3">
      <c r="A127" s="891" t="s">
        <v>1379</v>
      </c>
      <c r="B127" s="892" t="s">
        <v>1380</v>
      </c>
      <c r="C127" s="893">
        <v>0</v>
      </c>
      <c r="D127" s="893">
        <v>49</v>
      </c>
      <c r="E127" s="893">
        <v>190</v>
      </c>
      <c r="F127" s="893">
        <v>379</v>
      </c>
      <c r="G127" s="893">
        <v>531</v>
      </c>
      <c r="H127" s="893">
        <v>619</v>
      </c>
      <c r="I127" s="893">
        <v>580</v>
      </c>
      <c r="J127" s="893">
        <v>387</v>
      </c>
      <c r="K127" s="893">
        <v>196</v>
      </c>
      <c r="L127" s="893">
        <v>69</v>
      </c>
      <c r="M127" s="910">
        <v>1149</v>
      </c>
      <c r="N127" s="910">
        <v>3000</v>
      </c>
      <c r="O127" s="894" t="s">
        <v>1350</v>
      </c>
      <c r="P127" s="896"/>
    </row>
    <row r="128" spans="1:16" x14ac:dyDescent="0.3">
      <c r="A128" s="908" t="s">
        <v>1381</v>
      </c>
      <c r="B128" s="909" t="s">
        <v>1382</v>
      </c>
      <c r="C128" s="893">
        <v>0</v>
      </c>
      <c r="D128" s="893">
        <v>22</v>
      </c>
      <c r="E128" s="893">
        <v>22</v>
      </c>
      <c r="F128" s="893">
        <v>6</v>
      </c>
      <c r="G128" s="893">
        <v>0</v>
      </c>
      <c r="H128" s="893">
        <v>0</v>
      </c>
      <c r="I128" s="893">
        <v>0</v>
      </c>
      <c r="J128" s="893">
        <v>0</v>
      </c>
      <c r="K128" s="893">
        <v>0</v>
      </c>
      <c r="L128" s="893">
        <v>0</v>
      </c>
      <c r="M128" s="893">
        <v>50</v>
      </c>
      <c r="N128" s="893">
        <v>50</v>
      </c>
      <c r="O128" s="894" t="s">
        <v>1350</v>
      </c>
      <c r="P128" s="895"/>
    </row>
    <row r="129" spans="1:16" x14ac:dyDescent="0.3">
      <c r="A129" s="891" t="s">
        <v>1383</v>
      </c>
      <c r="B129" s="892" t="s">
        <v>1384</v>
      </c>
      <c r="C129" s="893">
        <v>0</v>
      </c>
      <c r="D129" s="893">
        <v>30</v>
      </c>
      <c r="E129" s="893">
        <v>30</v>
      </c>
      <c r="F129" s="893">
        <v>40</v>
      </c>
      <c r="G129" s="893">
        <v>15</v>
      </c>
      <c r="H129" s="893">
        <v>5</v>
      </c>
      <c r="I129" s="893">
        <v>5</v>
      </c>
      <c r="J129" s="893">
        <v>0</v>
      </c>
      <c r="K129" s="893">
        <v>0</v>
      </c>
      <c r="L129" s="893">
        <v>0</v>
      </c>
      <c r="M129" s="893">
        <v>115</v>
      </c>
      <c r="N129" s="893">
        <v>125</v>
      </c>
      <c r="O129" s="894" t="s">
        <v>1350</v>
      </c>
      <c r="P129" s="896"/>
    </row>
    <row r="130" spans="1:16" x14ac:dyDescent="0.3">
      <c r="A130" s="891" t="s">
        <v>1385</v>
      </c>
      <c r="B130" s="892" t="s">
        <v>1386</v>
      </c>
      <c r="C130" s="893">
        <v>0</v>
      </c>
      <c r="D130" s="893">
        <v>10</v>
      </c>
      <c r="E130" s="893">
        <v>230</v>
      </c>
      <c r="F130" s="893">
        <v>660</v>
      </c>
      <c r="G130" s="893">
        <v>945</v>
      </c>
      <c r="H130" s="893">
        <v>605</v>
      </c>
      <c r="I130" s="893">
        <v>100</v>
      </c>
      <c r="J130" s="893">
        <v>0</v>
      </c>
      <c r="K130" s="893">
        <v>0</v>
      </c>
      <c r="L130" s="893">
        <v>0</v>
      </c>
      <c r="M130" s="910">
        <v>1845</v>
      </c>
      <c r="N130" s="910">
        <v>2550</v>
      </c>
      <c r="O130" s="894" t="s">
        <v>1350</v>
      </c>
      <c r="P130" s="896"/>
    </row>
    <row r="131" spans="1:16" x14ac:dyDescent="0.3">
      <c r="A131" s="891" t="s">
        <v>1387</v>
      </c>
      <c r="B131" s="892" t="s">
        <v>1388</v>
      </c>
      <c r="C131" s="893">
        <v>0</v>
      </c>
      <c r="D131" s="893">
        <v>10</v>
      </c>
      <c r="E131" s="893">
        <v>45</v>
      </c>
      <c r="F131" s="893">
        <v>70</v>
      </c>
      <c r="G131" s="893">
        <v>100</v>
      </c>
      <c r="H131" s="893">
        <v>100</v>
      </c>
      <c r="I131" s="893">
        <v>100</v>
      </c>
      <c r="J131" s="893">
        <v>100</v>
      </c>
      <c r="K131" s="893">
        <v>100</v>
      </c>
      <c r="L131" s="893">
        <v>100</v>
      </c>
      <c r="M131" s="893">
        <v>225</v>
      </c>
      <c r="N131" s="893">
        <v>725</v>
      </c>
      <c r="O131" s="894" t="s">
        <v>1350</v>
      </c>
      <c r="P131" s="896"/>
    </row>
    <row r="132" spans="1:16" x14ac:dyDescent="0.3">
      <c r="A132" s="908" t="s">
        <v>1389</v>
      </c>
      <c r="B132" s="909" t="s">
        <v>1390</v>
      </c>
      <c r="C132" s="893">
        <v>0</v>
      </c>
      <c r="D132" s="893">
        <v>14</v>
      </c>
      <c r="E132" s="893">
        <v>11</v>
      </c>
      <c r="F132" s="893">
        <v>0</v>
      </c>
      <c r="G132" s="893">
        <v>0</v>
      </c>
      <c r="H132" s="893">
        <v>0</v>
      </c>
      <c r="I132" s="893">
        <v>0</v>
      </c>
      <c r="J132" s="893">
        <v>0</v>
      </c>
      <c r="K132" s="893">
        <v>0</v>
      </c>
      <c r="L132" s="893">
        <v>0</v>
      </c>
      <c r="M132" s="893">
        <v>25</v>
      </c>
      <c r="N132" s="893">
        <v>25</v>
      </c>
      <c r="O132" s="894" t="s">
        <v>1354</v>
      </c>
      <c r="P132" s="895"/>
    </row>
    <row r="133" spans="1:16" x14ac:dyDescent="0.3">
      <c r="A133" s="908" t="s">
        <v>1391</v>
      </c>
      <c r="B133" s="909" t="s">
        <v>1392</v>
      </c>
      <c r="C133" s="893">
        <v>0</v>
      </c>
      <c r="D133" s="893">
        <v>84</v>
      </c>
      <c r="E133" s="893">
        <v>320</v>
      </c>
      <c r="F133" s="893">
        <v>638</v>
      </c>
      <c r="G133" s="893">
        <v>928</v>
      </c>
      <c r="H133" s="893">
        <v>940</v>
      </c>
      <c r="I133" s="893">
        <v>720</v>
      </c>
      <c r="J133" s="893">
        <v>300</v>
      </c>
      <c r="K133" s="893">
        <v>120</v>
      </c>
      <c r="L133" s="893">
        <v>0</v>
      </c>
      <c r="M133" s="910">
        <v>1970</v>
      </c>
      <c r="N133" s="910">
        <v>4050</v>
      </c>
      <c r="O133" s="894" t="s">
        <v>1354</v>
      </c>
      <c r="P133" s="896"/>
    </row>
    <row r="134" spans="1:16" x14ac:dyDescent="0.3">
      <c r="A134" s="891" t="s">
        <v>1393</v>
      </c>
      <c r="B134" s="892" t="s">
        <v>1394</v>
      </c>
      <c r="C134" s="893">
        <v>0</v>
      </c>
      <c r="D134" s="893">
        <v>40</v>
      </c>
      <c r="E134" s="893">
        <v>200</v>
      </c>
      <c r="F134" s="893">
        <v>400</v>
      </c>
      <c r="G134" s="893">
        <v>660</v>
      </c>
      <c r="H134" s="893">
        <v>640</v>
      </c>
      <c r="I134" s="893">
        <v>515</v>
      </c>
      <c r="J134" s="893">
        <v>240</v>
      </c>
      <c r="K134" s="893">
        <v>105</v>
      </c>
      <c r="L134" s="893">
        <v>0</v>
      </c>
      <c r="M134" s="910">
        <v>1300</v>
      </c>
      <c r="N134" s="910">
        <v>2800</v>
      </c>
      <c r="O134" s="894" t="s">
        <v>1354</v>
      </c>
      <c r="P134" s="896"/>
    </row>
    <row r="135" spans="1:16" x14ac:dyDescent="0.3">
      <c r="A135" s="891" t="s">
        <v>1395</v>
      </c>
      <c r="B135" s="892" t="s">
        <v>1396</v>
      </c>
      <c r="C135" s="926">
        <v>0</v>
      </c>
      <c r="D135" s="926">
        <v>138</v>
      </c>
      <c r="E135" s="926">
        <v>566</v>
      </c>
      <c r="F135" s="926">
        <v>994</v>
      </c>
      <c r="G135" s="927">
        <v>1328</v>
      </c>
      <c r="H135" s="927">
        <v>1791</v>
      </c>
      <c r="I135" s="927">
        <v>2350</v>
      </c>
      <c r="J135" s="927">
        <v>2928</v>
      </c>
      <c r="K135" s="927">
        <v>3548</v>
      </c>
      <c r="L135" s="927">
        <v>4162</v>
      </c>
      <c r="M135" s="927">
        <v>3026</v>
      </c>
      <c r="N135" s="927">
        <v>17805</v>
      </c>
      <c r="O135" s="928" t="s">
        <v>54</v>
      </c>
      <c r="P135" s="929"/>
    </row>
    <row r="136" spans="1:16" x14ac:dyDescent="0.3">
      <c r="A136" s="891" t="s">
        <v>1397</v>
      </c>
      <c r="B136" s="892" t="s">
        <v>1398</v>
      </c>
      <c r="C136" s="926">
        <v>0</v>
      </c>
      <c r="D136" s="926">
        <v>0</v>
      </c>
      <c r="E136" s="926">
        <v>235</v>
      </c>
      <c r="F136" s="926">
        <v>317</v>
      </c>
      <c r="G136" s="926">
        <v>304</v>
      </c>
      <c r="H136" s="926">
        <v>314</v>
      </c>
      <c r="I136" s="926">
        <v>324</v>
      </c>
      <c r="J136" s="926">
        <v>335</v>
      </c>
      <c r="K136" s="926">
        <v>346</v>
      </c>
      <c r="L136" s="926">
        <v>359</v>
      </c>
      <c r="M136" s="926">
        <v>856</v>
      </c>
      <c r="N136" s="927">
        <v>2534</v>
      </c>
      <c r="O136" s="928" t="s">
        <v>54</v>
      </c>
      <c r="P136" s="896"/>
    </row>
    <row r="137" spans="1:16" ht="24" customHeight="1" x14ac:dyDescent="0.3">
      <c r="A137" s="891" t="s">
        <v>1399</v>
      </c>
      <c r="B137" s="892" t="s">
        <v>1400</v>
      </c>
      <c r="C137" s="930"/>
      <c r="D137" s="930">
        <v>333</v>
      </c>
      <c r="E137" s="930">
        <v>314</v>
      </c>
      <c r="F137" s="930">
        <v>314</v>
      </c>
      <c r="G137" s="930">
        <v>-4530</v>
      </c>
      <c r="H137" s="930">
        <v>-9118</v>
      </c>
      <c r="I137" s="930">
        <v>-18184</v>
      </c>
      <c r="J137" s="930">
        <v>-20493</v>
      </c>
      <c r="K137" s="930">
        <v>-23289</v>
      </c>
      <c r="L137" s="930">
        <v>-24298</v>
      </c>
      <c r="M137" s="930">
        <v>-569</v>
      </c>
      <c r="N137" s="930">
        <v>-95951</v>
      </c>
      <c r="O137" s="931" t="s">
        <v>55</v>
      </c>
      <c r="P137" s="932"/>
    </row>
    <row r="138" spans="1:16" ht="36" customHeight="1" x14ac:dyDescent="0.3">
      <c r="A138" s="891" t="s">
        <v>1395</v>
      </c>
      <c r="B138" s="892" t="s">
        <v>1401</v>
      </c>
      <c r="C138" s="933">
        <v>0</v>
      </c>
      <c r="D138" s="933">
        <v>-2447</v>
      </c>
      <c r="E138" s="933">
        <v>-3716</v>
      </c>
      <c r="F138" s="933">
        <v>-19171</v>
      </c>
      <c r="G138" s="933">
        <v>-7014</v>
      </c>
      <c r="H138" s="933">
        <v>-7706</v>
      </c>
      <c r="I138" s="933">
        <v>-8497</v>
      </c>
      <c r="J138" s="933">
        <v>-9360</v>
      </c>
      <c r="K138" s="933">
        <v>-10602</v>
      </c>
      <c r="L138" s="933">
        <v>-11603</v>
      </c>
      <c r="M138" s="933">
        <v>-32348</v>
      </c>
      <c r="N138" s="933">
        <v>-80116</v>
      </c>
      <c r="O138" s="931" t="s">
        <v>55</v>
      </c>
      <c r="P138" s="896"/>
    </row>
    <row r="139" spans="1:16" x14ac:dyDescent="0.3">
      <c r="A139" s="891" t="s">
        <v>1402</v>
      </c>
      <c r="B139" s="892" t="s">
        <v>1403</v>
      </c>
      <c r="C139" s="930">
        <v>0</v>
      </c>
      <c r="D139" s="930">
        <v>53</v>
      </c>
      <c r="E139" s="930">
        <v>1991</v>
      </c>
      <c r="F139" s="930">
        <v>3308</v>
      </c>
      <c r="G139" s="930">
        <v>3545</v>
      </c>
      <c r="H139" s="930">
        <v>4537</v>
      </c>
      <c r="I139" s="930">
        <v>4476</v>
      </c>
      <c r="J139" s="930">
        <v>3947</v>
      </c>
      <c r="K139" s="930">
        <v>1781</v>
      </c>
      <c r="L139" s="930">
        <v>1462</v>
      </c>
      <c r="M139" s="930">
        <v>8897</v>
      </c>
      <c r="N139" s="930">
        <v>25100</v>
      </c>
      <c r="O139" s="931" t="s">
        <v>55</v>
      </c>
      <c r="P139" s="896"/>
    </row>
    <row r="140" spans="1:16" x14ac:dyDescent="0.3">
      <c r="A140" s="891" t="s">
        <v>1404</v>
      </c>
      <c r="B140" s="892" t="s">
        <v>1405</v>
      </c>
      <c r="C140" s="934">
        <v>0</v>
      </c>
      <c r="D140" s="934">
        <v>0</v>
      </c>
      <c r="E140" s="934">
        <v>0</v>
      </c>
      <c r="F140" s="934">
        <v>0</v>
      </c>
      <c r="G140" s="934">
        <v>0</v>
      </c>
      <c r="H140" s="935">
        <v>-16290</v>
      </c>
      <c r="I140" s="935">
        <v>-25656</v>
      </c>
      <c r="J140" s="935">
        <v>-23394</v>
      </c>
      <c r="K140" s="935">
        <v>-27561</v>
      </c>
      <c r="L140" s="935">
        <v>-29250</v>
      </c>
      <c r="M140" s="934">
        <v>0</v>
      </c>
      <c r="N140" s="935">
        <v>-122151</v>
      </c>
      <c r="O140" s="931" t="s">
        <v>55</v>
      </c>
      <c r="P140" s="896"/>
    </row>
    <row r="141" spans="1:16" ht="36" customHeight="1" x14ac:dyDescent="0.3">
      <c r="A141" s="891" t="s">
        <v>1406</v>
      </c>
      <c r="B141" s="892" t="s">
        <v>1407</v>
      </c>
      <c r="C141" s="930">
        <v>0</v>
      </c>
      <c r="D141" s="930">
        <v>-70</v>
      </c>
      <c r="E141" s="930">
        <v>300</v>
      </c>
      <c r="F141" s="930">
        <v>862</v>
      </c>
      <c r="G141" s="930">
        <v>577</v>
      </c>
      <c r="H141" s="930">
        <v>464</v>
      </c>
      <c r="I141" s="930">
        <v>549</v>
      </c>
      <c r="J141" s="930">
        <v>501</v>
      </c>
      <c r="K141" s="930">
        <v>591</v>
      </c>
      <c r="L141" s="930">
        <v>630</v>
      </c>
      <c r="M141" s="930">
        <v>1669</v>
      </c>
      <c r="N141" s="930">
        <v>4404</v>
      </c>
      <c r="O141" s="931" t="s">
        <v>55</v>
      </c>
      <c r="P141" s="896"/>
    </row>
    <row r="142" spans="1:16" x14ac:dyDescent="0.3">
      <c r="A142" s="891" t="s">
        <v>1408</v>
      </c>
      <c r="B142" s="892" t="s">
        <v>1409</v>
      </c>
      <c r="C142" s="934">
        <v>0</v>
      </c>
      <c r="D142" s="934">
        <v>0</v>
      </c>
      <c r="E142" s="934">
        <v>195</v>
      </c>
      <c r="F142" s="934">
        <v>230</v>
      </c>
      <c r="G142" s="934">
        <v>248</v>
      </c>
      <c r="H142" s="934">
        <v>266</v>
      </c>
      <c r="I142" s="934">
        <v>311</v>
      </c>
      <c r="J142" s="934">
        <v>281</v>
      </c>
      <c r="K142" s="934">
        <v>327</v>
      </c>
      <c r="L142" s="934">
        <v>347</v>
      </c>
      <c r="M142" s="934">
        <v>673</v>
      </c>
      <c r="N142" s="935">
        <v>2205</v>
      </c>
      <c r="O142" s="931" t="s">
        <v>55</v>
      </c>
      <c r="P142" s="896"/>
    </row>
    <row r="143" spans="1:16" x14ac:dyDescent="0.3">
      <c r="A143" s="908" t="s">
        <v>1410</v>
      </c>
      <c r="B143" s="909" t="s">
        <v>1411</v>
      </c>
      <c r="C143" s="936">
        <v>0</v>
      </c>
      <c r="D143" s="936">
        <v>70</v>
      </c>
      <c r="E143" s="936">
        <v>132</v>
      </c>
      <c r="F143" s="936">
        <v>51</v>
      </c>
      <c r="G143" s="936">
        <v>20</v>
      </c>
      <c r="H143" s="936">
        <v>8</v>
      </c>
      <c r="I143" s="936">
        <v>0</v>
      </c>
      <c r="J143" s="936">
        <v>0</v>
      </c>
      <c r="K143" s="936">
        <v>0</v>
      </c>
      <c r="L143" s="936">
        <v>0</v>
      </c>
      <c r="M143" s="936">
        <v>273</v>
      </c>
      <c r="N143" s="936">
        <v>281</v>
      </c>
      <c r="O143" s="937" t="s">
        <v>1412</v>
      </c>
      <c r="P143" s="896" t="s">
        <v>1413</v>
      </c>
    </row>
    <row r="144" spans="1:16" x14ac:dyDescent="0.3">
      <c r="A144" s="908" t="s">
        <v>1414</v>
      </c>
      <c r="B144" s="909" t="s">
        <v>1415</v>
      </c>
      <c r="C144" s="936">
        <v>0</v>
      </c>
      <c r="D144" s="936">
        <v>465</v>
      </c>
      <c r="E144" s="938">
        <v>2420</v>
      </c>
      <c r="F144" s="938">
        <v>4755</v>
      </c>
      <c r="G144" s="938">
        <v>5980</v>
      </c>
      <c r="H144" s="938">
        <v>4694</v>
      </c>
      <c r="I144" s="938">
        <v>1573</v>
      </c>
      <c r="J144" s="936">
        <v>93</v>
      </c>
      <c r="K144" s="936">
        <v>0</v>
      </c>
      <c r="L144" s="936">
        <v>0</v>
      </c>
      <c r="M144" s="938">
        <v>13620</v>
      </c>
      <c r="N144" s="938">
        <v>19980</v>
      </c>
      <c r="O144" s="937" t="s">
        <v>1412</v>
      </c>
      <c r="P144" s="896" t="s">
        <v>1416</v>
      </c>
    </row>
    <row r="145" spans="1:16" x14ac:dyDescent="0.3">
      <c r="A145" s="891" t="s">
        <v>1417</v>
      </c>
      <c r="B145" s="892" t="s">
        <v>1418</v>
      </c>
      <c r="C145" s="936">
        <v>0</v>
      </c>
      <c r="D145" s="936">
        <v>20</v>
      </c>
      <c r="E145" s="936">
        <v>65</v>
      </c>
      <c r="F145" s="936">
        <v>110</v>
      </c>
      <c r="G145" s="936">
        <v>135</v>
      </c>
      <c r="H145" s="936">
        <v>180</v>
      </c>
      <c r="I145" s="936">
        <v>230</v>
      </c>
      <c r="J145" s="936">
        <v>180</v>
      </c>
      <c r="K145" s="936">
        <v>60</v>
      </c>
      <c r="L145" s="936">
        <v>10</v>
      </c>
      <c r="M145" s="936">
        <v>330</v>
      </c>
      <c r="N145" s="936">
        <v>990</v>
      </c>
      <c r="O145" s="937" t="s">
        <v>1412</v>
      </c>
      <c r="P145" s="919" t="s">
        <v>1419</v>
      </c>
    </row>
    <row r="146" spans="1:16" x14ac:dyDescent="0.3">
      <c r="A146" s="891" t="s">
        <v>1420</v>
      </c>
      <c r="B146" s="892" t="s">
        <v>1421</v>
      </c>
      <c r="C146" s="936">
        <v>0</v>
      </c>
      <c r="D146" s="938">
        <v>20892</v>
      </c>
      <c r="E146" s="938">
        <v>11288</v>
      </c>
      <c r="F146" s="938">
        <v>9651</v>
      </c>
      <c r="G146" s="938">
        <v>-8548</v>
      </c>
      <c r="H146" s="936">
        <v>-463</v>
      </c>
      <c r="I146" s="936">
        <v>0</v>
      </c>
      <c r="J146" s="936">
        <v>0</v>
      </c>
      <c r="K146" s="936">
        <v>0</v>
      </c>
      <c r="L146" s="936">
        <v>0</v>
      </c>
      <c r="M146" s="938">
        <v>33283</v>
      </c>
      <c r="N146" s="938">
        <v>32820</v>
      </c>
      <c r="O146" s="939" t="s">
        <v>1412</v>
      </c>
      <c r="P146" s="896"/>
    </row>
    <row r="147" spans="1:16" x14ac:dyDescent="0.3">
      <c r="A147" s="891" t="s">
        <v>1422</v>
      </c>
      <c r="B147" s="892" t="s">
        <v>1423</v>
      </c>
      <c r="C147" s="936">
        <v>0</v>
      </c>
      <c r="D147" s="936">
        <v>24</v>
      </c>
      <c r="E147" s="936">
        <v>65</v>
      </c>
      <c r="F147" s="936">
        <v>112</v>
      </c>
      <c r="G147" s="936">
        <v>130</v>
      </c>
      <c r="H147" s="936">
        <v>98</v>
      </c>
      <c r="I147" s="936">
        <v>56</v>
      </c>
      <c r="J147" s="936">
        <v>15</v>
      </c>
      <c r="K147" s="936">
        <v>0</v>
      </c>
      <c r="L147" s="936">
        <v>0</v>
      </c>
      <c r="M147" s="936">
        <v>331</v>
      </c>
      <c r="N147" s="936">
        <v>500</v>
      </c>
      <c r="O147" s="939" t="s">
        <v>1412</v>
      </c>
      <c r="P147" s="896"/>
    </row>
    <row r="148" spans="1:16" x14ac:dyDescent="0.3">
      <c r="A148" s="940" t="s">
        <v>1424</v>
      </c>
      <c r="B148" s="941" t="s">
        <v>1425</v>
      </c>
      <c r="C148" s="936">
        <v>0</v>
      </c>
      <c r="D148" s="936">
        <v>50</v>
      </c>
      <c r="E148" s="936">
        <v>500</v>
      </c>
      <c r="F148" s="936">
        <v>920</v>
      </c>
      <c r="G148" s="938">
        <v>1310</v>
      </c>
      <c r="H148" s="938">
        <v>1680</v>
      </c>
      <c r="I148" s="938">
        <v>1780</v>
      </c>
      <c r="J148" s="938">
        <v>1640</v>
      </c>
      <c r="K148" s="938">
        <v>1090</v>
      </c>
      <c r="L148" s="936">
        <v>630</v>
      </c>
      <c r="M148" s="938">
        <v>2780</v>
      </c>
      <c r="N148" s="938">
        <v>9600</v>
      </c>
      <c r="O148" s="939" t="s">
        <v>1412</v>
      </c>
      <c r="P148" s="942"/>
    </row>
    <row r="149" spans="1:16" x14ac:dyDescent="0.3">
      <c r="A149" s="891" t="s">
        <v>1426</v>
      </c>
      <c r="B149" s="892" t="s">
        <v>1427</v>
      </c>
      <c r="C149" s="936">
        <v>0</v>
      </c>
      <c r="D149" s="936">
        <v>30</v>
      </c>
      <c r="E149" s="936">
        <v>90</v>
      </c>
      <c r="F149" s="936">
        <v>90</v>
      </c>
      <c r="G149" s="936">
        <v>85</v>
      </c>
      <c r="H149" s="936">
        <v>70</v>
      </c>
      <c r="I149" s="936">
        <v>65</v>
      </c>
      <c r="J149" s="936">
        <v>65</v>
      </c>
      <c r="K149" s="936">
        <v>35</v>
      </c>
      <c r="L149" s="936">
        <v>15</v>
      </c>
      <c r="M149" s="936">
        <v>295</v>
      </c>
      <c r="N149" s="936">
        <v>545</v>
      </c>
      <c r="O149" s="939" t="s">
        <v>1412</v>
      </c>
      <c r="P149" s="896"/>
    </row>
    <row r="150" spans="1:16" x14ac:dyDescent="0.3">
      <c r="A150" s="891" t="s">
        <v>1428</v>
      </c>
      <c r="B150" s="892" t="s">
        <v>1429</v>
      </c>
      <c r="C150" s="936">
        <v>0</v>
      </c>
      <c r="D150" s="936">
        <v>185</v>
      </c>
      <c r="E150" s="936">
        <v>394</v>
      </c>
      <c r="F150" s="936">
        <v>639</v>
      </c>
      <c r="G150" s="936">
        <v>722</v>
      </c>
      <c r="H150" s="936">
        <v>595</v>
      </c>
      <c r="I150" s="936">
        <v>346</v>
      </c>
      <c r="J150" s="936">
        <v>101</v>
      </c>
      <c r="K150" s="936">
        <v>18</v>
      </c>
      <c r="L150" s="936">
        <v>0</v>
      </c>
      <c r="M150" s="938">
        <v>1940</v>
      </c>
      <c r="N150" s="938">
        <v>3000</v>
      </c>
      <c r="O150" s="937" t="s">
        <v>1412</v>
      </c>
      <c r="P150" s="896"/>
    </row>
    <row r="151" spans="1:16" x14ac:dyDescent="0.3">
      <c r="A151" s="891" t="s">
        <v>1430</v>
      </c>
      <c r="B151" s="892" t="s">
        <v>1431</v>
      </c>
      <c r="C151" s="936">
        <v>0</v>
      </c>
      <c r="D151" s="936">
        <v>8</v>
      </c>
      <c r="E151" s="936">
        <v>26</v>
      </c>
      <c r="F151" s="936">
        <v>41</v>
      </c>
      <c r="G151" s="936">
        <v>38</v>
      </c>
      <c r="H151" s="936">
        <v>22</v>
      </c>
      <c r="I151" s="936">
        <v>11</v>
      </c>
      <c r="J151" s="936">
        <v>4</v>
      </c>
      <c r="K151" s="936">
        <v>0</v>
      </c>
      <c r="L151" s="936">
        <v>0</v>
      </c>
      <c r="M151" s="936">
        <v>113</v>
      </c>
      <c r="N151" s="936">
        <v>150</v>
      </c>
      <c r="O151" s="937" t="s">
        <v>1412</v>
      </c>
      <c r="P151" s="896"/>
    </row>
    <row r="152" spans="1:16" ht="24" customHeight="1" x14ac:dyDescent="0.3">
      <c r="A152" s="908" t="s">
        <v>1432</v>
      </c>
      <c r="B152" s="909" t="s">
        <v>1433</v>
      </c>
      <c r="C152" s="943">
        <v>0</v>
      </c>
      <c r="D152" s="944">
        <v>77</v>
      </c>
      <c r="E152" s="944">
        <v>232</v>
      </c>
      <c r="F152" s="944">
        <v>341</v>
      </c>
      <c r="G152" s="944">
        <v>496</v>
      </c>
      <c r="H152" s="944">
        <v>310</v>
      </c>
      <c r="I152" s="944">
        <v>47</v>
      </c>
      <c r="J152" s="944">
        <v>31</v>
      </c>
      <c r="K152" s="944">
        <v>15</v>
      </c>
      <c r="L152" s="944">
        <v>1</v>
      </c>
      <c r="M152" s="945">
        <v>1146</v>
      </c>
      <c r="N152" s="945">
        <v>1550</v>
      </c>
      <c r="O152" s="946" t="s">
        <v>1434</v>
      </c>
      <c r="P152" s="896" t="s">
        <v>1435</v>
      </c>
    </row>
    <row r="153" spans="1:16" ht="30" customHeight="1" x14ac:dyDescent="0.3">
      <c r="A153" s="891" t="s">
        <v>1436</v>
      </c>
      <c r="B153" s="892" t="s">
        <v>1437</v>
      </c>
      <c r="C153" s="947">
        <v>0</v>
      </c>
      <c r="D153" s="947">
        <v>264</v>
      </c>
      <c r="E153" s="947">
        <v>715</v>
      </c>
      <c r="F153" s="947">
        <v>1393</v>
      </c>
      <c r="G153" s="947">
        <v>2492</v>
      </c>
      <c r="H153" s="947">
        <v>3364</v>
      </c>
      <c r="I153" s="947">
        <v>3209</v>
      </c>
      <c r="J153" s="947">
        <v>2750</v>
      </c>
      <c r="K153" s="947">
        <v>1783</v>
      </c>
      <c r="L153" s="947">
        <v>744</v>
      </c>
      <c r="M153" s="948">
        <v>4864</v>
      </c>
      <c r="N153" s="948">
        <v>16714</v>
      </c>
      <c r="O153" s="949" t="s">
        <v>52</v>
      </c>
      <c r="P153" s="950" t="s">
        <v>1438</v>
      </c>
    </row>
    <row r="154" spans="1:16" x14ac:dyDescent="0.3">
      <c r="A154" s="891" t="s">
        <v>1439</v>
      </c>
      <c r="B154" s="892" t="s">
        <v>1440</v>
      </c>
      <c r="C154" s="951">
        <v>0</v>
      </c>
      <c r="D154" s="951">
        <v>0</v>
      </c>
      <c r="E154" s="951">
        <v>50</v>
      </c>
      <c r="F154" s="951">
        <v>270</v>
      </c>
      <c r="G154" s="951">
        <v>680</v>
      </c>
      <c r="H154" s="951">
        <v>850</v>
      </c>
      <c r="I154" s="951">
        <v>730</v>
      </c>
      <c r="J154" s="951">
        <v>485</v>
      </c>
      <c r="K154" s="951">
        <v>285</v>
      </c>
      <c r="L154" s="951">
        <v>145</v>
      </c>
      <c r="M154" s="952">
        <v>1000</v>
      </c>
      <c r="N154" s="952">
        <v>3495</v>
      </c>
      <c r="O154" s="953" t="s">
        <v>52</v>
      </c>
      <c r="P154" s="954" t="s">
        <v>1441</v>
      </c>
    </row>
    <row r="155" spans="1:16" x14ac:dyDescent="0.3">
      <c r="A155" s="891" t="s">
        <v>1442</v>
      </c>
      <c r="B155" s="892" t="s">
        <v>1443</v>
      </c>
      <c r="C155" s="951">
        <v>0</v>
      </c>
      <c r="D155" s="951">
        <v>5</v>
      </c>
      <c r="E155" s="951">
        <v>5</v>
      </c>
      <c r="F155" s="951">
        <v>10</v>
      </c>
      <c r="G155" s="951">
        <v>25</v>
      </c>
      <c r="H155" s="951">
        <v>70</v>
      </c>
      <c r="I155" s="951">
        <v>175</v>
      </c>
      <c r="J155" s="951">
        <v>385</v>
      </c>
      <c r="K155" s="951">
        <v>460</v>
      </c>
      <c r="L155" s="951">
        <v>325</v>
      </c>
      <c r="M155" s="951">
        <v>45</v>
      </c>
      <c r="N155" s="952">
        <v>1460</v>
      </c>
      <c r="O155" s="955" t="s">
        <v>52</v>
      </c>
      <c r="P155" s="954" t="s">
        <v>1444</v>
      </c>
    </row>
    <row r="156" spans="1:16" x14ac:dyDescent="0.3">
      <c r="A156" s="908" t="s">
        <v>1445</v>
      </c>
      <c r="B156" s="909" t="s">
        <v>1446</v>
      </c>
      <c r="C156" s="951">
        <v>0</v>
      </c>
      <c r="D156" s="951">
        <v>6</v>
      </c>
      <c r="E156" s="951">
        <v>8</v>
      </c>
      <c r="F156" s="951">
        <v>1</v>
      </c>
      <c r="G156" s="951">
        <v>0</v>
      </c>
      <c r="H156" s="951">
        <v>0</v>
      </c>
      <c r="I156" s="951">
        <v>0</v>
      </c>
      <c r="J156" s="951">
        <v>0</v>
      </c>
      <c r="K156" s="951">
        <v>0</v>
      </c>
      <c r="L156" s="951">
        <v>0</v>
      </c>
      <c r="M156" s="951">
        <v>15</v>
      </c>
      <c r="N156" s="951">
        <v>15</v>
      </c>
      <c r="O156" s="955" t="s">
        <v>52</v>
      </c>
      <c r="P156" s="954" t="s">
        <v>1447</v>
      </c>
    </row>
    <row r="157" spans="1:16" ht="24" customHeight="1" x14ac:dyDescent="0.3">
      <c r="A157" s="891" t="s">
        <v>1448</v>
      </c>
      <c r="B157" s="892" t="s">
        <v>1449</v>
      </c>
      <c r="C157" s="951">
        <v>0</v>
      </c>
      <c r="D157" s="951">
        <v>5</v>
      </c>
      <c r="E157" s="951">
        <v>41</v>
      </c>
      <c r="F157" s="951">
        <v>116</v>
      </c>
      <c r="G157" s="951">
        <v>284</v>
      </c>
      <c r="H157" s="951">
        <v>417</v>
      </c>
      <c r="I157" s="951">
        <v>459</v>
      </c>
      <c r="J157" s="951">
        <v>355</v>
      </c>
      <c r="K157" s="951">
        <v>210</v>
      </c>
      <c r="L157" s="951">
        <v>90</v>
      </c>
      <c r="M157" s="951">
        <v>446</v>
      </c>
      <c r="N157" s="952">
        <v>1977</v>
      </c>
      <c r="O157" s="956" t="s">
        <v>52</v>
      </c>
      <c r="P157" s="957" t="s">
        <v>1450</v>
      </c>
    </row>
    <row r="158" spans="1:16" ht="24" customHeight="1" x14ac:dyDescent="0.3">
      <c r="A158" s="891" t="s">
        <v>1451</v>
      </c>
      <c r="B158" s="892" t="s">
        <v>1452</v>
      </c>
      <c r="C158" s="951">
        <v>0</v>
      </c>
      <c r="D158" s="951">
        <v>20</v>
      </c>
      <c r="E158" s="951">
        <v>100</v>
      </c>
      <c r="F158" s="951">
        <v>460</v>
      </c>
      <c r="G158" s="952">
        <v>1070</v>
      </c>
      <c r="H158" s="952">
        <v>1430</v>
      </c>
      <c r="I158" s="952">
        <v>1110</v>
      </c>
      <c r="J158" s="951">
        <v>660</v>
      </c>
      <c r="K158" s="951">
        <v>300</v>
      </c>
      <c r="L158" s="951">
        <v>100</v>
      </c>
      <c r="M158" s="952">
        <v>1650</v>
      </c>
      <c r="N158" s="952">
        <v>5250</v>
      </c>
      <c r="O158" s="955" t="s">
        <v>52</v>
      </c>
      <c r="P158" s="954" t="s">
        <v>1453</v>
      </c>
    </row>
    <row r="159" spans="1:16" x14ac:dyDescent="0.3">
      <c r="A159" s="891" t="s">
        <v>1454</v>
      </c>
      <c r="B159" s="892" t="s">
        <v>1455</v>
      </c>
      <c r="C159" s="870">
        <v>0</v>
      </c>
      <c r="D159" s="870">
        <v>56</v>
      </c>
      <c r="E159" s="870">
        <v>141</v>
      </c>
      <c r="F159" s="870">
        <v>230</v>
      </c>
      <c r="G159" s="870">
        <v>343</v>
      </c>
      <c r="H159" s="870">
        <v>470</v>
      </c>
      <c r="I159" s="870">
        <v>620</v>
      </c>
      <c r="J159" s="870">
        <v>802</v>
      </c>
      <c r="K159" s="870">
        <v>1024</v>
      </c>
      <c r="L159" s="870">
        <v>1330</v>
      </c>
      <c r="M159" s="870">
        <v>769</v>
      </c>
      <c r="N159" s="870">
        <v>5015</v>
      </c>
      <c r="O159" s="953" t="s">
        <v>52</v>
      </c>
      <c r="P159" s="896"/>
    </row>
    <row r="160" spans="1:16" x14ac:dyDescent="0.3">
      <c r="A160" s="891" t="s">
        <v>1456</v>
      </c>
      <c r="B160" s="892" t="s">
        <v>1457</v>
      </c>
      <c r="C160" s="951"/>
      <c r="D160" s="951"/>
      <c r="E160" s="951"/>
      <c r="F160" s="951"/>
      <c r="G160" s="951"/>
      <c r="H160" s="951"/>
      <c r="I160" s="951"/>
      <c r="J160" s="951"/>
      <c r="K160" s="951"/>
      <c r="L160" s="951"/>
      <c r="M160" s="951"/>
      <c r="N160" s="952"/>
      <c r="O160" s="956"/>
      <c r="P160" s="896"/>
    </row>
    <row r="161" spans="1:17" x14ac:dyDescent="0.3">
      <c r="A161" s="891" t="s">
        <v>1458</v>
      </c>
      <c r="B161" s="892" t="s">
        <v>1459</v>
      </c>
      <c r="C161" s="951"/>
      <c r="D161" s="951"/>
      <c r="E161" s="951"/>
      <c r="F161" s="951"/>
      <c r="G161" s="951"/>
      <c r="H161" s="951"/>
      <c r="I161" s="951"/>
      <c r="J161" s="951"/>
      <c r="K161" s="951"/>
      <c r="L161" s="951"/>
      <c r="M161" s="951"/>
      <c r="N161" s="952"/>
      <c r="O161" s="871"/>
      <c r="P161" s="872"/>
    </row>
    <row r="162" spans="1:17" x14ac:dyDescent="0.3">
      <c r="A162" s="891" t="s">
        <v>1460</v>
      </c>
      <c r="B162" s="892" t="s">
        <v>1461</v>
      </c>
      <c r="C162" s="951">
        <v>0</v>
      </c>
      <c r="D162" s="951">
        <v>20</v>
      </c>
      <c r="E162" s="951">
        <v>70</v>
      </c>
      <c r="F162" s="951">
        <v>130</v>
      </c>
      <c r="G162" s="951">
        <v>155</v>
      </c>
      <c r="H162" s="951">
        <v>155</v>
      </c>
      <c r="I162" s="951">
        <v>155</v>
      </c>
      <c r="J162" s="951">
        <v>135</v>
      </c>
      <c r="K162" s="951">
        <v>80</v>
      </c>
      <c r="L162" s="951">
        <v>20</v>
      </c>
      <c r="M162" s="951">
        <v>375</v>
      </c>
      <c r="N162" s="951">
        <v>920</v>
      </c>
      <c r="O162" s="955" t="s">
        <v>52</v>
      </c>
      <c r="P162" s="896"/>
    </row>
    <row r="163" spans="1:17" x14ac:dyDescent="0.3">
      <c r="A163" s="908" t="s">
        <v>1462</v>
      </c>
      <c r="B163" s="909" t="s">
        <v>1463</v>
      </c>
      <c r="C163" s="951">
        <v>0</v>
      </c>
      <c r="D163" s="951">
        <v>15</v>
      </c>
      <c r="E163" s="951">
        <v>12</v>
      </c>
      <c r="F163" s="951">
        <v>8</v>
      </c>
      <c r="G163" s="951">
        <v>4</v>
      </c>
      <c r="H163" s="951">
        <v>0</v>
      </c>
      <c r="I163" s="951">
        <v>0</v>
      </c>
      <c r="J163" s="951">
        <v>0</v>
      </c>
      <c r="K163" s="951">
        <v>0</v>
      </c>
      <c r="L163" s="951">
        <v>0</v>
      </c>
      <c r="M163" s="951">
        <v>39</v>
      </c>
      <c r="N163" s="951">
        <v>39</v>
      </c>
      <c r="O163" s="955" t="s">
        <v>52</v>
      </c>
      <c r="P163" s="896"/>
    </row>
    <row r="164" spans="1:17" x14ac:dyDescent="0.3">
      <c r="A164" s="891" t="s">
        <v>1464</v>
      </c>
      <c r="B164" s="892" t="s">
        <v>1465</v>
      </c>
      <c r="C164" s="873">
        <v>0</v>
      </c>
      <c r="D164" s="873">
        <v>25</v>
      </c>
      <c r="E164" s="873">
        <v>100</v>
      </c>
      <c r="F164" s="873">
        <v>125</v>
      </c>
      <c r="G164" s="873">
        <v>100</v>
      </c>
      <c r="H164" s="873">
        <v>75</v>
      </c>
      <c r="I164" s="873">
        <v>30</v>
      </c>
      <c r="J164" s="873">
        <v>20</v>
      </c>
      <c r="K164" s="873">
        <v>0</v>
      </c>
      <c r="L164" s="873">
        <v>0</v>
      </c>
      <c r="M164" s="873">
        <v>350</v>
      </c>
      <c r="N164" s="873">
        <v>475</v>
      </c>
      <c r="O164" s="874" t="s">
        <v>52</v>
      </c>
      <c r="P164" s="896"/>
    </row>
    <row r="165" spans="1:17" x14ac:dyDescent="0.3">
      <c r="A165" s="56"/>
      <c r="B165" s="16"/>
      <c r="C165" s="39"/>
      <c r="D165" s="39"/>
      <c r="E165" s="39"/>
      <c r="F165" s="39"/>
      <c r="G165" s="39"/>
      <c r="H165" s="39"/>
      <c r="I165" s="39"/>
      <c r="J165" s="39"/>
      <c r="K165" s="39"/>
      <c r="L165" s="39"/>
      <c r="M165" s="39"/>
      <c r="N165" s="39"/>
      <c r="O165" s="56"/>
      <c r="P165" s="16"/>
    </row>
    <row r="167" spans="1:17" x14ac:dyDescent="0.3">
      <c r="A167" s="57" t="s">
        <v>1473</v>
      </c>
    </row>
    <row r="168" spans="1:17" x14ac:dyDescent="0.3">
      <c r="A168" s="875"/>
      <c r="B168" s="875"/>
      <c r="C168" s="958"/>
      <c r="D168" s="958">
        <v>2022</v>
      </c>
      <c r="E168" s="958">
        <v>2023</v>
      </c>
      <c r="F168" s="958">
        <v>2024</v>
      </c>
      <c r="G168" s="958">
        <v>2025</v>
      </c>
      <c r="H168" s="958">
        <v>2026</v>
      </c>
      <c r="I168" s="958">
        <v>2027</v>
      </c>
      <c r="J168" s="958">
        <v>2028</v>
      </c>
      <c r="K168" s="958">
        <v>2029</v>
      </c>
      <c r="L168" s="958">
        <v>2030</v>
      </c>
      <c r="M168" s="959">
        <v>2031</v>
      </c>
      <c r="N168" s="960" t="s">
        <v>1466</v>
      </c>
      <c r="O168" s="960" t="s">
        <v>1467</v>
      </c>
      <c r="Q168" s="64"/>
    </row>
    <row r="169" spans="1:17" x14ac:dyDescent="0.3">
      <c r="A169" s="876" t="s">
        <v>1468</v>
      </c>
      <c r="B169" s="876"/>
      <c r="C169" s="882"/>
      <c r="D169" s="882">
        <f t="shared" ref="D169:O169" si="9">D78/1000</f>
        <v>0</v>
      </c>
      <c r="E169" s="882">
        <f t="shared" si="9"/>
        <v>6.8000000000000005E-2</v>
      </c>
      <c r="F169" s="882">
        <f t="shared" si="9"/>
        <v>1.363</v>
      </c>
      <c r="G169" s="882">
        <f t="shared" si="9"/>
        <v>2.4329999999999998</v>
      </c>
      <c r="H169" s="882">
        <f t="shared" si="9"/>
        <v>2.8029999999999999</v>
      </c>
      <c r="I169" s="882">
        <f t="shared" si="9"/>
        <v>1.7410000000000001</v>
      </c>
      <c r="J169" s="882">
        <f t="shared" si="9"/>
        <v>0.56999999999999995</v>
      </c>
      <c r="K169" s="882">
        <f t="shared" si="9"/>
        <v>3.5000000000000003E-2</v>
      </c>
      <c r="L169" s="882">
        <f t="shared" si="9"/>
        <v>0</v>
      </c>
      <c r="M169" s="882">
        <f t="shared" si="9"/>
        <v>0</v>
      </c>
      <c r="N169" s="882">
        <f t="shared" si="9"/>
        <v>6.6669999999999998</v>
      </c>
      <c r="O169" s="882">
        <f t="shared" si="9"/>
        <v>9.0129999999999999</v>
      </c>
      <c r="Q169" s="64"/>
    </row>
    <row r="170" spans="1:17" x14ac:dyDescent="0.3">
      <c r="A170" s="876" t="s">
        <v>1469</v>
      </c>
      <c r="B170" s="876"/>
      <c r="C170" s="882"/>
      <c r="D170" s="882">
        <f t="shared" ref="D170:O170" si="10">(D77+D70)/1000</f>
        <v>0</v>
      </c>
      <c r="E170" s="882">
        <f t="shared" si="10"/>
        <v>0.81899999999999995</v>
      </c>
      <c r="F170" s="882">
        <f t="shared" si="10"/>
        <v>2.4780000000000002</v>
      </c>
      <c r="G170" s="882">
        <f t="shared" si="10"/>
        <v>4.0720000000000001</v>
      </c>
      <c r="H170" s="882">
        <f t="shared" si="10"/>
        <v>5.4480000000000004</v>
      </c>
      <c r="I170" s="882">
        <f t="shared" si="10"/>
        <v>4.8289999999999997</v>
      </c>
      <c r="J170" s="882">
        <f t="shared" si="10"/>
        <v>3.2949999999999999</v>
      </c>
      <c r="K170" s="882">
        <f t="shared" si="10"/>
        <v>1.98</v>
      </c>
      <c r="L170" s="882">
        <f t="shared" si="10"/>
        <v>1.01</v>
      </c>
      <c r="M170" s="882">
        <f t="shared" si="10"/>
        <v>0.40400000000000003</v>
      </c>
      <c r="N170" s="882">
        <f t="shared" si="10"/>
        <v>12.817</v>
      </c>
      <c r="O170" s="882">
        <f t="shared" si="10"/>
        <v>24.335000000000001</v>
      </c>
      <c r="Q170" s="64"/>
    </row>
    <row r="171" spans="1:17" x14ac:dyDescent="0.3">
      <c r="A171" s="876" t="s">
        <v>1470</v>
      </c>
      <c r="B171" s="876"/>
      <c r="C171" s="882"/>
      <c r="D171" s="882">
        <f t="shared" ref="D171:O171" si="11">(D69+D76)/1000</f>
        <v>0</v>
      </c>
      <c r="E171" s="882">
        <f t="shared" si="11"/>
        <v>4.5430000000000001</v>
      </c>
      <c r="F171" s="882">
        <f t="shared" si="11"/>
        <v>5.6079999999999997</v>
      </c>
      <c r="G171" s="882">
        <f t="shared" si="11"/>
        <v>8.16</v>
      </c>
      <c r="H171" s="882">
        <f t="shared" si="11"/>
        <v>10.069000000000001</v>
      </c>
      <c r="I171" s="882">
        <f t="shared" si="11"/>
        <v>12.026999999999999</v>
      </c>
      <c r="J171" s="882">
        <f t="shared" si="11"/>
        <v>13.826000000000001</v>
      </c>
      <c r="K171" s="882">
        <f t="shared" si="11"/>
        <v>15.862</v>
      </c>
      <c r="L171" s="882">
        <f t="shared" si="11"/>
        <v>17.890999999999998</v>
      </c>
      <c r="M171" s="882">
        <f t="shared" si="11"/>
        <v>17.481000000000002</v>
      </c>
      <c r="N171" s="882">
        <f t="shared" si="11"/>
        <v>28.38</v>
      </c>
      <c r="O171" s="882">
        <f t="shared" si="11"/>
        <v>105.467</v>
      </c>
      <c r="Q171" s="64"/>
    </row>
    <row r="172" spans="1:17" x14ac:dyDescent="0.3">
      <c r="A172" s="877" t="s">
        <v>52</v>
      </c>
      <c r="B172" s="877"/>
      <c r="C172" s="882"/>
      <c r="D172" s="882">
        <f t="shared" ref="D172:O172" si="12">(D79+D74)/1000</f>
        <v>0</v>
      </c>
      <c r="E172" s="882">
        <f t="shared" si="12"/>
        <v>1.2969999999999999</v>
      </c>
      <c r="F172" s="882">
        <f t="shared" si="12"/>
        <v>3.8479999999999999</v>
      </c>
      <c r="G172" s="882">
        <f t="shared" si="12"/>
        <v>6.4420000000000002</v>
      </c>
      <c r="H172" s="882">
        <f t="shared" si="12"/>
        <v>9.532</v>
      </c>
      <c r="I172" s="882">
        <f t="shared" si="12"/>
        <v>11.882</v>
      </c>
      <c r="J172" s="882">
        <f t="shared" si="12"/>
        <v>11.727</v>
      </c>
      <c r="K172" s="882">
        <f t="shared" si="12"/>
        <v>10.569000000000001</v>
      </c>
      <c r="L172" s="882">
        <f t="shared" si="12"/>
        <v>8.8879999999999999</v>
      </c>
      <c r="M172" s="882">
        <f t="shared" si="12"/>
        <v>7.1890000000000001</v>
      </c>
      <c r="N172" s="882">
        <f t="shared" si="12"/>
        <v>21.117000000000001</v>
      </c>
      <c r="O172" s="882">
        <f t="shared" si="12"/>
        <v>71.372</v>
      </c>
      <c r="Q172" s="64"/>
    </row>
    <row r="173" spans="1:17" x14ac:dyDescent="0.3">
      <c r="A173" s="878" t="s">
        <v>595</v>
      </c>
      <c r="B173" s="878"/>
      <c r="C173" s="882"/>
      <c r="D173" s="882"/>
      <c r="E173" s="882"/>
      <c r="F173" s="882"/>
      <c r="G173" s="882"/>
      <c r="H173" s="882"/>
      <c r="I173" s="882"/>
      <c r="J173" s="882"/>
      <c r="K173" s="882"/>
      <c r="L173" s="882"/>
      <c r="M173" s="882"/>
      <c r="N173" s="882"/>
      <c r="O173" s="882"/>
      <c r="Q173" s="64"/>
    </row>
    <row r="174" spans="1:17" x14ac:dyDescent="0.3">
      <c r="A174" s="879" t="s">
        <v>54</v>
      </c>
      <c r="B174" s="879"/>
      <c r="C174" s="882"/>
      <c r="D174" s="882">
        <f t="shared" ref="D174:O174" si="13">D71/1000</f>
        <v>0</v>
      </c>
      <c r="E174" s="882">
        <f t="shared" si="13"/>
        <v>0.11</v>
      </c>
      <c r="F174" s="882">
        <f t="shared" si="13"/>
        <v>0.73899999999999999</v>
      </c>
      <c r="G174" s="882">
        <f t="shared" si="13"/>
        <v>1.1950000000000001</v>
      </c>
      <c r="H174" s="882">
        <f t="shared" si="13"/>
        <v>1.4970000000000001</v>
      </c>
      <c r="I174" s="882">
        <f t="shared" si="13"/>
        <v>1.91</v>
      </c>
      <c r="J174" s="882">
        <f t="shared" si="13"/>
        <v>2.4049999999999998</v>
      </c>
      <c r="K174" s="882">
        <f t="shared" si="13"/>
        <v>2.9220000000000002</v>
      </c>
      <c r="L174" s="882">
        <f t="shared" si="13"/>
        <v>3.4630000000000001</v>
      </c>
      <c r="M174" s="882">
        <f t="shared" si="13"/>
        <v>4.0069999999999997</v>
      </c>
      <c r="N174" s="882">
        <f t="shared" si="13"/>
        <v>3.5409999999999999</v>
      </c>
      <c r="O174" s="882">
        <f t="shared" si="13"/>
        <v>18.248000000000001</v>
      </c>
      <c r="Q174" s="64"/>
    </row>
    <row r="175" spans="1:17" x14ac:dyDescent="0.3">
      <c r="A175" s="879" t="s">
        <v>1471</v>
      </c>
      <c r="B175" s="879"/>
      <c r="C175" s="882"/>
      <c r="D175" s="882">
        <f t="shared" ref="D175:O175" si="14">D72/1000</f>
        <v>0</v>
      </c>
      <c r="E175" s="882">
        <f t="shared" si="14"/>
        <v>-0.41499999999999998</v>
      </c>
      <c r="F175" s="882">
        <f t="shared" si="14"/>
        <v>2.7679999999999998</v>
      </c>
      <c r="G175" s="882">
        <f t="shared" si="14"/>
        <v>-12.473000000000001</v>
      </c>
      <c r="H175" s="882">
        <f t="shared" si="14"/>
        <v>-5.3739999999999997</v>
      </c>
      <c r="I175" s="882">
        <f t="shared" si="14"/>
        <v>-25.515000000000001</v>
      </c>
      <c r="J175" s="882">
        <f t="shared" si="14"/>
        <v>-43.975000000000001</v>
      </c>
      <c r="K175" s="882">
        <f t="shared" si="14"/>
        <v>-46.426000000000002</v>
      </c>
      <c r="L175" s="882">
        <f t="shared" si="14"/>
        <v>-56.228000000000002</v>
      </c>
      <c r="M175" s="882">
        <f t="shared" si="14"/>
        <v>-60.581000000000003</v>
      </c>
      <c r="N175" s="882">
        <f t="shared" si="14"/>
        <v>-15.494</v>
      </c>
      <c r="O175" s="882">
        <f t="shared" si="14"/>
        <v>-248.21899999999999</v>
      </c>
      <c r="Q175" s="64"/>
    </row>
    <row r="176" spans="1:17" x14ac:dyDescent="0.3">
      <c r="A176" s="880" t="s">
        <v>57</v>
      </c>
      <c r="B176" s="880"/>
      <c r="C176" s="882"/>
      <c r="D176" s="882">
        <f t="shared" ref="D176:O176" si="15">(D80+D73)/1000</f>
        <v>-0.622</v>
      </c>
      <c r="E176" s="882">
        <f t="shared" si="15"/>
        <v>21.89</v>
      </c>
      <c r="F176" s="882">
        <f t="shared" si="15"/>
        <v>15.439</v>
      </c>
      <c r="G176" s="882">
        <f t="shared" si="15"/>
        <v>16.966999999999999</v>
      </c>
      <c r="H176" s="882">
        <f t="shared" si="15"/>
        <v>0.72799999999999998</v>
      </c>
      <c r="I176" s="882">
        <f t="shared" si="15"/>
        <v>7.657</v>
      </c>
      <c r="J176" s="882">
        <f t="shared" si="15"/>
        <v>4.5590000000000002</v>
      </c>
      <c r="K176" s="882">
        <f t="shared" si="15"/>
        <v>2.4649999999999999</v>
      </c>
      <c r="L176" s="882">
        <f t="shared" si="15"/>
        <v>1.444</v>
      </c>
      <c r="M176" s="882">
        <f t="shared" si="15"/>
        <v>0.77300000000000002</v>
      </c>
      <c r="N176" s="882">
        <f t="shared" si="15"/>
        <v>54.402000000000001</v>
      </c>
      <c r="O176" s="882">
        <f t="shared" si="15"/>
        <v>71.3</v>
      </c>
      <c r="Q176" s="64"/>
    </row>
    <row r="177" spans="1:17" x14ac:dyDescent="0.3">
      <c r="A177" s="881" t="s">
        <v>1532</v>
      </c>
      <c r="B177" s="881"/>
      <c r="C177" s="882"/>
      <c r="D177" s="869">
        <f t="shared" ref="D177:O177" si="16">D84/1000</f>
        <v>0</v>
      </c>
      <c r="E177" s="869">
        <f t="shared" si="16"/>
        <v>-3.1549999999999998</v>
      </c>
      <c r="F177" s="869">
        <f t="shared" si="16"/>
        <v>-2.2309999999999999</v>
      </c>
      <c r="G177" s="869">
        <f t="shared" si="16"/>
        <v>-1.6080000000000001</v>
      </c>
      <c r="H177" s="869">
        <f t="shared" si="16"/>
        <v>-0.77</v>
      </c>
      <c r="I177" s="869">
        <f t="shared" si="16"/>
        <v>-0.98299999999999998</v>
      </c>
      <c r="J177" s="869">
        <f t="shared" si="16"/>
        <v>-1.2110000000000001</v>
      </c>
      <c r="K177" s="869">
        <f t="shared" si="16"/>
        <v>-1.4710000000000001</v>
      </c>
      <c r="L177" s="869">
        <f t="shared" si="16"/>
        <v>-1.81</v>
      </c>
      <c r="M177" s="869">
        <f t="shared" si="16"/>
        <v>-2.3250000000000002</v>
      </c>
      <c r="N177" s="869">
        <f t="shared" si="16"/>
        <v>-7.7670000000000003</v>
      </c>
      <c r="O177" s="869">
        <f t="shared" si="16"/>
        <v>-15.566000000000001</v>
      </c>
      <c r="Q177" s="64"/>
    </row>
    <row r="178" spans="1:17" x14ac:dyDescent="0.3">
      <c r="A178" s="881" t="s">
        <v>239</v>
      </c>
      <c r="B178" s="881"/>
      <c r="C178" s="882"/>
      <c r="D178" s="869">
        <f t="shared" ref="D178:O178" si="17">D85/1000</f>
        <v>0</v>
      </c>
      <c r="E178" s="869">
        <f t="shared" si="17"/>
        <v>0.45200000000000001</v>
      </c>
      <c r="F178" s="869">
        <f t="shared" si="17"/>
        <v>-8.67</v>
      </c>
      <c r="G178" s="869">
        <f t="shared" si="17"/>
        <v>-4.5270000000000001</v>
      </c>
      <c r="H178" s="869">
        <f t="shared" si="17"/>
        <v>-0.70499999999999996</v>
      </c>
      <c r="I178" s="869">
        <f t="shared" si="17"/>
        <v>15.813000000000001</v>
      </c>
      <c r="J178" s="869">
        <f t="shared" si="17"/>
        <v>20.372</v>
      </c>
      <c r="K178" s="869">
        <f t="shared" si="17"/>
        <v>24.847000000000001</v>
      </c>
      <c r="L178" s="869">
        <f t="shared" si="17"/>
        <v>28.113</v>
      </c>
      <c r="M178" s="869">
        <f t="shared" si="17"/>
        <v>24.777000000000001</v>
      </c>
      <c r="N178" s="869">
        <f t="shared" si="17"/>
        <v>-13.451000000000001</v>
      </c>
      <c r="O178" s="869">
        <f t="shared" si="17"/>
        <v>100.468</v>
      </c>
      <c r="Q178" s="64"/>
    </row>
    <row r="179" spans="1:17" x14ac:dyDescent="0.3">
      <c r="A179" s="881" t="s">
        <v>106</v>
      </c>
      <c r="B179" s="881"/>
      <c r="C179" s="882"/>
      <c r="D179" s="869">
        <f t="shared" ref="D179:O179" si="18">D83/1000</f>
        <v>0</v>
      </c>
      <c r="E179" s="869">
        <f t="shared" si="18"/>
        <v>35.317</v>
      </c>
      <c r="F179" s="869">
        <f t="shared" si="18"/>
        <v>36.033000000000001</v>
      </c>
      <c r="G179" s="869">
        <f t="shared" si="18"/>
        <v>21.076000000000001</v>
      </c>
      <c r="H179" s="869">
        <f t="shared" si="18"/>
        <v>13.346</v>
      </c>
      <c r="I179" s="869">
        <f t="shared" si="18"/>
        <v>27.507999999999999</v>
      </c>
      <c r="J179" s="869">
        <f t="shared" si="18"/>
        <v>35.85</v>
      </c>
      <c r="K179" s="869">
        <f t="shared" si="18"/>
        <v>18.64</v>
      </c>
      <c r="L179" s="869">
        <f t="shared" si="18"/>
        <v>8.3940000000000001</v>
      </c>
      <c r="M179" s="869">
        <f t="shared" si="18"/>
        <v>7.9820000000000002</v>
      </c>
      <c r="N179" s="869">
        <f t="shared" si="18"/>
        <v>105.76900000000001</v>
      </c>
      <c r="O179" s="869">
        <f t="shared" si="18"/>
        <v>204.14400000000001</v>
      </c>
      <c r="Q179" s="64"/>
    </row>
    <row r="182" spans="1:17" x14ac:dyDescent="0.3">
      <c r="A182" s="57" t="s">
        <v>1472</v>
      </c>
    </row>
    <row r="183" spans="1:17" x14ac:dyDescent="0.3">
      <c r="A183" s="875"/>
      <c r="B183" s="875"/>
      <c r="C183" s="875"/>
      <c r="D183" s="875" t="s">
        <v>183</v>
      </c>
      <c r="E183" s="875" t="s">
        <v>184</v>
      </c>
      <c r="F183" s="875" t="s">
        <v>185</v>
      </c>
      <c r="G183" s="875" t="s">
        <v>186</v>
      </c>
      <c r="H183" s="875" t="s">
        <v>187</v>
      </c>
      <c r="I183" s="875" t="s">
        <v>188</v>
      </c>
      <c r="J183" s="875" t="s">
        <v>189</v>
      </c>
      <c r="K183" s="875" t="s">
        <v>190</v>
      </c>
      <c r="L183" s="875" t="s">
        <v>191</v>
      </c>
      <c r="M183" s="875" t="s">
        <v>175</v>
      </c>
      <c r="N183" s="875" t="s">
        <v>176</v>
      </c>
      <c r="O183" s="875" t="s">
        <v>177</v>
      </c>
      <c r="Q183" s="64"/>
    </row>
    <row r="184" spans="1:17" x14ac:dyDescent="0.3">
      <c r="A184" s="876" t="s">
        <v>1468</v>
      </c>
      <c r="B184" s="876"/>
      <c r="C184" s="883"/>
      <c r="D184" s="883">
        <f t="shared" ref="D184:D191" si="19">D169</f>
        <v>0</v>
      </c>
      <c r="E184" s="883">
        <f>D184</f>
        <v>0</v>
      </c>
      <c r="F184" s="883">
        <f t="shared" ref="F184:F191" si="20">E169</f>
        <v>6.8000000000000005E-2</v>
      </c>
      <c r="G184" s="883">
        <f>F184</f>
        <v>6.8000000000000005E-2</v>
      </c>
      <c r="H184" s="883">
        <f>G184</f>
        <v>6.8000000000000005E-2</v>
      </c>
      <c r="I184" s="883">
        <f>H184</f>
        <v>6.8000000000000005E-2</v>
      </c>
      <c r="J184" s="883">
        <f t="shared" ref="J184:J191" si="21">F169</f>
        <v>1.363</v>
      </c>
      <c r="K184" s="883">
        <f t="shared" ref="K184:M191" si="22">J184</f>
        <v>1.363</v>
      </c>
      <c r="L184" s="883">
        <f t="shared" si="22"/>
        <v>1.363</v>
      </c>
      <c r="M184" s="883">
        <f>L184</f>
        <v>1.363</v>
      </c>
      <c r="N184" s="883">
        <f t="shared" ref="N184:N191" si="23">G169</f>
        <v>2.4329999999999998</v>
      </c>
      <c r="O184" s="883">
        <f>N184</f>
        <v>2.4329999999999998</v>
      </c>
      <c r="Q184" s="64"/>
    </row>
    <row r="185" spans="1:17" x14ac:dyDescent="0.3">
      <c r="A185" s="876" t="s">
        <v>1469</v>
      </c>
      <c r="B185" s="876"/>
      <c r="C185" s="883"/>
      <c r="D185" s="883">
        <f t="shared" si="19"/>
        <v>0</v>
      </c>
      <c r="E185" s="883">
        <f t="shared" ref="E185:E191" si="24">D185</f>
        <v>0</v>
      </c>
      <c r="F185" s="883">
        <f t="shared" si="20"/>
        <v>0.81899999999999995</v>
      </c>
      <c r="G185" s="883">
        <f t="shared" ref="G185:I191" si="25">F185</f>
        <v>0.81899999999999995</v>
      </c>
      <c r="H185" s="883">
        <f t="shared" si="25"/>
        <v>0.81899999999999995</v>
      </c>
      <c r="I185" s="883">
        <f t="shared" si="25"/>
        <v>0.81899999999999995</v>
      </c>
      <c r="J185" s="883">
        <f t="shared" si="21"/>
        <v>2.4780000000000002</v>
      </c>
      <c r="K185" s="883">
        <f t="shared" si="22"/>
        <v>2.4780000000000002</v>
      </c>
      <c r="L185" s="883">
        <f t="shared" si="22"/>
        <v>2.4780000000000002</v>
      </c>
      <c r="M185" s="883">
        <f t="shared" si="22"/>
        <v>2.4780000000000002</v>
      </c>
      <c r="N185" s="883">
        <f t="shared" si="23"/>
        <v>4.0720000000000001</v>
      </c>
      <c r="O185" s="883">
        <f t="shared" ref="O185:O191" si="26">N185</f>
        <v>4.0720000000000001</v>
      </c>
      <c r="Q185" s="64"/>
    </row>
    <row r="186" spans="1:17" x14ac:dyDescent="0.3">
      <c r="A186" s="876" t="s">
        <v>1470</v>
      </c>
      <c r="B186" s="876"/>
      <c r="C186" s="883"/>
      <c r="D186" s="883">
        <f t="shared" si="19"/>
        <v>0</v>
      </c>
      <c r="E186" s="883">
        <f t="shared" si="24"/>
        <v>0</v>
      </c>
      <c r="F186" s="883">
        <f t="shared" si="20"/>
        <v>4.5430000000000001</v>
      </c>
      <c r="G186" s="883">
        <f t="shared" si="25"/>
        <v>4.5430000000000001</v>
      </c>
      <c r="H186" s="883">
        <f t="shared" si="25"/>
        <v>4.5430000000000001</v>
      </c>
      <c r="I186" s="883">
        <f t="shared" si="25"/>
        <v>4.5430000000000001</v>
      </c>
      <c r="J186" s="883">
        <f t="shared" si="21"/>
        <v>5.6079999999999997</v>
      </c>
      <c r="K186" s="883">
        <f t="shared" si="22"/>
        <v>5.6079999999999997</v>
      </c>
      <c r="L186" s="883">
        <f t="shared" si="22"/>
        <v>5.6079999999999997</v>
      </c>
      <c r="M186" s="883">
        <f t="shared" si="22"/>
        <v>5.6079999999999997</v>
      </c>
      <c r="N186" s="883">
        <f t="shared" si="23"/>
        <v>8.16</v>
      </c>
      <c r="O186" s="883">
        <f t="shared" si="26"/>
        <v>8.16</v>
      </c>
      <c r="Q186" s="64"/>
    </row>
    <row r="187" spans="1:17" x14ac:dyDescent="0.3">
      <c r="A187" s="877" t="s">
        <v>52</v>
      </c>
      <c r="B187" s="877"/>
      <c r="C187" s="883"/>
      <c r="D187" s="883">
        <f t="shared" si="19"/>
        <v>0</v>
      </c>
      <c r="E187" s="883">
        <f t="shared" si="24"/>
        <v>0</v>
      </c>
      <c r="F187" s="883">
        <f t="shared" si="20"/>
        <v>1.2969999999999999</v>
      </c>
      <c r="G187" s="883">
        <f t="shared" si="25"/>
        <v>1.2969999999999999</v>
      </c>
      <c r="H187" s="883">
        <f t="shared" si="25"/>
        <v>1.2969999999999999</v>
      </c>
      <c r="I187" s="883">
        <f t="shared" si="25"/>
        <v>1.2969999999999999</v>
      </c>
      <c r="J187" s="883">
        <f t="shared" si="21"/>
        <v>3.8479999999999999</v>
      </c>
      <c r="K187" s="883">
        <f t="shared" si="22"/>
        <v>3.8479999999999999</v>
      </c>
      <c r="L187" s="883">
        <f t="shared" si="22"/>
        <v>3.8479999999999999</v>
      </c>
      <c r="M187" s="883">
        <f t="shared" si="22"/>
        <v>3.8479999999999999</v>
      </c>
      <c r="N187" s="883">
        <f t="shared" si="23"/>
        <v>6.4420000000000002</v>
      </c>
      <c r="O187" s="883">
        <f t="shared" si="26"/>
        <v>6.4420000000000002</v>
      </c>
      <c r="Q187" s="64"/>
    </row>
    <row r="188" spans="1:17" x14ac:dyDescent="0.3">
      <c r="A188" s="878" t="s">
        <v>595</v>
      </c>
      <c r="B188" s="878"/>
      <c r="C188" s="883"/>
      <c r="D188" s="883">
        <f t="shared" si="19"/>
        <v>0</v>
      </c>
      <c r="E188" s="883">
        <f t="shared" si="24"/>
        <v>0</v>
      </c>
      <c r="F188" s="883">
        <f t="shared" si="20"/>
        <v>0</v>
      </c>
      <c r="G188" s="883">
        <f t="shared" si="25"/>
        <v>0</v>
      </c>
      <c r="H188" s="883">
        <f t="shared" si="25"/>
        <v>0</v>
      </c>
      <c r="I188" s="883">
        <f t="shared" si="25"/>
        <v>0</v>
      </c>
      <c r="J188" s="883">
        <f t="shared" si="21"/>
        <v>0</v>
      </c>
      <c r="K188" s="883">
        <f t="shared" si="22"/>
        <v>0</v>
      </c>
      <c r="L188" s="883">
        <f t="shared" si="22"/>
        <v>0</v>
      </c>
      <c r="M188" s="883">
        <f t="shared" si="22"/>
        <v>0</v>
      </c>
      <c r="N188" s="883">
        <f t="shared" si="23"/>
        <v>0</v>
      </c>
      <c r="O188" s="883">
        <f t="shared" si="26"/>
        <v>0</v>
      </c>
      <c r="Q188" s="64"/>
    </row>
    <row r="189" spans="1:17" x14ac:dyDescent="0.3">
      <c r="A189" s="879" t="s">
        <v>54</v>
      </c>
      <c r="B189" s="879"/>
      <c r="C189" s="883"/>
      <c r="D189" s="883">
        <f t="shared" si="19"/>
        <v>0</v>
      </c>
      <c r="E189" s="883">
        <f t="shared" si="24"/>
        <v>0</v>
      </c>
      <c r="F189" s="883">
        <f t="shared" si="20"/>
        <v>0.11</v>
      </c>
      <c r="G189" s="883">
        <f t="shared" si="25"/>
        <v>0.11</v>
      </c>
      <c r="H189" s="883">
        <f t="shared" si="25"/>
        <v>0.11</v>
      </c>
      <c r="I189" s="883">
        <f t="shared" si="25"/>
        <v>0.11</v>
      </c>
      <c r="J189" s="883">
        <f t="shared" si="21"/>
        <v>0.73899999999999999</v>
      </c>
      <c r="K189" s="883">
        <f t="shared" si="22"/>
        <v>0.73899999999999999</v>
      </c>
      <c r="L189" s="883">
        <f t="shared" si="22"/>
        <v>0.73899999999999999</v>
      </c>
      <c r="M189" s="883">
        <f t="shared" si="22"/>
        <v>0.73899999999999999</v>
      </c>
      <c r="N189" s="883">
        <f t="shared" si="23"/>
        <v>1.1950000000000001</v>
      </c>
      <c r="O189" s="883">
        <f t="shared" si="26"/>
        <v>1.1950000000000001</v>
      </c>
      <c r="Q189" s="64"/>
    </row>
    <row r="190" spans="1:17" x14ac:dyDescent="0.3">
      <c r="A190" s="879" t="s">
        <v>1471</v>
      </c>
      <c r="B190" s="879"/>
      <c r="C190" s="883"/>
      <c r="D190" s="883">
        <f t="shared" si="19"/>
        <v>0</v>
      </c>
      <c r="E190" s="883">
        <f t="shared" si="24"/>
        <v>0</v>
      </c>
      <c r="F190" s="883">
        <f t="shared" si="20"/>
        <v>-0.41499999999999998</v>
      </c>
      <c r="G190" s="883">
        <f t="shared" si="25"/>
        <v>-0.41499999999999998</v>
      </c>
      <c r="H190" s="883">
        <f t="shared" si="25"/>
        <v>-0.41499999999999998</v>
      </c>
      <c r="I190" s="883">
        <f t="shared" si="25"/>
        <v>-0.41499999999999998</v>
      </c>
      <c r="J190" s="883">
        <f t="shared" si="21"/>
        <v>2.7679999999999998</v>
      </c>
      <c r="K190" s="883">
        <f t="shared" si="22"/>
        <v>2.7679999999999998</v>
      </c>
      <c r="L190" s="883">
        <f t="shared" si="22"/>
        <v>2.7679999999999998</v>
      </c>
      <c r="M190" s="883">
        <f t="shared" si="22"/>
        <v>2.7679999999999998</v>
      </c>
      <c r="N190" s="883">
        <f t="shared" si="23"/>
        <v>-12.473000000000001</v>
      </c>
      <c r="O190" s="883">
        <f t="shared" si="26"/>
        <v>-12.473000000000001</v>
      </c>
      <c r="Q190" s="64"/>
    </row>
    <row r="191" spans="1:17" x14ac:dyDescent="0.3">
      <c r="A191" s="880" t="s">
        <v>57</v>
      </c>
      <c r="B191" s="880"/>
      <c r="C191" s="883"/>
      <c r="D191" s="883">
        <f t="shared" si="19"/>
        <v>-0.622</v>
      </c>
      <c r="E191" s="883">
        <f t="shared" si="24"/>
        <v>-0.622</v>
      </c>
      <c r="F191" s="883">
        <f t="shared" si="20"/>
        <v>21.89</v>
      </c>
      <c r="G191" s="883">
        <f t="shared" si="25"/>
        <v>21.89</v>
      </c>
      <c r="H191" s="883">
        <f t="shared" si="25"/>
        <v>21.89</v>
      </c>
      <c r="I191" s="883">
        <f t="shared" si="25"/>
        <v>21.89</v>
      </c>
      <c r="J191" s="883">
        <f t="shared" si="21"/>
        <v>15.439</v>
      </c>
      <c r="K191" s="883">
        <f t="shared" si="22"/>
        <v>15.439</v>
      </c>
      <c r="L191" s="883">
        <f t="shared" si="22"/>
        <v>15.439</v>
      </c>
      <c r="M191" s="883">
        <f t="shared" si="22"/>
        <v>15.439</v>
      </c>
      <c r="N191" s="883">
        <f t="shared" si="23"/>
        <v>16.966999999999999</v>
      </c>
      <c r="O191" s="883">
        <f t="shared" si="26"/>
        <v>16.966999999999999</v>
      </c>
      <c r="Q191" s="64"/>
    </row>
    <row r="192" spans="1:17" x14ac:dyDescent="0.3">
      <c r="A192" s="881" t="s">
        <v>548</v>
      </c>
      <c r="B192" s="881"/>
      <c r="C192" s="883"/>
      <c r="D192" s="869">
        <f t="shared" ref="D192:D194" si="27">D177</f>
        <v>0</v>
      </c>
      <c r="E192" s="869">
        <f t="shared" ref="E192:E194" si="28">D192</f>
        <v>0</v>
      </c>
      <c r="F192" s="869">
        <f t="shared" ref="F192:F194" si="29">E177</f>
        <v>-3.1549999999999998</v>
      </c>
      <c r="G192" s="869">
        <f t="shared" ref="G192:G194" si="30">F192</f>
        <v>-3.1549999999999998</v>
      </c>
      <c r="H192" s="869">
        <f t="shared" ref="H192:H194" si="31">G192</f>
        <v>-3.1549999999999998</v>
      </c>
      <c r="I192" s="869">
        <f t="shared" ref="I192:I194" si="32">H192</f>
        <v>-3.1549999999999998</v>
      </c>
      <c r="J192" s="869">
        <f t="shared" ref="J192:J194" si="33">F177</f>
        <v>-2.2309999999999999</v>
      </c>
      <c r="K192" s="869">
        <f t="shared" ref="K192:K194" si="34">J192</f>
        <v>-2.2309999999999999</v>
      </c>
      <c r="L192" s="869">
        <f t="shared" ref="L192:L194" si="35">K192</f>
        <v>-2.2309999999999999</v>
      </c>
      <c r="M192" s="869">
        <f t="shared" ref="M192:M194" si="36">L192</f>
        <v>-2.2309999999999999</v>
      </c>
      <c r="N192" s="869">
        <f t="shared" ref="N192:N194" si="37">G177</f>
        <v>-1.6080000000000001</v>
      </c>
      <c r="O192" s="869">
        <f t="shared" ref="O192:O194" si="38">N192</f>
        <v>-1.6080000000000001</v>
      </c>
      <c r="Q192" s="64"/>
    </row>
    <row r="193" spans="1:17" x14ac:dyDescent="0.3">
      <c r="A193" s="881" t="s">
        <v>546</v>
      </c>
      <c r="B193" s="881"/>
      <c r="C193" s="883"/>
      <c r="D193" s="869">
        <f t="shared" si="27"/>
        <v>0</v>
      </c>
      <c r="E193" s="869">
        <f t="shared" si="28"/>
        <v>0</v>
      </c>
      <c r="F193" s="869">
        <f t="shared" si="29"/>
        <v>0.45200000000000001</v>
      </c>
      <c r="G193" s="869">
        <f t="shared" si="30"/>
        <v>0.45200000000000001</v>
      </c>
      <c r="H193" s="869">
        <f t="shared" si="31"/>
        <v>0.45200000000000001</v>
      </c>
      <c r="I193" s="869">
        <f t="shared" si="32"/>
        <v>0.45200000000000001</v>
      </c>
      <c r="J193" s="869">
        <f t="shared" si="33"/>
        <v>-8.67</v>
      </c>
      <c r="K193" s="869">
        <f t="shared" si="34"/>
        <v>-8.67</v>
      </c>
      <c r="L193" s="869">
        <f t="shared" si="35"/>
        <v>-8.67</v>
      </c>
      <c r="M193" s="869">
        <f t="shared" si="36"/>
        <v>-8.67</v>
      </c>
      <c r="N193" s="869">
        <f t="shared" si="37"/>
        <v>-4.5270000000000001</v>
      </c>
      <c r="O193" s="869">
        <f t="shared" si="38"/>
        <v>-4.5270000000000001</v>
      </c>
      <c r="Q193" s="64"/>
    </row>
    <row r="194" spans="1:17" x14ac:dyDescent="0.3">
      <c r="A194" s="881" t="s">
        <v>106</v>
      </c>
      <c r="B194" s="881"/>
      <c r="C194" s="883"/>
      <c r="D194" s="869">
        <f t="shared" si="27"/>
        <v>0</v>
      </c>
      <c r="E194" s="869">
        <f t="shared" si="28"/>
        <v>0</v>
      </c>
      <c r="F194" s="869">
        <f t="shared" si="29"/>
        <v>35.317</v>
      </c>
      <c r="G194" s="869">
        <f t="shared" si="30"/>
        <v>35.317</v>
      </c>
      <c r="H194" s="869">
        <f t="shared" si="31"/>
        <v>35.317</v>
      </c>
      <c r="I194" s="869">
        <f t="shared" si="32"/>
        <v>35.317</v>
      </c>
      <c r="J194" s="869">
        <f t="shared" si="33"/>
        <v>36.033000000000001</v>
      </c>
      <c r="K194" s="869">
        <f t="shared" si="34"/>
        <v>36.033000000000001</v>
      </c>
      <c r="L194" s="869">
        <f t="shared" si="35"/>
        <v>36.033000000000001</v>
      </c>
      <c r="M194" s="869">
        <f t="shared" si="36"/>
        <v>36.033000000000001</v>
      </c>
      <c r="N194" s="869">
        <f t="shared" si="37"/>
        <v>21.076000000000001</v>
      </c>
      <c r="O194" s="869">
        <f t="shared" si="38"/>
        <v>21.076000000000001</v>
      </c>
      <c r="Q194" s="64"/>
    </row>
    <row r="197" spans="1:17" x14ac:dyDescent="0.3">
      <c r="A197" s="57" t="s">
        <v>1474</v>
      </c>
    </row>
    <row r="198" spans="1:17" x14ac:dyDescent="0.3">
      <c r="A198" s="877" t="s">
        <v>52</v>
      </c>
      <c r="D198" s="884">
        <v>0</v>
      </c>
      <c r="E198" s="884">
        <v>0</v>
      </c>
      <c r="F198" s="884">
        <v>2.3250000000000002</v>
      </c>
      <c r="G198" s="884">
        <v>2.3250000000000002</v>
      </c>
      <c r="H198" s="884">
        <v>2.3250000000000002</v>
      </c>
      <c r="I198" s="884">
        <v>2.3250000000000002</v>
      </c>
      <c r="J198" s="884">
        <v>5.5830000000000002</v>
      </c>
      <c r="K198" s="884">
        <v>5.5830000000000002</v>
      </c>
      <c r="L198" s="884">
        <v>5.5830000000000002</v>
      </c>
      <c r="M198" s="884">
        <v>5.5830000000000002</v>
      </c>
      <c r="N198" s="884">
        <v>8.0220000000000002</v>
      </c>
      <c r="O198" s="884">
        <v>8.0220000000000002</v>
      </c>
    </row>
  </sheetData>
  <mergeCells count="5">
    <mergeCell ref="C2:O2"/>
    <mergeCell ref="C42:O42"/>
    <mergeCell ref="C68:O68"/>
    <mergeCell ref="C75:O75"/>
    <mergeCell ref="C82:O82"/>
  </mergeCells>
  <hyperlinks>
    <hyperlink ref="P157" r:id="rId1" xr:uid="{00000000-0004-0000-1800-000000000000}"/>
    <hyperlink ref="P115" r:id="rId2" xr:uid="{00000000-0004-0000-1800-000001000000}"/>
    <hyperlink ref="P153" r:id="rId3" location=":~:text=Who%20is%20eligible%20for%20Conservation,resource%20concerns%20when%20they%20apply." xr:uid="{00000000-0004-0000-1800-000002000000}"/>
    <hyperlink ref="A1" r:id="rId4" xr:uid="{00000000-0004-0000-1800-000003000000}"/>
  </hyperlinks>
  <pageMargins left="0.7" right="0.7" top="0.75" bottom="0.75" header="0.3" footer="0.3"/>
  <pageSetup orientation="portrait" horizontalDpi="1200" verticalDpi="12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50"/>
  <sheetViews>
    <sheetView workbookViewId="0">
      <selection activeCell="E6" sqref="E6"/>
    </sheetView>
  </sheetViews>
  <sheetFormatPr defaultColWidth="11.5546875" defaultRowHeight="14.4" x14ac:dyDescent="0.3"/>
  <cols>
    <col min="1" max="1" width="77.77734375" customWidth="1"/>
    <col min="2" max="2" width="21" customWidth="1"/>
    <col min="5" max="5" width="37.44140625" customWidth="1"/>
    <col min="6" max="6" width="16" customWidth="1"/>
  </cols>
  <sheetData>
    <row r="1" spans="1:6" x14ac:dyDescent="0.3">
      <c r="A1" s="154" t="s">
        <v>621</v>
      </c>
    </row>
    <row r="2" spans="1:6" ht="20.55" customHeight="1" x14ac:dyDescent="0.35">
      <c r="A2" s="973" t="s">
        <v>622</v>
      </c>
      <c r="B2" s="973" t="s">
        <v>623</v>
      </c>
      <c r="C2" s="973" t="s">
        <v>624</v>
      </c>
      <c r="D2" s="973" t="s">
        <v>625</v>
      </c>
    </row>
    <row r="3" spans="1:6" x14ac:dyDescent="0.3">
      <c r="A3" s="974" t="s">
        <v>626</v>
      </c>
      <c r="B3" s="861">
        <f>SUM(B4:B7)</f>
        <v>325</v>
      </c>
      <c r="E3" s="1280" t="s">
        <v>627</v>
      </c>
      <c r="F3" s="1280"/>
    </row>
    <row r="4" spans="1:6" x14ac:dyDescent="0.3">
      <c r="A4" s="843" t="s">
        <v>628</v>
      </c>
      <c r="B4" s="861">
        <v>284</v>
      </c>
      <c r="E4" s="179" t="s">
        <v>51</v>
      </c>
      <c r="F4" s="179" t="s">
        <v>629</v>
      </c>
    </row>
    <row r="5" spans="1:6" x14ac:dyDescent="0.3">
      <c r="A5" s="843" t="s">
        <v>475</v>
      </c>
      <c r="B5" s="861">
        <v>20</v>
      </c>
      <c r="E5" s="154" t="s">
        <v>150</v>
      </c>
      <c r="F5" s="154">
        <f>SUM(B11:B16)</f>
        <v>82</v>
      </c>
    </row>
    <row r="6" spans="1:6" x14ac:dyDescent="0.3">
      <c r="A6" s="843" t="s">
        <v>482</v>
      </c>
      <c r="B6" s="861">
        <v>15</v>
      </c>
      <c r="E6" s="154" t="s">
        <v>49</v>
      </c>
      <c r="F6" s="154">
        <f>B23</f>
        <v>3</v>
      </c>
    </row>
    <row r="7" spans="1:6" x14ac:dyDescent="0.3">
      <c r="A7" s="843" t="s">
        <v>483</v>
      </c>
      <c r="B7" s="861">
        <v>6</v>
      </c>
      <c r="E7" s="154" t="s">
        <v>391</v>
      </c>
      <c r="F7" s="154">
        <f>B27-B28</f>
        <v>29</v>
      </c>
    </row>
    <row r="8" spans="1:6" x14ac:dyDescent="0.3">
      <c r="A8" s="179" t="s">
        <v>630</v>
      </c>
      <c r="B8" s="861">
        <v>121</v>
      </c>
      <c r="E8" s="154" t="s">
        <v>408</v>
      </c>
      <c r="F8" s="154">
        <f>B42</f>
        <v>2</v>
      </c>
    </row>
    <row r="9" spans="1:6" x14ac:dyDescent="0.3">
      <c r="A9" s="975" t="s">
        <v>631</v>
      </c>
      <c r="B9" s="861">
        <v>166</v>
      </c>
      <c r="E9" s="154" t="s">
        <v>632</v>
      </c>
      <c r="F9" s="154">
        <f>B18+B20+B21</f>
        <v>34</v>
      </c>
    </row>
    <row r="10" spans="1:6" x14ac:dyDescent="0.3">
      <c r="A10" s="972" t="s">
        <v>633</v>
      </c>
      <c r="B10" s="861">
        <v>82</v>
      </c>
      <c r="E10" s="179" t="s">
        <v>634</v>
      </c>
      <c r="F10" s="179" t="s">
        <v>635</v>
      </c>
    </row>
    <row r="11" spans="1:6" x14ac:dyDescent="0.3">
      <c r="A11" s="843" t="s">
        <v>636</v>
      </c>
      <c r="B11" s="861">
        <v>54</v>
      </c>
      <c r="E11" s="154" t="s">
        <v>364</v>
      </c>
      <c r="F11" s="154">
        <f>B4</f>
        <v>284</v>
      </c>
    </row>
    <row r="12" spans="1:6" x14ac:dyDescent="0.3">
      <c r="A12" s="843" t="s">
        <v>637</v>
      </c>
      <c r="B12" s="861">
        <v>20</v>
      </c>
      <c r="E12" s="154" t="s">
        <v>638</v>
      </c>
      <c r="F12" s="154">
        <f>B5</f>
        <v>20</v>
      </c>
    </row>
    <row r="13" spans="1:6" x14ac:dyDescent="0.3">
      <c r="A13" s="843" t="s">
        <v>639</v>
      </c>
      <c r="B13" s="861">
        <v>4</v>
      </c>
      <c r="E13" s="154" t="s">
        <v>482</v>
      </c>
      <c r="F13" s="154">
        <f>B6</f>
        <v>15</v>
      </c>
    </row>
    <row r="14" spans="1:6" ht="27.6" customHeight="1" x14ac:dyDescent="0.3">
      <c r="A14" s="843" t="s">
        <v>640</v>
      </c>
      <c r="B14" s="861">
        <v>2</v>
      </c>
      <c r="E14" s="176" t="s">
        <v>483</v>
      </c>
      <c r="F14" s="154">
        <f>B7</f>
        <v>6</v>
      </c>
    </row>
    <row r="15" spans="1:6" ht="27.6" customHeight="1" x14ac:dyDescent="0.3">
      <c r="A15" s="843" t="s">
        <v>641</v>
      </c>
      <c r="B15" s="861">
        <v>1</v>
      </c>
      <c r="E15" s="176" t="s">
        <v>642</v>
      </c>
      <c r="F15" s="154">
        <f>B28</f>
        <v>15</v>
      </c>
    </row>
    <row r="16" spans="1:6" x14ac:dyDescent="0.3">
      <c r="A16" s="843" t="s">
        <v>643</v>
      </c>
      <c r="B16" s="861">
        <v>1</v>
      </c>
      <c r="E16" s="154" t="s">
        <v>644</v>
      </c>
      <c r="F16" s="154">
        <f>B37</f>
        <v>12</v>
      </c>
    </row>
    <row r="17" spans="1:6" x14ac:dyDescent="0.3">
      <c r="A17" s="179" t="s">
        <v>645</v>
      </c>
      <c r="B17" s="861">
        <v>72</v>
      </c>
      <c r="E17" s="154" t="s">
        <v>646</v>
      </c>
      <c r="F17" s="154">
        <f>B38</f>
        <v>10</v>
      </c>
    </row>
    <row r="18" spans="1:6" x14ac:dyDescent="0.3">
      <c r="A18" s="843" t="s">
        <v>647</v>
      </c>
      <c r="B18" s="861">
        <v>22</v>
      </c>
      <c r="C18" s="154" t="s">
        <v>648</v>
      </c>
    </row>
    <row r="19" spans="1:6" x14ac:dyDescent="0.3">
      <c r="A19" s="843" t="s">
        <v>649</v>
      </c>
      <c r="B19" s="861">
        <v>20</v>
      </c>
      <c r="C19" s="154" t="s">
        <v>109</v>
      </c>
    </row>
    <row r="20" spans="1:6" x14ac:dyDescent="0.3">
      <c r="A20" s="843" t="s">
        <v>650</v>
      </c>
      <c r="B20" s="861">
        <v>8</v>
      </c>
      <c r="C20" s="154" t="s">
        <v>648</v>
      </c>
    </row>
    <row r="21" spans="1:6" x14ac:dyDescent="0.3">
      <c r="A21" s="843" t="s">
        <v>651</v>
      </c>
      <c r="B21" s="861">
        <v>4</v>
      </c>
      <c r="C21" s="154" t="s">
        <v>51</v>
      </c>
    </row>
    <row r="22" spans="1:6" x14ac:dyDescent="0.3">
      <c r="A22" s="843" t="s">
        <v>652</v>
      </c>
      <c r="B22" s="861">
        <v>4</v>
      </c>
      <c r="C22" s="154" t="s">
        <v>109</v>
      </c>
    </row>
    <row r="23" spans="1:6" x14ac:dyDescent="0.3">
      <c r="A23" s="843" t="s">
        <v>653</v>
      </c>
      <c r="B23" s="861">
        <v>3</v>
      </c>
      <c r="C23" s="154" t="s">
        <v>654</v>
      </c>
    </row>
    <row r="24" spans="1:6" x14ac:dyDescent="0.3">
      <c r="A24" s="843" t="s">
        <v>655</v>
      </c>
      <c r="B24" s="861">
        <v>3</v>
      </c>
      <c r="C24" s="154" t="s">
        <v>656</v>
      </c>
    </row>
    <row r="25" spans="1:6" x14ac:dyDescent="0.3">
      <c r="A25" s="976" t="s">
        <v>657</v>
      </c>
      <c r="B25" s="861">
        <v>3</v>
      </c>
      <c r="C25" s="154" t="s">
        <v>55</v>
      </c>
    </row>
    <row r="26" spans="1:6" x14ac:dyDescent="0.3">
      <c r="A26" s="843" t="s">
        <v>658</v>
      </c>
      <c r="B26" s="861">
        <v>4</v>
      </c>
      <c r="C26" s="154" t="s">
        <v>659</v>
      </c>
    </row>
    <row r="27" spans="1:6" x14ac:dyDescent="0.3">
      <c r="A27" s="179" t="s">
        <v>391</v>
      </c>
      <c r="B27" s="861">
        <v>44</v>
      </c>
    </row>
    <row r="28" spans="1:6" x14ac:dyDescent="0.3">
      <c r="A28" s="969" t="s">
        <v>642</v>
      </c>
      <c r="B28" s="970">
        <v>15</v>
      </c>
    </row>
    <row r="29" spans="1:6" x14ac:dyDescent="0.3">
      <c r="A29" s="843" t="s">
        <v>660</v>
      </c>
      <c r="B29" s="861">
        <v>14</v>
      </c>
    </row>
    <row r="30" spans="1:6" x14ac:dyDescent="0.3">
      <c r="A30" s="843" t="s">
        <v>661</v>
      </c>
      <c r="B30" s="861">
        <v>10</v>
      </c>
    </row>
    <row r="31" spans="1:6" x14ac:dyDescent="0.3">
      <c r="A31" s="843" t="s">
        <v>662</v>
      </c>
      <c r="B31" s="861">
        <v>2</v>
      </c>
    </row>
    <row r="32" spans="1:6" x14ac:dyDescent="0.3">
      <c r="A32" s="843" t="s">
        <v>663</v>
      </c>
      <c r="B32" s="861">
        <v>2</v>
      </c>
    </row>
    <row r="33" spans="1:6" x14ac:dyDescent="0.3">
      <c r="A33" s="843" t="s">
        <v>664</v>
      </c>
      <c r="B33" s="861">
        <v>1</v>
      </c>
    </row>
    <row r="34" spans="1:6" x14ac:dyDescent="0.3">
      <c r="A34" s="179" t="s">
        <v>665</v>
      </c>
      <c r="B34" s="861">
        <v>88</v>
      </c>
    </row>
    <row r="35" spans="1:6" x14ac:dyDescent="0.3">
      <c r="A35" s="976" t="s">
        <v>666</v>
      </c>
      <c r="B35" s="861">
        <v>26</v>
      </c>
    </row>
    <row r="36" spans="1:6" x14ac:dyDescent="0.3">
      <c r="A36" s="843" t="s">
        <v>667</v>
      </c>
      <c r="B36" s="861">
        <v>25</v>
      </c>
    </row>
    <row r="37" spans="1:6" x14ac:dyDescent="0.3">
      <c r="A37" s="843" t="s">
        <v>644</v>
      </c>
      <c r="B37" s="861">
        <v>12</v>
      </c>
      <c r="C37" s="154" t="s">
        <v>668</v>
      </c>
      <c r="E37" s="154" t="s">
        <v>669</v>
      </c>
      <c r="F37" s="154" t="s">
        <v>670</v>
      </c>
    </row>
    <row r="38" spans="1:6" x14ac:dyDescent="0.3">
      <c r="A38" s="843" t="s">
        <v>646</v>
      </c>
      <c r="B38" s="861">
        <v>10</v>
      </c>
      <c r="C38" s="154" t="s">
        <v>668</v>
      </c>
      <c r="E38" s="154" t="s">
        <v>671</v>
      </c>
      <c r="F38" s="154" t="s">
        <v>672</v>
      </c>
    </row>
    <row r="39" spans="1:6" x14ac:dyDescent="0.3">
      <c r="A39" s="843" t="s">
        <v>673</v>
      </c>
      <c r="B39" s="861">
        <v>7</v>
      </c>
      <c r="C39" s="154" t="s">
        <v>659</v>
      </c>
      <c r="E39" s="154" t="s">
        <v>674</v>
      </c>
      <c r="F39" s="154" t="s">
        <v>675</v>
      </c>
    </row>
    <row r="40" spans="1:6" x14ac:dyDescent="0.3">
      <c r="A40" s="843" t="s">
        <v>676</v>
      </c>
      <c r="B40" s="861">
        <v>5</v>
      </c>
      <c r="C40" s="154" t="s">
        <v>109</v>
      </c>
      <c r="E40" s="154" t="s">
        <v>677</v>
      </c>
    </row>
    <row r="41" spans="1:6" x14ac:dyDescent="0.3">
      <c r="A41" s="843" t="s">
        <v>678</v>
      </c>
      <c r="B41" s="861">
        <v>2</v>
      </c>
      <c r="C41" s="154" t="s">
        <v>659</v>
      </c>
      <c r="E41" s="154" t="s">
        <v>679</v>
      </c>
    </row>
    <row r="42" spans="1:6" x14ac:dyDescent="0.3">
      <c r="A42" s="843" t="s">
        <v>680</v>
      </c>
      <c r="B42" s="861">
        <v>2</v>
      </c>
      <c r="C42" s="154" t="s">
        <v>648</v>
      </c>
      <c r="E42" s="971" t="s">
        <v>681</v>
      </c>
    </row>
    <row r="43" spans="1:6" x14ac:dyDescent="0.3">
      <c r="A43" s="843" t="s">
        <v>682</v>
      </c>
      <c r="B43" s="861">
        <v>0</v>
      </c>
      <c r="E43" s="154" t="s">
        <v>683</v>
      </c>
    </row>
    <row r="44" spans="1:6" x14ac:dyDescent="0.3">
      <c r="A44" s="179" t="s">
        <v>684</v>
      </c>
      <c r="B44" s="861">
        <v>40</v>
      </c>
    </row>
    <row r="45" spans="1:6" x14ac:dyDescent="0.3">
      <c r="A45" s="976" t="s">
        <v>685</v>
      </c>
      <c r="B45" s="977">
        <v>21</v>
      </c>
    </row>
    <row r="46" spans="1:6" x14ac:dyDescent="0.3">
      <c r="A46" s="843" t="s">
        <v>686</v>
      </c>
      <c r="B46" s="861">
        <v>6</v>
      </c>
    </row>
    <row r="47" spans="1:6" x14ac:dyDescent="0.3">
      <c r="A47" s="976" t="s">
        <v>687</v>
      </c>
      <c r="B47" s="977">
        <v>4</v>
      </c>
    </row>
    <row r="48" spans="1:6" x14ac:dyDescent="0.3">
      <c r="A48" s="843" t="s">
        <v>688</v>
      </c>
      <c r="B48" s="861">
        <v>4</v>
      </c>
    </row>
    <row r="49" spans="1:2" x14ac:dyDescent="0.3">
      <c r="A49" s="976" t="s">
        <v>689</v>
      </c>
      <c r="B49" s="977">
        <v>3</v>
      </c>
    </row>
    <row r="50" spans="1:2" x14ac:dyDescent="0.3">
      <c r="A50" s="843" t="s">
        <v>690</v>
      </c>
      <c r="B50" s="861">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J502"/>
  <sheetViews>
    <sheetView zoomScale="105" zoomScaleNormal="90" workbookViewId="0">
      <selection activeCell="G7" sqref="G7"/>
    </sheetView>
  </sheetViews>
  <sheetFormatPr defaultColWidth="11.5546875" defaultRowHeight="14.4" x14ac:dyDescent="0.3"/>
  <cols>
    <col min="1" max="1" width="6.44140625" customWidth="1"/>
    <col min="2" max="2" width="8.21875" customWidth="1"/>
    <col min="4" max="4" width="7.21875" customWidth="1"/>
    <col min="5" max="5" width="8.77734375" customWidth="1"/>
    <col min="7" max="7" width="8.21875" customWidth="1"/>
    <col min="8" max="8" width="7.21875" customWidth="1"/>
    <col min="10" max="10" width="8.44140625" customWidth="1"/>
    <col min="12" max="13" width="8.44140625" customWidth="1"/>
    <col min="14" max="14" width="7.44140625" customWidth="1"/>
    <col min="15" max="62" width="8.44140625" customWidth="1"/>
  </cols>
  <sheetData>
    <row r="1" spans="1:62" x14ac:dyDescent="0.3">
      <c r="A1" s="37" t="s">
        <v>901</v>
      </c>
      <c r="I1" s="1281"/>
      <c r="J1" s="1281"/>
      <c r="K1" s="1281"/>
    </row>
    <row r="2" spans="1:62" ht="13.2" customHeight="1" x14ac:dyDescent="0.3">
      <c r="A2" s="1003"/>
      <c r="O2" s="983" t="s">
        <v>862</v>
      </c>
      <c r="P2" s="1287" t="s">
        <v>691</v>
      </c>
      <c r="Q2" s="1287"/>
      <c r="R2" s="1287"/>
      <c r="S2" s="1287"/>
      <c r="T2" s="1011"/>
      <c r="U2" s="1011"/>
      <c r="V2" s="1011"/>
      <c r="W2" s="1011"/>
      <c r="X2" s="1011"/>
      <c r="Y2" s="1282" t="s">
        <v>692</v>
      </c>
      <c r="Z2" s="1283"/>
      <c r="AA2" s="1283"/>
      <c r="AB2" s="1283"/>
      <c r="AC2" s="1283"/>
      <c r="AD2" s="1283"/>
      <c r="AE2" s="1011"/>
      <c r="AF2" s="1011"/>
      <c r="AG2" s="1284" t="s">
        <v>693</v>
      </c>
      <c r="AH2" s="1283"/>
      <c r="AI2" s="1283"/>
      <c r="AJ2" s="1286" t="s">
        <v>694</v>
      </c>
      <c r="AK2" s="1286"/>
      <c r="AL2" s="1286"/>
      <c r="AM2" s="1286"/>
      <c r="AN2" s="1286"/>
      <c r="AO2" s="1286"/>
      <c r="AP2" s="1286"/>
      <c r="AQ2" s="1286"/>
      <c r="AR2" s="1286"/>
      <c r="AS2" s="1286"/>
      <c r="AT2" s="1012"/>
      <c r="AU2" s="1285" t="s">
        <v>434</v>
      </c>
      <c r="AV2" s="1285"/>
      <c r="AW2" s="1285"/>
      <c r="AX2" s="1285"/>
      <c r="AY2" s="1285"/>
      <c r="AZ2" s="1285"/>
      <c r="BA2" s="1285"/>
      <c r="BB2" s="1017"/>
      <c r="BC2" s="1017"/>
      <c r="BD2" s="1017"/>
      <c r="BE2" s="1017"/>
      <c r="BF2" s="1017"/>
      <c r="BG2" s="1017"/>
      <c r="BH2" s="1017"/>
      <c r="BI2" s="1017"/>
      <c r="BJ2" s="1023" t="s">
        <v>695</v>
      </c>
    </row>
    <row r="3" spans="1:62" ht="43.2" customHeight="1" x14ac:dyDescent="0.3">
      <c r="A3" s="1004"/>
      <c r="B3" s="1004"/>
      <c r="C3" s="1004"/>
      <c r="D3" s="1004"/>
      <c r="E3" s="1004"/>
      <c r="F3" s="1004"/>
      <c r="G3" s="1004"/>
      <c r="H3" s="1004"/>
      <c r="I3" s="1004"/>
      <c r="J3" s="1004"/>
      <c r="K3" s="1004"/>
      <c r="L3" s="1004"/>
      <c r="M3" s="1004"/>
      <c r="N3" s="1004"/>
      <c r="O3" s="984" t="s">
        <v>696</v>
      </c>
      <c r="P3" s="1016" t="s">
        <v>697</v>
      </c>
      <c r="Q3" s="1016" t="s">
        <v>698</v>
      </c>
      <c r="R3" s="1016" t="s">
        <v>699</v>
      </c>
      <c r="S3" s="1016" t="s">
        <v>700</v>
      </c>
      <c r="T3" s="1016" t="s">
        <v>701</v>
      </c>
      <c r="U3" s="1016" t="s">
        <v>702</v>
      </c>
      <c r="V3" s="1016" t="s">
        <v>703</v>
      </c>
      <c r="W3" s="1016" t="s">
        <v>704</v>
      </c>
      <c r="X3" s="1016" t="s">
        <v>705</v>
      </c>
      <c r="Y3" s="1016" t="s">
        <v>706</v>
      </c>
      <c r="Z3" s="1016"/>
      <c r="AA3" s="1016"/>
      <c r="AB3" s="1016"/>
      <c r="AC3" s="1016" t="s">
        <v>707</v>
      </c>
      <c r="AD3" s="1016" t="s">
        <v>708</v>
      </c>
      <c r="AE3" s="1016" t="s">
        <v>709</v>
      </c>
      <c r="AF3" s="1016" t="s">
        <v>710</v>
      </c>
      <c r="AG3" s="1016" t="s">
        <v>711</v>
      </c>
      <c r="AH3" s="1016" t="s">
        <v>712</v>
      </c>
      <c r="AI3" s="1016" t="s">
        <v>713</v>
      </c>
      <c r="AJ3" s="1016" t="s">
        <v>714</v>
      </c>
      <c r="AK3" s="1016" t="s">
        <v>715</v>
      </c>
      <c r="AL3" s="1016" t="s">
        <v>716</v>
      </c>
      <c r="AM3" s="1016" t="s">
        <v>717</v>
      </c>
      <c r="AN3" s="1016" t="s">
        <v>718</v>
      </c>
      <c r="AO3" s="1016" t="s">
        <v>719</v>
      </c>
      <c r="AP3" s="1016" t="s">
        <v>720</v>
      </c>
      <c r="AQ3" s="979" t="s">
        <v>721</v>
      </c>
      <c r="AR3" s="1016" t="s">
        <v>722</v>
      </c>
      <c r="AS3" s="1016" t="s">
        <v>723</v>
      </c>
      <c r="AT3" s="1016" t="s">
        <v>724</v>
      </c>
      <c r="AU3" s="1016" t="s">
        <v>725</v>
      </c>
      <c r="AV3" s="1016" t="s">
        <v>726</v>
      </c>
      <c r="AW3" s="1016" t="s">
        <v>727</v>
      </c>
      <c r="AX3" s="1016" t="s">
        <v>728</v>
      </c>
      <c r="AY3" s="1016" t="s">
        <v>729</v>
      </c>
      <c r="AZ3" s="1016" t="s">
        <v>730</v>
      </c>
      <c r="BA3" s="1016" t="s">
        <v>707</v>
      </c>
      <c r="BB3" s="1024" t="s">
        <v>731</v>
      </c>
      <c r="BC3" s="1024" t="s">
        <v>732</v>
      </c>
      <c r="BD3" s="1024" t="s">
        <v>733</v>
      </c>
      <c r="BE3" s="1024" t="s">
        <v>734</v>
      </c>
      <c r="BF3" s="1024" t="s">
        <v>735</v>
      </c>
      <c r="BG3" s="1024" t="s">
        <v>736</v>
      </c>
      <c r="BH3" s="1024" t="s">
        <v>737</v>
      </c>
      <c r="BI3" s="1024" t="s">
        <v>738</v>
      </c>
      <c r="BJ3" s="1018" t="s">
        <v>739</v>
      </c>
    </row>
    <row r="4" spans="1:62" ht="63" customHeight="1" x14ac:dyDescent="0.3">
      <c r="A4" s="1027" t="s">
        <v>740</v>
      </c>
      <c r="B4" s="1003" t="s">
        <v>56</v>
      </c>
      <c r="C4" s="1003" t="s">
        <v>741</v>
      </c>
      <c r="D4" s="1003" t="s">
        <v>611</v>
      </c>
      <c r="E4" s="1003" t="s">
        <v>742</v>
      </c>
      <c r="F4" s="1003" t="s">
        <v>743</v>
      </c>
      <c r="G4" s="1003" t="s">
        <v>744</v>
      </c>
      <c r="H4" s="1003" t="s">
        <v>131</v>
      </c>
      <c r="I4" s="1010" t="s">
        <v>396</v>
      </c>
      <c r="J4" s="1010" t="s">
        <v>150</v>
      </c>
      <c r="K4" s="1010" t="s">
        <v>745</v>
      </c>
      <c r="L4" s="1008" t="s">
        <v>159</v>
      </c>
      <c r="M4" s="1003" t="s">
        <v>109</v>
      </c>
      <c r="N4" s="1003" t="s">
        <v>746</v>
      </c>
      <c r="O4" s="985" t="s">
        <v>747</v>
      </c>
      <c r="P4" s="1024" t="s">
        <v>748</v>
      </c>
      <c r="Q4" s="1024" t="s">
        <v>749</v>
      </c>
      <c r="R4" s="1024" t="s">
        <v>750</v>
      </c>
      <c r="S4" s="1024" t="s">
        <v>751</v>
      </c>
      <c r="T4" s="1024" t="s">
        <v>752</v>
      </c>
      <c r="U4" s="1024" t="s">
        <v>753</v>
      </c>
      <c r="V4" s="1024" t="s">
        <v>754</v>
      </c>
      <c r="W4" s="1024" t="s">
        <v>755</v>
      </c>
      <c r="X4" s="1024" t="s">
        <v>756</v>
      </c>
      <c r="Y4" s="1024" t="s">
        <v>757</v>
      </c>
      <c r="Z4" s="1024" t="s">
        <v>758</v>
      </c>
      <c r="AA4" s="1024" t="s">
        <v>759</v>
      </c>
      <c r="AB4" s="1024" t="s">
        <v>760</v>
      </c>
      <c r="AC4" s="1024" t="s">
        <v>761</v>
      </c>
      <c r="AD4" s="1024" t="s">
        <v>762</v>
      </c>
      <c r="AE4" s="1024" t="s">
        <v>763</v>
      </c>
      <c r="AF4" s="1024" t="s">
        <v>764</v>
      </c>
      <c r="AG4" s="1024" t="s">
        <v>210</v>
      </c>
      <c r="AH4" s="1024" t="s">
        <v>211</v>
      </c>
      <c r="AI4" s="1024" t="s">
        <v>765</v>
      </c>
      <c r="AJ4" s="1024" t="s">
        <v>766</v>
      </c>
      <c r="AK4" s="1024" t="s">
        <v>767</v>
      </c>
      <c r="AL4" s="1024" t="s">
        <v>768</v>
      </c>
      <c r="AM4" s="1024" t="s">
        <v>769</v>
      </c>
      <c r="AN4" s="1024" t="s">
        <v>770</v>
      </c>
      <c r="AO4" s="1024" t="s">
        <v>771</v>
      </c>
      <c r="AP4" s="1024" t="s">
        <v>772</v>
      </c>
      <c r="AQ4" s="1025" t="s">
        <v>773</v>
      </c>
      <c r="AR4" s="1024" t="s">
        <v>774</v>
      </c>
      <c r="AS4" s="1024" t="s">
        <v>775</v>
      </c>
      <c r="AT4" s="1024" t="s">
        <v>776</v>
      </c>
      <c r="AU4" s="1024" t="s">
        <v>777</v>
      </c>
      <c r="AV4" s="1024" t="s">
        <v>778</v>
      </c>
      <c r="AW4" s="1024" t="s">
        <v>779</v>
      </c>
      <c r="AX4" s="1024" t="s">
        <v>780</v>
      </c>
      <c r="AY4" s="1024" t="s">
        <v>781</v>
      </c>
      <c r="AZ4" s="1024" t="s">
        <v>782</v>
      </c>
      <c r="BA4" s="1024"/>
      <c r="BB4" s="1024" t="s">
        <v>487</v>
      </c>
      <c r="BC4" s="1024" t="s">
        <v>783</v>
      </c>
      <c r="BD4" s="1024" t="s">
        <v>784</v>
      </c>
      <c r="BE4" s="1024" t="s">
        <v>785</v>
      </c>
      <c r="BF4" s="1024" t="s">
        <v>786</v>
      </c>
      <c r="BG4" s="1024" t="s">
        <v>787</v>
      </c>
      <c r="BH4" s="1024" t="s">
        <v>788</v>
      </c>
      <c r="BI4" s="1024" t="s">
        <v>789</v>
      </c>
      <c r="BJ4" s="1026" t="s">
        <v>790</v>
      </c>
    </row>
    <row r="5" spans="1:62" x14ac:dyDescent="0.3">
      <c r="A5" s="1005">
        <v>2021</v>
      </c>
      <c r="B5" s="1007">
        <f>Q5</f>
        <v>394.202</v>
      </c>
      <c r="C5" s="1007">
        <f>SUM(Y5:AB5)</f>
        <v>195.7</v>
      </c>
      <c r="D5" s="1007">
        <f>T5</f>
        <v>18.823</v>
      </c>
      <c r="E5" s="1007">
        <f>SUM(P5:S5)-B5</f>
        <v>0.77600000000001046</v>
      </c>
      <c r="F5" s="1007">
        <f>SUM(T5:AF5)-C5-L5-D5 - 28</f>
        <v>19.722000000000016</v>
      </c>
      <c r="G5" s="1007">
        <f>SUM(BB5:BI5)-BC5</f>
        <v>81.642999999999986</v>
      </c>
      <c r="H5" s="1007">
        <f>SUM(AG5:AI5)</f>
        <v>7.798</v>
      </c>
      <c r="I5" s="1007">
        <f>AJ5</f>
        <v>283.95749999999998</v>
      </c>
      <c r="J5" s="1007">
        <f>AL5</f>
        <v>12.347</v>
      </c>
      <c r="K5" s="1007">
        <f>SUM(AM5:AT5)</f>
        <v>29.628</v>
      </c>
      <c r="L5" s="1013">
        <f>103/4</f>
        <v>25.75</v>
      </c>
      <c r="M5" s="1007">
        <f t="shared" ref="M5:M16" si="0">SUM(AU5:BA5)</f>
        <v>31.939</v>
      </c>
      <c r="N5" s="1007">
        <f>AK5</f>
        <v>3.4</v>
      </c>
      <c r="O5" s="986">
        <v>50</v>
      </c>
      <c r="P5" s="981">
        <v>0.55000000000000004</v>
      </c>
      <c r="Q5" s="982">
        <v>394.202</v>
      </c>
      <c r="R5" s="988">
        <v>0.14599999999999999</v>
      </c>
      <c r="S5" s="988">
        <v>0.08</v>
      </c>
      <c r="T5" s="988">
        <v>18.823</v>
      </c>
      <c r="U5" s="982">
        <v>19</v>
      </c>
      <c r="V5" s="988">
        <v>11.481999999999999</v>
      </c>
      <c r="W5" s="1000">
        <v>1.5580000000000001</v>
      </c>
      <c r="X5" s="1000">
        <v>0.74</v>
      </c>
      <c r="Y5" s="982">
        <v>0.2</v>
      </c>
      <c r="Z5" s="982">
        <v>43.1</v>
      </c>
      <c r="AA5" s="982">
        <v>33.9</v>
      </c>
      <c r="AB5" s="982">
        <v>118.5</v>
      </c>
      <c r="AC5" s="982">
        <v>28</v>
      </c>
      <c r="AD5" s="1000">
        <v>-2.0379999999999998</v>
      </c>
      <c r="AE5" s="982">
        <v>14.31</v>
      </c>
      <c r="AF5" s="988">
        <v>0.42</v>
      </c>
      <c r="AG5" s="988">
        <v>7.7279999999999998</v>
      </c>
      <c r="AH5" s="982">
        <v>7.0000000000000007E-2</v>
      </c>
      <c r="AI5" s="982">
        <v>0</v>
      </c>
      <c r="AJ5" s="982">
        <v>283.95749999999998</v>
      </c>
      <c r="AK5" s="980">
        <v>3.4</v>
      </c>
      <c r="AL5" s="980">
        <v>12.347</v>
      </c>
      <c r="AM5" s="989">
        <v>0.28599999999999998</v>
      </c>
      <c r="AN5" s="980">
        <v>2</v>
      </c>
      <c r="AO5" s="982">
        <v>0.81</v>
      </c>
      <c r="AP5" s="980">
        <v>0.52100000000000002</v>
      </c>
      <c r="AQ5" s="990">
        <v>10</v>
      </c>
      <c r="AR5" s="980">
        <v>2.7</v>
      </c>
      <c r="AS5" s="980">
        <v>0.751</v>
      </c>
      <c r="AT5" s="982">
        <v>12.56</v>
      </c>
      <c r="AU5" s="982">
        <v>0</v>
      </c>
      <c r="AV5" s="980">
        <v>1.415</v>
      </c>
      <c r="AW5" s="980">
        <v>10.51</v>
      </c>
      <c r="AX5" s="980">
        <v>2.6</v>
      </c>
      <c r="AY5" s="982">
        <v>-0.33</v>
      </c>
      <c r="AZ5" s="980">
        <v>17.744</v>
      </c>
      <c r="BA5" s="982">
        <v>0</v>
      </c>
      <c r="BB5" s="980">
        <v>4.0999999999999996</v>
      </c>
      <c r="BC5" s="980">
        <v>7.25</v>
      </c>
      <c r="BD5" s="980">
        <v>48.4</v>
      </c>
      <c r="BE5" s="988">
        <v>0.83</v>
      </c>
      <c r="BF5" s="1000">
        <v>4.5110000000000001</v>
      </c>
      <c r="BG5" s="982">
        <v>3.0739999999999998</v>
      </c>
      <c r="BH5" s="991">
        <v>-0.28399999999999997</v>
      </c>
      <c r="BI5" s="980">
        <v>21.012</v>
      </c>
      <c r="BJ5" s="1019">
        <v>1.1599999999999999</v>
      </c>
    </row>
    <row r="6" spans="1:62" x14ac:dyDescent="0.3">
      <c r="A6" s="1005">
        <v>2022</v>
      </c>
      <c r="B6" s="1007">
        <f t="shared" ref="B6:B15" si="1">Q6</f>
        <v>17.465</v>
      </c>
      <c r="C6" s="1007">
        <f t="shared" ref="C6:C15" si="2">SUM(Y6:AB6)</f>
        <v>10.1</v>
      </c>
      <c r="D6" s="1007">
        <f t="shared" ref="D6:D15" si="3">T6</f>
        <v>2.5950000000000002</v>
      </c>
      <c r="E6" s="1007">
        <f t="shared" ref="E6:E15" si="4">SUM(P6:S6)-B6</f>
        <v>19.719000000000005</v>
      </c>
      <c r="F6" s="1007">
        <f>SUM(T6:AF6)-C6-L6-D6</f>
        <v>52.756999999999998</v>
      </c>
      <c r="G6" s="1007">
        <f t="shared" ref="G6:G16" si="5">SUM(BB6:BI6)-BC6</f>
        <v>110.24799999999999</v>
      </c>
      <c r="H6" s="1007">
        <f t="shared" ref="H6:H15" si="6">SUM(AG6:AI6)</f>
        <v>7.9489999999999998</v>
      </c>
      <c r="I6" s="1007">
        <f t="shared" ref="I6:I15" si="7">AJ6</f>
        <v>77.092500000000001</v>
      </c>
      <c r="J6" s="1007">
        <f t="shared" ref="J6:J15" si="8">AL6</f>
        <v>46.79</v>
      </c>
      <c r="K6" s="1007">
        <f t="shared" ref="K6:K16" si="9">SUM(AM6:AT6)</f>
        <v>35.671000000000006</v>
      </c>
      <c r="L6" s="1013">
        <v>0</v>
      </c>
      <c r="M6" s="1007">
        <f t="shared" si="0"/>
        <v>56.412999999999997</v>
      </c>
      <c r="N6" s="1007">
        <f t="shared" ref="N6:N15" si="10">AK6</f>
        <v>5.0999999999999996</v>
      </c>
      <c r="O6" s="986">
        <v>55</v>
      </c>
      <c r="P6" s="981">
        <v>15.61</v>
      </c>
      <c r="Q6" s="982">
        <v>17.465</v>
      </c>
      <c r="R6" s="988">
        <v>0.317</v>
      </c>
      <c r="S6" s="988">
        <v>3.7919999999999998</v>
      </c>
      <c r="T6" s="982">
        <v>2.5950000000000002</v>
      </c>
      <c r="U6" s="980">
        <v>14.5</v>
      </c>
      <c r="V6" s="982">
        <v>25.070999999999998</v>
      </c>
      <c r="W6" s="1000">
        <v>1.952</v>
      </c>
      <c r="X6" s="1000">
        <v>0.61399999999999999</v>
      </c>
      <c r="Y6" s="980">
        <v>0</v>
      </c>
      <c r="Z6" s="980">
        <v>2.2999999999999998</v>
      </c>
      <c r="AA6" s="980">
        <v>1.6</v>
      </c>
      <c r="AB6" s="980">
        <v>6.2</v>
      </c>
      <c r="AC6" s="982">
        <v>0</v>
      </c>
      <c r="AD6" s="982">
        <v>1.31</v>
      </c>
      <c r="AE6" s="982">
        <v>8.61</v>
      </c>
      <c r="AF6" s="982">
        <v>0.7</v>
      </c>
      <c r="AG6" s="988">
        <v>7.782</v>
      </c>
      <c r="AH6" s="982">
        <v>0.12</v>
      </c>
      <c r="AI6" s="982">
        <v>4.7E-2</v>
      </c>
      <c r="AJ6" s="982">
        <v>77.092500000000001</v>
      </c>
      <c r="AK6" s="980">
        <v>5.0999999999999996</v>
      </c>
      <c r="AL6" s="980">
        <v>46.79</v>
      </c>
      <c r="AM6" s="991">
        <v>0.30499999999999999</v>
      </c>
      <c r="AN6" s="980">
        <v>4.3</v>
      </c>
      <c r="AO6" s="1000">
        <v>1.1000000000000001</v>
      </c>
      <c r="AP6" s="980">
        <v>1.575</v>
      </c>
      <c r="AQ6" s="990">
        <v>10</v>
      </c>
      <c r="AR6" s="980">
        <v>4.5</v>
      </c>
      <c r="AS6" s="980">
        <v>1.9810000000000001</v>
      </c>
      <c r="AT6" s="982">
        <v>11.91</v>
      </c>
      <c r="AU6" s="982">
        <v>0</v>
      </c>
      <c r="AV6" s="980">
        <v>3.927</v>
      </c>
      <c r="AW6" s="980">
        <v>4.2880000000000003</v>
      </c>
      <c r="AX6" s="980">
        <v>3.7</v>
      </c>
      <c r="AY6" s="982">
        <v>-1.34</v>
      </c>
      <c r="AZ6" s="980">
        <v>45.838000000000001</v>
      </c>
      <c r="BA6" s="982">
        <v>0</v>
      </c>
      <c r="BB6" s="980">
        <v>11.3</v>
      </c>
      <c r="BC6" s="980">
        <v>0</v>
      </c>
      <c r="BD6" s="980">
        <v>1.1000000000000001</v>
      </c>
      <c r="BE6" s="988">
        <v>1.75</v>
      </c>
      <c r="BF6" s="1000">
        <v>1.7330000000000001</v>
      </c>
      <c r="BG6" s="1000">
        <v>7.1440000000000001</v>
      </c>
      <c r="BH6" s="992">
        <v>81.608999999999995</v>
      </c>
      <c r="BI6" s="980">
        <v>5.6120000000000001</v>
      </c>
      <c r="BJ6" s="1019">
        <v>4.2</v>
      </c>
    </row>
    <row r="7" spans="1:62" x14ac:dyDescent="0.3">
      <c r="A7" s="1005">
        <v>2023</v>
      </c>
      <c r="B7" s="1007">
        <f t="shared" si="1"/>
        <v>0.48599999999999999</v>
      </c>
      <c r="C7" s="1007">
        <f t="shared" si="2"/>
        <v>0</v>
      </c>
      <c r="D7" s="1007">
        <f t="shared" si="3"/>
        <v>0.93700000000000006</v>
      </c>
      <c r="E7" s="1007">
        <f t="shared" si="4"/>
        <v>1.4159999999999999</v>
      </c>
      <c r="F7" s="1007">
        <f t="shared" ref="F7:F15" si="11">SUM(T7:AF7)-C7-L7-D7</f>
        <v>12</v>
      </c>
      <c r="G7" s="1007">
        <f t="shared" si="5"/>
        <v>12.726000000000001</v>
      </c>
      <c r="H7" s="1007">
        <f t="shared" si="6"/>
        <v>4.7519999999999998</v>
      </c>
      <c r="I7" s="1007">
        <f t="shared" si="7"/>
        <v>1</v>
      </c>
      <c r="J7" s="1007">
        <f t="shared" si="8"/>
        <v>38.595999999999997</v>
      </c>
      <c r="K7" s="1007">
        <f t="shared" si="9"/>
        <v>24.216000000000001</v>
      </c>
      <c r="L7" s="1013">
        <v>0</v>
      </c>
      <c r="M7" s="1007">
        <f t="shared" si="0"/>
        <v>15.652999999999999</v>
      </c>
      <c r="N7" s="1007">
        <f t="shared" si="10"/>
        <v>0</v>
      </c>
      <c r="O7" s="986">
        <v>0.7</v>
      </c>
      <c r="P7" s="981">
        <v>0.96</v>
      </c>
      <c r="Q7" s="982">
        <v>0.48599999999999999</v>
      </c>
      <c r="R7" s="988">
        <v>0.45600000000000002</v>
      </c>
      <c r="S7" s="982">
        <v>0</v>
      </c>
      <c r="T7" s="993">
        <v>0.93700000000000006</v>
      </c>
      <c r="U7" s="980">
        <v>3</v>
      </c>
      <c r="V7" s="988">
        <v>7.891</v>
      </c>
      <c r="W7" s="1000">
        <v>0.61699999999999999</v>
      </c>
      <c r="X7" s="1000">
        <v>8.4000000000000005E-2</v>
      </c>
      <c r="Y7" s="980">
        <v>0</v>
      </c>
      <c r="Z7" s="980">
        <v>0</v>
      </c>
      <c r="AA7" s="980">
        <v>0</v>
      </c>
      <c r="AB7" s="980">
        <v>0</v>
      </c>
      <c r="AC7" s="982">
        <v>0</v>
      </c>
      <c r="AD7" s="982">
        <v>0.318</v>
      </c>
      <c r="AE7" s="988">
        <v>-0.11000000000000001</v>
      </c>
      <c r="AF7" s="982">
        <v>0.2</v>
      </c>
      <c r="AG7" s="988">
        <v>4.6749999999999998</v>
      </c>
      <c r="AH7" s="982">
        <v>0.06</v>
      </c>
      <c r="AI7" s="982">
        <v>1.7000000000000001E-2</v>
      </c>
      <c r="AJ7" s="982">
        <v>1</v>
      </c>
      <c r="AK7" s="980">
        <v>0</v>
      </c>
      <c r="AL7" s="980">
        <v>38.595999999999997</v>
      </c>
      <c r="AM7" s="982">
        <v>0.14899999999999999</v>
      </c>
      <c r="AN7" s="980">
        <v>1.2</v>
      </c>
      <c r="AO7" s="1000">
        <v>0.53</v>
      </c>
      <c r="AP7" s="980">
        <v>0.38100000000000001</v>
      </c>
      <c r="AQ7" s="990">
        <v>8</v>
      </c>
      <c r="AR7" s="980">
        <v>4.5</v>
      </c>
      <c r="AS7" s="980">
        <v>0.76600000000000001</v>
      </c>
      <c r="AT7" s="982">
        <v>8.69</v>
      </c>
      <c r="AU7" s="982">
        <v>0</v>
      </c>
      <c r="AV7" s="980">
        <v>1.93</v>
      </c>
      <c r="AW7" s="980">
        <v>1.4379999999999999</v>
      </c>
      <c r="AX7" s="980">
        <v>2.6</v>
      </c>
      <c r="AY7" s="1000">
        <v>-2.48</v>
      </c>
      <c r="AZ7" s="980">
        <v>12.164999999999999</v>
      </c>
      <c r="BA7" s="1000">
        <v>0</v>
      </c>
      <c r="BB7" s="980">
        <v>8.4</v>
      </c>
      <c r="BC7" s="980">
        <v>0</v>
      </c>
      <c r="BD7" s="980">
        <v>0.3</v>
      </c>
      <c r="BE7" s="988">
        <v>1.8</v>
      </c>
      <c r="BF7" s="1000">
        <v>0</v>
      </c>
      <c r="BG7" s="1000">
        <v>0</v>
      </c>
      <c r="BH7" s="991">
        <v>1.3759999999999999</v>
      </c>
      <c r="BI7" s="980">
        <v>0.85</v>
      </c>
      <c r="BJ7" s="1019">
        <v>2.7</v>
      </c>
    </row>
    <row r="8" spans="1:62" x14ac:dyDescent="0.3">
      <c r="A8" s="1005">
        <v>2024</v>
      </c>
      <c r="B8" s="1007">
        <f t="shared" si="1"/>
        <v>0</v>
      </c>
      <c r="C8" s="1007">
        <f t="shared" si="2"/>
        <v>0</v>
      </c>
      <c r="D8" s="1007">
        <f t="shared" si="3"/>
        <v>0.16</v>
      </c>
      <c r="E8" s="1007">
        <f t="shared" si="4"/>
        <v>1.4790000000000001</v>
      </c>
      <c r="F8" s="1007">
        <f t="shared" si="11"/>
        <v>4.2219999999999995</v>
      </c>
      <c r="G8" s="1007">
        <f t="shared" si="5"/>
        <v>1.365</v>
      </c>
      <c r="H8" s="1007">
        <f t="shared" si="6"/>
        <v>4.637999999999999</v>
      </c>
      <c r="I8" s="1007">
        <f t="shared" si="7"/>
        <v>0</v>
      </c>
      <c r="J8" s="1007">
        <f t="shared" si="8"/>
        <v>31.911000000000001</v>
      </c>
      <c r="K8" s="1007">
        <f t="shared" si="9"/>
        <v>9.6430000000000007</v>
      </c>
      <c r="L8" s="1013">
        <v>0</v>
      </c>
      <c r="M8" s="1007">
        <f t="shared" si="0"/>
        <v>3.9320000000000004</v>
      </c>
      <c r="N8" s="1007">
        <f t="shared" si="10"/>
        <v>0</v>
      </c>
      <c r="O8" s="986">
        <v>0.7</v>
      </c>
      <c r="P8" s="981">
        <v>0.96</v>
      </c>
      <c r="Q8" s="980">
        <v>0</v>
      </c>
      <c r="R8" s="988">
        <v>0.51900000000000002</v>
      </c>
      <c r="S8" s="982">
        <v>0</v>
      </c>
      <c r="T8" s="994">
        <v>0.16</v>
      </c>
      <c r="U8" s="980">
        <v>2.8</v>
      </c>
      <c r="V8" s="982">
        <v>0.504</v>
      </c>
      <c r="W8" s="1000">
        <v>0.47199999999999998</v>
      </c>
      <c r="X8" s="1000">
        <v>2E-3</v>
      </c>
      <c r="Y8" s="980">
        <v>0</v>
      </c>
      <c r="Z8" s="980">
        <v>0</v>
      </c>
      <c r="AA8" s="980">
        <v>0</v>
      </c>
      <c r="AB8" s="980">
        <v>0</v>
      </c>
      <c r="AC8" s="982">
        <v>0</v>
      </c>
      <c r="AD8" s="982">
        <v>0.34399999999999997</v>
      </c>
      <c r="AE8" s="988">
        <v>0</v>
      </c>
      <c r="AF8" s="988">
        <v>0.1</v>
      </c>
      <c r="AG8" s="988">
        <v>4.5739999999999998</v>
      </c>
      <c r="AH8" s="982">
        <v>0.06</v>
      </c>
      <c r="AI8" s="982">
        <v>4.0000000000000001E-3</v>
      </c>
      <c r="AJ8" s="982">
        <v>0</v>
      </c>
      <c r="AK8" s="980">
        <v>0</v>
      </c>
      <c r="AL8" s="980">
        <v>31.911000000000001</v>
      </c>
      <c r="AM8" s="982">
        <v>4.1000000000000002E-2</v>
      </c>
      <c r="AN8" s="980">
        <v>0.4</v>
      </c>
      <c r="AO8" s="1000">
        <v>0.41</v>
      </c>
      <c r="AP8" s="980">
        <v>0.13100000000000001</v>
      </c>
      <c r="AQ8" s="990">
        <v>0</v>
      </c>
      <c r="AR8" s="980">
        <v>3</v>
      </c>
      <c r="AS8" s="980">
        <v>0.30099999999999999</v>
      </c>
      <c r="AT8" s="1000">
        <v>5.36</v>
      </c>
      <c r="AU8" s="982">
        <v>0</v>
      </c>
      <c r="AV8" s="980">
        <v>0.79600000000000004</v>
      </c>
      <c r="AW8" s="980">
        <v>0.27500000000000002</v>
      </c>
      <c r="AX8" s="980">
        <v>1</v>
      </c>
      <c r="AY8" s="1000">
        <v>-2.6</v>
      </c>
      <c r="AZ8" s="980">
        <v>4.4610000000000003</v>
      </c>
      <c r="BA8" s="1000">
        <v>0</v>
      </c>
      <c r="BB8" s="980">
        <v>0.2</v>
      </c>
      <c r="BC8" s="980">
        <v>0</v>
      </c>
      <c r="BD8" s="980">
        <v>0</v>
      </c>
      <c r="BE8" s="988">
        <v>1.95</v>
      </c>
      <c r="BF8" s="1000">
        <v>0</v>
      </c>
      <c r="BG8" s="1000">
        <v>0</v>
      </c>
      <c r="BH8" s="991">
        <v>-0.875</v>
      </c>
      <c r="BI8" s="980">
        <v>0.09</v>
      </c>
      <c r="BJ8" s="1020">
        <v>0.87</v>
      </c>
    </row>
    <row r="9" spans="1:62" x14ac:dyDescent="0.3">
      <c r="A9" s="1005">
        <v>2025</v>
      </c>
      <c r="B9" s="1007">
        <f t="shared" si="1"/>
        <v>0</v>
      </c>
      <c r="C9" s="1007">
        <f t="shared" si="2"/>
        <v>0</v>
      </c>
      <c r="D9" s="1007">
        <f t="shared" si="3"/>
        <v>3.3000000000000002E-2</v>
      </c>
      <c r="E9" s="1007">
        <f t="shared" si="4"/>
        <v>1.63</v>
      </c>
      <c r="F9" s="1007">
        <f t="shared" si="11"/>
        <v>2.3719999999999999</v>
      </c>
      <c r="G9" s="1007">
        <f t="shared" si="5"/>
        <v>-0.90100000000000025</v>
      </c>
      <c r="H9" s="1007">
        <f t="shared" si="6"/>
        <v>1.8800000000000001</v>
      </c>
      <c r="I9" s="1007">
        <f t="shared" si="7"/>
        <v>0</v>
      </c>
      <c r="J9" s="1007">
        <f t="shared" si="8"/>
        <v>23.099</v>
      </c>
      <c r="K9" s="1007">
        <f t="shared" si="9"/>
        <v>4.5789999999999997</v>
      </c>
      <c r="L9" s="1013">
        <v>0</v>
      </c>
      <c r="M9" s="1007">
        <f t="shared" si="0"/>
        <v>-0.74299999999999988</v>
      </c>
      <c r="N9" s="1007">
        <f t="shared" si="10"/>
        <v>0</v>
      </c>
      <c r="O9" s="986">
        <v>0.7</v>
      </c>
      <c r="P9" s="981">
        <v>1.06</v>
      </c>
      <c r="Q9" s="980">
        <v>0</v>
      </c>
      <c r="R9" s="988">
        <v>0.56999999999999995</v>
      </c>
      <c r="S9" s="982">
        <v>0</v>
      </c>
      <c r="T9" s="995">
        <v>3.3000000000000002E-2</v>
      </c>
      <c r="U9" s="980">
        <v>2</v>
      </c>
      <c r="V9" s="995">
        <v>0</v>
      </c>
      <c r="W9" s="1000">
        <v>0.21299999999999999</v>
      </c>
      <c r="X9" s="1000">
        <v>2E-3</v>
      </c>
      <c r="Y9" s="980">
        <v>0</v>
      </c>
      <c r="Z9" s="980">
        <v>0</v>
      </c>
      <c r="AA9" s="980">
        <v>0</v>
      </c>
      <c r="AB9" s="980">
        <v>0</v>
      </c>
      <c r="AC9" s="982">
        <v>0</v>
      </c>
      <c r="AD9" s="982">
        <v>0.157</v>
      </c>
      <c r="AE9" s="988">
        <v>0</v>
      </c>
      <c r="AF9" s="988">
        <v>0</v>
      </c>
      <c r="AG9" s="982">
        <v>1.81</v>
      </c>
      <c r="AH9" s="982">
        <v>7.0000000000000007E-2</v>
      </c>
      <c r="AI9" s="982">
        <v>0</v>
      </c>
      <c r="AJ9" s="980">
        <v>0</v>
      </c>
      <c r="AK9" s="980">
        <v>0</v>
      </c>
      <c r="AL9" s="980">
        <v>23.099</v>
      </c>
      <c r="AM9" s="982">
        <v>1.2999999999999999E-2</v>
      </c>
      <c r="AN9" s="980">
        <v>0.3</v>
      </c>
      <c r="AO9" s="978">
        <v>0.15</v>
      </c>
      <c r="AP9" s="980">
        <v>0.112</v>
      </c>
      <c r="AQ9" s="990">
        <v>0</v>
      </c>
      <c r="AR9" s="980">
        <v>0.2</v>
      </c>
      <c r="AS9" s="980">
        <v>7.3999999999999996E-2</v>
      </c>
      <c r="AT9" s="1000">
        <v>3.73</v>
      </c>
      <c r="AU9" s="982">
        <v>0</v>
      </c>
      <c r="AV9" s="980">
        <v>5.3999999999999999E-2</v>
      </c>
      <c r="AW9" s="980">
        <v>0.13100000000000001</v>
      </c>
      <c r="AX9" s="980">
        <v>0</v>
      </c>
      <c r="AY9" s="1000">
        <v>-2.71</v>
      </c>
      <c r="AZ9" s="980">
        <v>1.782</v>
      </c>
      <c r="BA9" s="1000">
        <v>0</v>
      </c>
      <c r="BB9" s="980">
        <v>0</v>
      </c>
      <c r="BC9" s="980">
        <v>0</v>
      </c>
      <c r="BD9" s="980">
        <v>0</v>
      </c>
      <c r="BE9" s="988">
        <v>1.43</v>
      </c>
      <c r="BF9" s="1000">
        <v>0</v>
      </c>
      <c r="BG9" s="1000">
        <v>0</v>
      </c>
      <c r="BH9" s="991">
        <v>-2.3410000000000002</v>
      </c>
      <c r="BI9" s="980">
        <v>0.01</v>
      </c>
      <c r="BJ9" s="1020">
        <v>0.33</v>
      </c>
    </row>
    <row r="10" spans="1:62" x14ac:dyDescent="0.3">
      <c r="A10" s="1005">
        <v>2026</v>
      </c>
      <c r="B10" s="1007">
        <f t="shared" si="1"/>
        <v>0</v>
      </c>
      <c r="C10" s="1007">
        <f t="shared" si="2"/>
        <v>0</v>
      </c>
      <c r="D10" s="1007">
        <f t="shared" si="3"/>
        <v>3.2000000000000001E-2</v>
      </c>
      <c r="E10" s="1007">
        <f t="shared" si="4"/>
        <v>1.671</v>
      </c>
      <c r="F10" s="1007">
        <f t="shared" si="11"/>
        <v>0.49</v>
      </c>
      <c r="G10" s="1007">
        <f t="shared" si="5"/>
        <v>-2.1500000000000004</v>
      </c>
      <c r="H10" s="1007">
        <f t="shared" si="6"/>
        <v>1.446</v>
      </c>
      <c r="I10" s="1007">
        <f t="shared" si="7"/>
        <v>0</v>
      </c>
      <c r="J10" s="1007">
        <f t="shared" si="8"/>
        <v>10.766999999999999</v>
      </c>
      <c r="K10" s="1007">
        <f t="shared" si="9"/>
        <v>2.9130000000000003</v>
      </c>
      <c r="L10" s="1013"/>
      <c r="M10" s="1007">
        <f t="shared" si="0"/>
        <v>-21.606000000000002</v>
      </c>
      <c r="N10" s="1007">
        <f t="shared" si="10"/>
        <v>0</v>
      </c>
      <c r="O10" s="986">
        <v>0.7</v>
      </c>
      <c r="P10" s="981">
        <v>1.07</v>
      </c>
      <c r="Q10" s="980">
        <v>0</v>
      </c>
      <c r="R10" s="988">
        <v>0.60099999999999998</v>
      </c>
      <c r="S10" s="982">
        <v>0</v>
      </c>
      <c r="T10" s="991">
        <v>3.2000000000000001E-2</v>
      </c>
      <c r="U10" s="980">
        <v>0.3</v>
      </c>
      <c r="V10" s="988">
        <v>0</v>
      </c>
      <c r="W10" s="1000">
        <v>0.188</v>
      </c>
      <c r="X10" s="1000">
        <v>2E-3</v>
      </c>
      <c r="Y10" s="980">
        <v>0</v>
      </c>
      <c r="Z10" s="980">
        <v>0</v>
      </c>
      <c r="AA10" s="980">
        <v>0</v>
      </c>
      <c r="AB10" s="980">
        <v>0</v>
      </c>
      <c r="AC10" s="982">
        <v>0</v>
      </c>
      <c r="AD10" s="982">
        <v>0</v>
      </c>
      <c r="AE10" s="982">
        <v>0</v>
      </c>
      <c r="AF10" s="988">
        <v>0</v>
      </c>
      <c r="AG10" s="982">
        <v>1.3759999999999999</v>
      </c>
      <c r="AH10" s="982">
        <v>7.0000000000000007E-2</v>
      </c>
      <c r="AI10" s="982">
        <v>0</v>
      </c>
      <c r="AJ10" s="996">
        <v>0</v>
      </c>
      <c r="AK10" s="980">
        <v>0</v>
      </c>
      <c r="AL10" s="980">
        <v>10.766999999999999</v>
      </c>
      <c r="AM10" s="982">
        <v>3.0000000000000001E-3</v>
      </c>
      <c r="AN10" s="980">
        <v>0.2</v>
      </c>
      <c r="AO10" s="978">
        <v>0.1</v>
      </c>
      <c r="AP10" s="980">
        <v>0.05</v>
      </c>
      <c r="AQ10" s="990">
        <v>0</v>
      </c>
      <c r="AR10" s="980">
        <v>0</v>
      </c>
      <c r="AS10" s="980">
        <v>0</v>
      </c>
      <c r="AT10" s="1000">
        <v>2.56</v>
      </c>
      <c r="AU10" s="982">
        <v>0</v>
      </c>
      <c r="AV10" s="980">
        <v>3.7999999999999999E-2</v>
      </c>
      <c r="AW10" s="980">
        <v>2.5999999999999999E-2</v>
      </c>
      <c r="AX10" s="980">
        <v>0</v>
      </c>
      <c r="AY10" s="1000">
        <v>-2.6700000000000004</v>
      </c>
      <c r="AZ10" s="980">
        <v>0</v>
      </c>
      <c r="BA10" s="1000">
        <v>-19</v>
      </c>
      <c r="BB10" s="980">
        <v>0</v>
      </c>
      <c r="BC10" s="980">
        <v>0</v>
      </c>
      <c r="BD10" s="980">
        <v>0</v>
      </c>
      <c r="BE10" s="1000">
        <v>0.88</v>
      </c>
      <c r="BF10" s="1000">
        <v>0</v>
      </c>
      <c r="BG10" s="1000">
        <v>0</v>
      </c>
      <c r="BH10" s="982">
        <v>-2.8200000000000003</v>
      </c>
      <c r="BI10" s="980">
        <v>-0.21</v>
      </c>
      <c r="BJ10" s="1020">
        <v>0.17</v>
      </c>
    </row>
    <row r="11" spans="1:62" x14ac:dyDescent="0.3">
      <c r="A11" s="1005">
        <v>2027</v>
      </c>
      <c r="B11" s="1007">
        <f t="shared" si="1"/>
        <v>0</v>
      </c>
      <c r="C11" s="1007">
        <f t="shared" si="2"/>
        <v>0</v>
      </c>
      <c r="D11" s="1007">
        <f t="shared" si="3"/>
        <v>3.2000000000000001E-2</v>
      </c>
      <c r="E11" s="1007">
        <f t="shared" si="4"/>
        <v>1.7130000000000001</v>
      </c>
      <c r="F11" s="1007">
        <f t="shared" si="11"/>
        <v>0</v>
      </c>
      <c r="G11" s="1007">
        <f t="shared" si="5"/>
        <v>-4.8169999999999993</v>
      </c>
      <c r="H11" s="1007">
        <f t="shared" si="6"/>
        <v>0.65699999999999992</v>
      </c>
      <c r="I11" s="1007">
        <f t="shared" si="7"/>
        <v>0</v>
      </c>
      <c r="J11" s="1007">
        <f t="shared" si="8"/>
        <v>4.0789999999999997</v>
      </c>
      <c r="K11" s="1007">
        <f t="shared" si="9"/>
        <v>2.46</v>
      </c>
      <c r="L11" s="1013"/>
      <c r="M11" s="1007">
        <f t="shared" si="0"/>
        <v>-14.713000000000001</v>
      </c>
      <c r="N11" s="1007">
        <f t="shared" si="10"/>
        <v>0</v>
      </c>
      <c r="O11" s="986">
        <v>0.3</v>
      </c>
      <c r="P11" s="981">
        <v>1.08</v>
      </c>
      <c r="Q11" s="980">
        <v>0</v>
      </c>
      <c r="R11" s="988">
        <v>0.63300000000000001</v>
      </c>
      <c r="S11" s="994">
        <v>0</v>
      </c>
      <c r="T11" s="980">
        <v>3.2000000000000001E-2</v>
      </c>
      <c r="U11" s="980">
        <v>0</v>
      </c>
      <c r="V11" s="982">
        <v>0</v>
      </c>
      <c r="W11" s="1000">
        <v>0</v>
      </c>
      <c r="X11" s="1000">
        <v>0</v>
      </c>
      <c r="Y11" s="980">
        <v>0</v>
      </c>
      <c r="Z11" s="980">
        <v>0</v>
      </c>
      <c r="AA11" s="980">
        <v>0</v>
      </c>
      <c r="AB11" s="980">
        <v>0</v>
      </c>
      <c r="AC11" s="982">
        <v>0</v>
      </c>
      <c r="AD11" s="988">
        <v>0</v>
      </c>
      <c r="AE11" s="982">
        <v>0</v>
      </c>
      <c r="AF11" s="988">
        <v>0</v>
      </c>
      <c r="AG11" s="982">
        <v>0.57699999999999996</v>
      </c>
      <c r="AH11" s="982">
        <v>0.08</v>
      </c>
      <c r="AI11" s="982">
        <v>0</v>
      </c>
      <c r="AJ11" s="982">
        <v>0</v>
      </c>
      <c r="AK11" s="980">
        <v>0</v>
      </c>
      <c r="AL11" s="980">
        <v>4.0789999999999997</v>
      </c>
      <c r="AM11" s="980">
        <v>0</v>
      </c>
      <c r="AN11" s="980">
        <v>0.1</v>
      </c>
      <c r="AO11" s="978">
        <v>0.1</v>
      </c>
      <c r="AP11" s="980">
        <v>0.03</v>
      </c>
      <c r="AQ11" s="990">
        <v>0</v>
      </c>
      <c r="AR11" s="980">
        <v>0</v>
      </c>
      <c r="AS11" s="980">
        <v>0</v>
      </c>
      <c r="AT11" s="978">
        <v>2.23</v>
      </c>
      <c r="AU11" s="982">
        <v>0</v>
      </c>
      <c r="AV11" s="980">
        <v>1.7000000000000001E-2</v>
      </c>
      <c r="AW11" s="980">
        <v>0</v>
      </c>
      <c r="AX11" s="980">
        <v>0</v>
      </c>
      <c r="AY11" s="1000">
        <v>-2.73</v>
      </c>
      <c r="AZ11" s="980">
        <v>0</v>
      </c>
      <c r="BA11" s="1000">
        <v>-12</v>
      </c>
      <c r="BB11" s="980">
        <v>0</v>
      </c>
      <c r="BC11" s="980">
        <v>0</v>
      </c>
      <c r="BD11" s="980">
        <v>0</v>
      </c>
      <c r="BE11" s="1000">
        <v>0.28000000000000003</v>
      </c>
      <c r="BF11" s="1000">
        <v>0</v>
      </c>
      <c r="BG11" s="1000">
        <v>0</v>
      </c>
      <c r="BH11" s="995">
        <v>-5.0069999999999997</v>
      </c>
      <c r="BI11" s="980">
        <v>-0.09</v>
      </c>
      <c r="BJ11" s="1021">
        <v>0.06</v>
      </c>
    </row>
    <row r="12" spans="1:62" x14ac:dyDescent="0.3">
      <c r="A12" s="1005">
        <v>2028</v>
      </c>
      <c r="B12" s="1007">
        <f t="shared" si="1"/>
        <v>0</v>
      </c>
      <c r="C12" s="1007">
        <f t="shared" si="2"/>
        <v>0</v>
      </c>
      <c r="D12" s="1007">
        <f t="shared" si="3"/>
        <v>3.3000000000000002E-2</v>
      </c>
      <c r="E12" s="1007">
        <f t="shared" si="4"/>
        <v>1.7130000000000001</v>
      </c>
      <c r="F12" s="1007">
        <f t="shared" si="11"/>
        <v>0</v>
      </c>
      <c r="G12" s="1007">
        <f t="shared" si="5"/>
        <v>-5.0590000000000002</v>
      </c>
      <c r="H12" s="1007">
        <f t="shared" si="6"/>
        <v>-1.071</v>
      </c>
      <c r="I12" s="1007">
        <f t="shared" si="7"/>
        <v>0</v>
      </c>
      <c r="J12" s="1007">
        <f t="shared" si="8"/>
        <v>1.635</v>
      </c>
      <c r="K12" s="1007">
        <f t="shared" si="9"/>
        <v>1.81</v>
      </c>
      <c r="L12" s="1013"/>
      <c r="M12" s="1007">
        <f t="shared" si="0"/>
        <v>-2.7690000000000001</v>
      </c>
      <c r="N12" s="1007">
        <f t="shared" si="10"/>
        <v>0</v>
      </c>
      <c r="O12" s="986">
        <v>0.3</v>
      </c>
      <c r="P12" s="981">
        <v>1.08</v>
      </c>
      <c r="Q12" s="980">
        <v>0</v>
      </c>
      <c r="R12" s="988">
        <v>0.63300000000000001</v>
      </c>
      <c r="S12" s="994">
        <v>0</v>
      </c>
      <c r="T12" s="997">
        <v>3.3000000000000002E-2</v>
      </c>
      <c r="U12" s="980">
        <v>0</v>
      </c>
      <c r="V12" s="982">
        <v>0</v>
      </c>
      <c r="W12" s="1000">
        <v>0</v>
      </c>
      <c r="X12" s="1000">
        <v>0</v>
      </c>
      <c r="Y12" s="980">
        <v>0</v>
      </c>
      <c r="Z12" s="980">
        <v>0</v>
      </c>
      <c r="AA12" s="980">
        <v>0</v>
      </c>
      <c r="AB12" s="980">
        <v>0</v>
      </c>
      <c r="AC12" s="982">
        <v>0</v>
      </c>
      <c r="AD12" s="982">
        <v>0</v>
      </c>
      <c r="AE12" s="982">
        <v>0</v>
      </c>
      <c r="AF12" s="982">
        <v>0</v>
      </c>
      <c r="AG12" s="982">
        <v>-1.151</v>
      </c>
      <c r="AH12" s="982">
        <v>0.08</v>
      </c>
      <c r="AI12" s="982">
        <v>0</v>
      </c>
      <c r="AJ12" s="982">
        <v>0</v>
      </c>
      <c r="AK12" s="980">
        <v>0</v>
      </c>
      <c r="AL12" s="980">
        <v>1.635</v>
      </c>
      <c r="AM12" s="980">
        <v>0</v>
      </c>
      <c r="AN12" s="980">
        <v>0.1</v>
      </c>
      <c r="AO12" s="1000">
        <v>0</v>
      </c>
      <c r="AP12" s="980">
        <v>0</v>
      </c>
      <c r="AQ12" s="990">
        <v>0</v>
      </c>
      <c r="AR12" s="980">
        <v>0</v>
      </c>
      <c r="AS12" s="980">
        <v>0</v>
      </c>
      <c r="AT12" s="978">
        <v>1.71</v>
      </c>
      <c r="AU12" s="982">
        <v>0</v>
      </c>
      <c r="AV12" s="980">
        <v>1E-3</v>
      </c>
      <c r="AW12" s="980">
        <v>0</v>
      </c>
      <c r="AX12" s="980">
        <v>0</v>
      </c>
      <c r="AY12" s="1000">
        <v>-2.77</v>
      </c>
      <c r="AZ12" s="980">
        <v>0</v>
      </c>
      <c r="BA12" s="1000">
        <v>0</v>
      </c>
      <c r="BB12" s="980">
        <v>0</v>
      </c>
      <c r="BC12" s="980">
        <v>0</v>
      </c>
      <c r="BD12" s="980">
        <v>0</v>
      </c>
      <c r="BE12" s="1000">
        <v>0.1</v>
      </c>
      <c r="BF12" s="1000">
        <v>0</v>
      </c>
      <c r="BG12" s="1000">
        <v>0</v>
      </c>
      <c r="BH12" s="995">
        <v>-5.069</v>
      </c>
      <c r="BI12" s="980">
        <v>-0.09</v>
      </c>
      <c r="BJ12" s="1021">
        <v>0.03</v>
      </c>
    </row>
    <row r="13" spans="1:62" x14ac:dyDescent="0.3">
      <c r="A13" s="1005">
        <v>2029</v>
      </c>
      <c r="B13" s="1007">
        <f t="shared" si="1"/>
        <v>0</v>
      </c>
      <c r="C13" s="1007">
        <f t="shared" si="2"/>
        <v>0</v>
      </c>
      <c r="D13" s="1007">
        <f t="shared" si="3"/>
        <v>3.3000000000000002E-2</v>
      </c>
      <c r="E13" s="1007">
        <f t="shared" si="4"/>
        <v>1.7130000000000001</v>
      </c>
      <c r="F13" s="1007">
        <f t="shared" si="11"/>
        <v>0</v>
      </c>
      <c r="G13" s="1007">
        <f t="shared" si="5"/>
        <v>-5.218</v>
      </c>
      <c r="H13" s="1007">
        <f t="shared" si="6"/>
        <v>-1.964</v>
      </c>
      <c r="I13" s="1007">
        <f t="shared" si="7"/>
        <v>0</v>
      </c>
      <c r="J13" s="1007">
        <f t="shared" si="8"/>
        <v>-1.7000000000000001E-2</v>
      </c>
      <c r="K13" s="1007">
        <f t="shared" si="9"/>
        <v>1</v>
      </c>
      <c r="L13" s="1013"/>
      <c r="M13" s="1007">
        <f t="shared" si="0"/>
        <v>-2.75</v>
      </c>
      <c r="N13" s="1007">
        <f t="shared" si="10"/>
        <v>0</v>
      </c>
      <c r="O13" s="986">
        <v>0.3</v>
      </c>
      <c r="P13" s="981">
        <v>1.08</v>
      </c>
      <c r="Q13" s="980">
        <v>0</v>
      </c>
      <c r="R13" s="988">
        <v>0.63300000000000001</v>
      </c>
      <c r="S13" s="994">
        <v>0</v>
      </c>
      <c r="T13" s="982">
        <v>3.3000000000000002E-2</v>
      </c>
      <c r="U13" s="980">
        <v>0</v>
      </c>
      <c r="V13" s="982">
        <v>0</v>
      </c>
      <c r="W13" s="1000">
        <v>0</v>
      </c>
      <c r="X13" s="1000">
        <v>0</v>
      </c>
      <c r="Y13" s="980">
        <v>0</v>
      </c>
      <c r="Z13" s="980">
        <v>0</v>
      </c>
      <c r="AA13" s="980">
        <v>0</v>
      </c>
      <c r="AB13" s="980">
        <v>0</v>
      </c>
      <c r="AC13" s="982">
        <v>0</v>
      </c>
      <c r="AD13" s="982">
        <v>0</v>
      </c>
      <c r="AE13" s="982">
        <v>0</v>
      </c>
      <c r="AF13" s="982">
        <v>0</v>
      </c>
      <c r="AG13" s="980">
        <v>-2.044</v>
      </c>
      <c r="AH13" s="982">
        <v>0.08</v>
      </c>
      <c r="AI13" s="982">
        <v>0</v>
      </c>
      <c r="AJ13" s="998">
        <v>0</v>
      </c>
      <c r="AK13" s="980">
        <v>0</v>
      </c>
      <c r="AL13" s="980">
        <v>-1.7000000000000001E-2</v>
      </c>
      <c r="AM13" s="980">
        <v>0</v>
      </c>
      <c r="AN13" s="980">
        <v>0</v>
      </c>
      <c r="AO13" s="1000">
        <v>0</v>
      </c>
      <c r="AP13" s="980">
        <v>0</v>
      </c>
      <c r="AQ13" s="990">
        <v>0</v>
      </c>
      <c r="AR13" s="980">
        <v>0</v>
      </c>
      <c r="AS13" s="980">
        <v>0</v>
      </c>
      <c r="AT13" s="978">
        <v>1</v>
      </c>
      <c r="AU13" s="982">
        <v>0</v>
      </c>
      <c r="AV13" s="980">
        <v>0</v>
      </c>
      <c r="AW13" s="980">
        <v>0</v>
      </c>
      <c r="AX13" s="980">
        <v>0</v>
      </c>
      <c r="AY13" s="1000">
        <v>-2.75</v>
      </c>
      <c r="AZ13" s="980">
        <v>0</v>
      </c>
      <c r="BA13" s="1000">
        <v>0</v>
      </c>
      <c r="BB13" s="980">
        <v>0</v>
      </c>
      <c r="BC13" s="980">
        <v>0</v>
      </c>
      <c r="BD13" s="980">
        <v>0</v>
      </c>
      <c r="BE13" s="1000">
        <v>0</v>
      </c>
      <c r="BF13" s="999">
        <v>0</v>
      </c>
      <c r="BG13" s="1000">
        <v>0</v>
      </c>
      <c r="BH13" s="995">
        <v>-5.1180000000000003</v>
      </c>
      <c r="BI13" s="980">
        <v>-0.1</v>
      </c>
      <c r="BJ13" s="1021">
        <v>0.01</v>
      </c>
    </row>
    <row r="14" spans="1:62" x14ac:dyDescent="0.3">
      <c r="A14" s="1005">
        <v>2030</v>
      </c>
      <c r="B14" s="1007">
        <f t="shared" si="1"/>
        <v>0</v>
      </c>
      <c r="C14" s="1007">
        <f t="shared" si="2"/>
        <v>0</v>
      </c>
      <c r="D14" s="1007">
        <f t="shared" si="3"/>
        <v>3.3000000000000002E-2</v>
      </c>
      <c r="E14" s="1007">
        <f t="shared" si="4"/>
        <v>1.8130000000000002</v>
      </c>
      <c r="F14" s="1007">
        <f t="shared" si="11"/>
        <v>0</v>
      </c>
      <c r="G14" s="1007">
        <f t="shared" si="5"/>
        <v>-5.9420000000000002</v>
      </c>
      <c r="H14" s="1007">
        <f t="shared" si="6"/>
        <v>-2.0210000000000004</v>
      </c>
      <c r="I14" s="1007">
        <f t="shared" si="7"/>
        <v>0</v>
      </c>
      <c r="J14" s="1007">
        <f t="shared" si="8"/>
        <v>-1.9E-2</v>
      </c>
      <c r="K14" s="1007">
        <f t="shared" si="9"/>
        <v>0.8</v>
      </c>
      <c r="L14" s="1013"/>
      <c r="M14" s="1007">
        <f t="shared" si="0"/>
        <v>-8.1189999999999998</v>
      </c>
      <c r="N14" s="1007">
        <f t="shared" si="10"/>
        <v>0</v>
      </c>
      <c r="O14" s="986">
        <v>0.3</v>
      </c>
      <c r="P14" s="981">
        <v>1.1800000000000002</v>
      </c>
      <c r="Q14" s="980">
        <v>0</v>
      </c>
      <c r="R14" s="988">
        <v>0.63300000000000001</v>
      </c>
      <c r="S14" s="994">
        <v>0</v>
      </c>
      <c r="T14" s="982">
        <v>3.3000000000000002E-2</v>
      </c>
      <c r="U14" s="980">
        <v>0</v>
      </c>
      <c r="V14" s="982">
        <v>0</v>
      </c>
      <c r="W14" s="1000">
        <v>0</v>
      </c>
      <c r="X14" s="1000">
        <v>0</v>
      </c>
      <c r="Y14" s="980">
        <v>0</v>
      </c>
      <c r="Z14" s="980">
        <v>0</v>
      </c>
      <c r="AA14" s="980">
        <v>0</v>
      </c>
      <c r="AB14" s="980">
        <v>0</v>
      </c>
      <c r="AC14" s="982">
        <v>0</v>
      </c>
      <c r="AD14" s="988">
        <v>0</v>
      </c>
      <c r="AE14" s="980">
        <v>0</v>
      </c>
      <c r="AF14" s="982">
        <v>0</v>
      </c>
      <c r="AG14" s="982">
        <v>-2.1110000000000002</v>
      </c>
      <c r="AH14" s="982">
        <v>0.09</v>
      </c>
      <c r="AI14" s="982">
        <v>0</v>
      </c>
      <c r="AJ14" s="1001">
        <v>0</v>
      </c>
      <c r="AK14" s="980">
        <v>0</v>
      </c>
      <c r="AL14" s="980">
        <v>-1.9E-2</v>
      </c>
      <c r="AM14" s="980">
        <v>0</v>
      </c>
      <c r="AN14" s="980">
        <v>0</v>
      </c>
      <c r="AO14" s="1000">
        <v>0</v>
      </c>
      <c r="AP14" s="980">
        <v>0</v>
      </c>
      <c r="AQ14" s="990">
        <v>0</v>
      </c>
      <c r="AR14" s="980">
        <v>0</v>
      </c>
      <c r="AS14" s="980">
        <v>0</v>
      </c>
      <c r="AT14" s="1000">
        <v>0.8</v>
      </c>
      <c r="AU14" s="982">
        <v>-5.4089999999999998</v>
      </c>
      <c r="AV14" s="980">
        <v>0</v>
      </c>
      <c r="AW14" s="980">
        <v>0</v>
      </c>
      <c r="AX14" s="980">
        <v>0</v>
      </c>
      <c r="AY14" s="1000">
        <v>-2.71</v>
      </c>
      <c r="AZ14" s="980">
        <v>0</v>
      </c>
      <c r="BA14" s="1000">
        <v>0</v>
      </c>
      <c r="BB14" s="980">
        <v>0</v>
      </c>
      <c r="BC14" s="980">
        <v>0</v>
      </c>
      <c r="BD14" s="980">
        <v>0</v>
      </c>
      <c r="BE14" s="980">
        <v>0</v>
      </c>
      <c r="BF14" s="1000">
        <v>0</v>
      </c>
      <c r="BG14" s="1000">
        <v>0</v>
      </c>
      <c r="BH14" s="982">
        <v>-5.8319999999999999</v>
      </c>
      <c r="BI14" s="980">
        <v>-0.11</v>
      </c>
      <c r="BJ14" s="1020">
        <v>0.01</v>
      </c>
    </row>
    <row r="15" spans="1:62" ht="17.25" customHeight="1" x14ac:dyDescent="0.3">
      <c r="A15" s="1005">
        <v>2031</v>
      </c>
      <c r="B15" s="1007">
        <f t="shared" si="1"/>
        <v>0</v>
      </c>
      <c r="C15" s="1007">
        <f t="shared" si="2"/>
        <v>0</v>
      </c>
      <c r="D15" s="1007">
        <f t="shared" si="3"/>
        <v>0</v>
      </c>
      <c r="E15" s="1007">
        <f t="shared" si="4"/>
        <v>1.8230000000000002</v>
      </c>
      <c r="F15" s="1007">
        <f t="shared" si="11"/>
        <v>0</v>
      </c>
      <c r="G15" s="1007">
        <f t="shared" si="5"/>
        <v>-7.7250000000000005</v>
      </c>
      <c r="H15" s="1007">
        <f t="shared" si="6"/>
        <v>-2.4630000000000001</v>
      </c>
      <c r="I15" s="1007">
        <f t="shared" si="7"/>
        <v>0</v>
      </c>
      <c r="J15" s="1007">
        <f t="shared" si="8"/>
        <v>-1.9E-2</v>
      </c>
      <c r="K15" s="1007">
        <f t="shared" si="9"/>
        <v>0</v>
      </c>
      <c r="L15" s="1013"/>
      <c r="M15" s="1007">
        <f t="shared" si="0"/>
        <v>-3.0390000000000001</v>
      </c>
      <c r="N15" s="1007">
        <f t="shared" si="10"/>
        <v>0</v>
      </c>
      <c r="O15" s="986">
        <v>0.3</v>
      </c>
      <c r="P15" s="981">
        <v>1.1900000000000002</v>
      </c>
      <c r="Q15" s="980">
        <v>0</v>
      </c>
      <c r="R15" s="988">
        <v>0.63300000000000001</v>
      </c>
      <c r="S15" s="994">
        <v>0</v>
      </c>
      <c r="T15" s="1000">
        <v>0</v>
      </c>
      <c r="U15" s="980">
        <v>0</v>
      </c>
      <c r="V15" s="980">
        <v>0</v>
      </c>
      <c r="W15" s="1000">
        <v>0</v>
      </c>
      <c r="X15" s="1000">
        <v>0</v>
      </c>
      <c r="Y15" s="980">
        <v>0</v>
      </c>
      <c r="Z15" s="980">
        <v>0</v>
      </c>
      <c r="AA15" s="980">
        <v>0</v>
      </c>
      <c r="AB15" s="980">
        <v>0</v>
      </c>
      <c r="AC15" s="982">
        <v>0</v>
      </c>
      <c r="AD15" s="980">
        <v>0</v>
      </c>
      <c r="AE15" s="982">
        <v>0</v>
      </c>
      <c r="AF15" s="982">
        <v>0</v>
      </c>
      <c r="AG15" s="982">
        <v>-2.5529999999999999</v>
      </c>
      <c r="AH15" s="982">
        <v>0.09</v>
      </c>
      <c r="AI15" s="982">
        <v>0</v>
      </c>
      <c r="AJ15" s="1002">
        <v>0</v>
      </c>
      <c r="AK15" s="980">
        <v>0</v>
      </c>
      <c r="AL15" s="980">
        <v>-1.9E-2</v>
      </c>
      <c r="AM15" s="980">
        <v>0</v>
      </c>
      <c r="AN15" s="980">
        <v>0</v>
      </c>
      <c r="AO15" s="1000">
        <v>0</v>
      </c>
      <c r="AP15" s="980">
        <v>0</v>
      </c>
      <c r="AQ15" s="990">
        <v>0</v>
      </c>
      <c r="AR15" s="980">
        <v>0</v>
      </c>
      <c r="AS15" s="980">
        <v>0</v>
      </c>
      <c r="AT15" s="1000">
        <v>0</v>
      </c>
      <c r="AU15" s="982">
        <v>-0.26900000000000002</v>
      </c>
      <c r="AV15" s="980">
        <v>0</v>
      </c>
      <c r="AW15" s="980">
        <v>0</v>
      </c>
      <c r="AX15" s="980">
        <v>0</v>
      </c>
      <c r="AY15" s="1000">
        <v>-2.77</v>
      </c>
      <c r="AZ15" s="980">
        <v>0</v>
      </c>
      <c r="BA15" s="1000">
        <v>0</v>
      </c>
      <c r="BB15" s="980">
        <v>0</v>
      </c>
      <c r="BC15" s="980">
        <v>0</v>
      </c>
      <c r="BD15" s="980">
        <v>0</v>
      </c>
      <c r="BE15" s="980">
        <v>0</v>
      </c>
      <c r="BF15" s="1000">
        <v>0</v>
      </c>
      <c r="BG15" s="1000">
        <v>0</v>
      </c>
      <c r="BH15" s="982">
        <v>-5.4350000000000005</v>
      </c>
      <c r="BI15" s="980">
        <v>-2.29</v>
      </c>
      <c r="BJ15" s="1020">
        <v>0</v>
      </c>
    </row>
    <row r="16" spans="1:62" x14ac:dyDescent="0.3">
      <c r="A16" s="1006" t="s">
        <v>360</v>
      </c>
      <c r="B16" s="1006">
        <f>SUM(B5:B15)</f>
        <v>412.15299999999996</v>
      </c>
      <c r="C16" s="1006">
        <f>SUM(C5:C15)</f>
        <v>205.79999999999998</v>
      </c>
      <c r="D16" s="1006">
        <f>SUM(D5:D15)</f>
        <v>22.711000000000006</v>
      </c>
      <c r="E16" s="1006">
        <f t="shared" ref="E16:H16" si="12">SUM(E5:E15)</f>
        <v>35.466000000000015</v>
      </c>
      <c r="F16" s="1006">
        <f t="shared" si="12"/>
        <v>91.563000000000002</v>
      </c>
      <c r="G16" s="1007">
        <f t="shared" si="5"/>
        <v>174.17</v>
      </c>
      <c r="H16" s="1006">
        <f t="shared" si="12"/>
        <v>21.600999999999996</v>
      </c>
      <c r="I16" s="1013">
        <f t="shared" ref="I16" si="13">SUM(I5:I15)</f>
        <v>362.04999999999995</v>
      </c>
      <c r="J16" s="1013">
        <f t="shared" ref="J16" si="14">SUM(J5:J15)</f>
        <v>169.16899999999998</v>
      </c>
      <c r="K16" s="1007">
        <f t="shared" si="9"/>
        <v>112.72</v>
      </c>
      <c r="L16" s="1013">
        <f>SUM(L5:L15)</f>
        <v>25.75</v>
      </c>
      <c r="M16" s="1007">
        <f t="shared" si="0"/>
        <v>85.197999999999993</v>
      </c>
      <c r="N16" s="1007">
        <f>AK16</f>
        <v>8.5</v>
      </c>
      <c r="O16" s="987">
        <f t="shared" ref="O16:BI16" si="15">SUM(O5:O15)</f>
        <v>109.3</v>
      </c>
      <c r="P16" s="980">
        <f t="shared" si="15"/>
        <v>25.819999999999997</v>
      </c>
      <c r="Q16" s="980">
        <f t="shared" si="15"/>
        <v>412.15299999999996</v>
      </c>
      <c r="R16" s="980">
        <f t="shared" si="15"/>
        <v>5.774</v>
      </c>
      <c r="S16" s="980">
        <f t="shared" si="15"/>
        <v>3.8719999999999999</v>
      </c>
      <c r="T16" s="980">
        <f t="shared" si="15"/>
        <v>22.711000000000006</v>
      </c>
      <c r="U16" s="980">
        <f t="shared" si="15"/>
        <v>41.599999999999994</v>
      </c>
      <c r="V16" s="980">
        <f t="shared" si="15"/>
        <v>44.947999999999993</v>
      </c>
      <c r="W16" s="980">
        <f t="shared" si="15"/>
        <v>5</v>
      </c>
      <c r="X16" s="980">
        <f t="shared" si="15"/>
        <v>1.4440000000000002</v>
      </c>
      <c r="Y16" s="980">
        <f t="shared" si="15"/>
        <v>0.2</v>
      </c>
      <c r="Z16" s="980">
        <f t="shared" si="15"/>
        <v>45.4</v>
      </c>
      <c r="AA16" s="980">
        <f t="shared" si="15"/>
        <v>35.5</v>
      </c>
      <c r="AB16" s="980">
        <f t="shared" si="15"/>
        <v>124.7</v>
      </c>
      <c r="AC16" s="980">
        <f t="shared" si="15"/>
        <v>28</v>
      </c>
      <c r="AD16" s="980">
        <f t="shared" si="15"/>
        <v>9.100000000000022E-2</v>
      </c>
      <c r="AE16" s="980">
        <f t="shared" si="15"/>
        <v>22.810000000000002</v>
      </c>
      <c r="AF16" s="980">
        <f t="shared" si="15"/>
        <v>1.42</v>
      </c>
      <c r="AG16" s="980">
        <f t="shared" si="15"/>
        <v>20.662999999999997</v>
      </c>
      <c r="AH16" s="980">
        <f t="shared" si="15"/>
        <v>0.86999999999999988</v>
      </c>
      <c r="AI16" s="980">
        <f t="shared" si="15"/>
        <v>6.8000000000000005E-2</v>
      </c>
      <c r="AJ16" s="980">
        <f t="shared" si="15"/>
        <v>362.04999999999995</v>
      </c>
      <c r="AK16" s="980">
        <f t="shared" ref="AK16:AO16" si="16">SUM(AK5:AK15)</f>
        <v>8.5</v>
      </c>
      <c r="AL16" s="980">
        <f t="shared" si="16"/>
        <v>169.16899999999998</v>
      </c>
      <c r="AM16" s="1009">
        <f t="shared" si="16"/>
        <v>0.79700000000000004</v>
      </c>
      <c r="AN16" s="980">
        <f t="shared" si="16"/>
        <v>8.6</v>
      </c>
      <c r="AO16" s="980">
        <f t="shared" si="16"/>
        <v>3.2000000000000006</v>
      </c>
      <c r="AP16" s="980">
        <f t="shared" si="15"/>
        <v>2.8000000000000003</v>
      </c>
      <c r="AQ16" s="1014">
        <f>SUM(AQ5:AQ15)</f>
        <v>28</v>
      </c>
      <c r="AR16" s="980">
        <f>SUM(AR5:AR15)</f>
        <v>14.899999999999999</v>
      </c>
      <c r="AS16" s="980">
        <f>SUM(AS5:AS15)</f>
        <v>3.8730000000000002</v>
      </c>
      <c r="AT16" s="980">
        <f t="shared" ref="AT16" si="17">SUM(AT5:AT15)</f>
        <v>50.54999999999999</v>
      </c>
      <c r="AU16" s="980">
        <f t="shared" si="15"/>
        <v>-5.6779999999999999</v>
      </c>
      <c r="AV16" s="980">
        <f t="shared" si="15"/>
        <v>8.177999999999999</v>
      </c>
      <c r="AW16" s="980">
        <f t="shared" si="15"/>
        <v>16.667999999999999</v>
      </c>
      <c r="AX16" s="980">
        <f t="shared" si="15"/>
        <v>9.9</v>
      </c>
      <c r="AY16" s="980">
        <f t="shared" si="15"/>
        <v>-25.860000000000003</v>
      </c>
      <c r="AZ16" s="980">
        <f t="shared" si="15"/>
        <v>81.99</v>
      </c>
      <c r="BA16" s="980">
        <v>0</v>
      </c>
      <c r="BB16" s="980">
        <f t="shared" si="15"/>
        <v>24</v>
      </c>
      <c r="BC16" s="980">
        <f t="shared" si="15"/>
        <v>7.25</v>
      </c>
      <c r="BD16" s="980">
        <f t="shared" si="15"/>
        <v>49.8</v>
      </c>
      <c r="BE16" s="980">
        <f t="shared" si="15"/>
        <v>9.02</v>
      </c>
      <c r="BF16" s="980">
        <f t="shared" si="15"/>
        <v>6.2439999999999998</v>
      </c>
      <c r="BG16" s="980">
        <f t="shared" si="15"/>
        <v>10.218</v>
      </c>
      <c r="BH16" s="980">
        <f t="shared" si="15"/>
        <v>50.203999999999979</v>
      </c>
      <c r="BI16" s="980">
        <f t="shared" si="15"/>
        <v>24.684000000000005</v>
      </c>
      <c r="BJ16" s="1022">
        <f>SUM(BJ5:BJ15)</f>
        <v>9.5399999999999991</v>
      </c>
    </row>
    <row r="17" spans="2:61" x14ac:dyDescent="0.3">
      <c r="R17" s="988"/>
      <c r="S17" s="988"/>
      <c r="W17" s="988"/>
      <c r="X17" s="988"/>
      <c r="AE17" s="988"/>
      <c r="AF17" s="988"/>
      <c r="AV17" s="988"/>
      <c r="AW17" s="988"/>
      <c r="AX17" s="988"/>
      <c r="AY17" s="988"/>
      <c r="AZ17" s="988"/>
      <c r="BA17" s="988"/>
      <c r="BC17" s="988"/>
      <c r="BE17" s="988"/>
      <c r="BF17" s="988"/>
      <c r="BG17" s="988"/>
    </row>
    <row r="18" spans="2:61" x14ac:dyDescent="0.3">
      <c r="R18" s="988"/>
      <c r="S18" s="988"/>
      <c r="W18" s="988"/>
      <c r="X18" s="988"/>
      <c r="AE18" s="988"/>
      <c r="AF18" s="988"/>
      <c r="AV18" s="988"/>
      <c r="AW18" s="988"/>
      <c r="AX18" s="988"/>
      <c r="AY18" s="988"/>
      <c r="AZ18" s="988"/>
      <c r="BA18" s="988"/>
      <c r="BC18" s="988" t="s">
        <v>791</v>
      </c>
      <c r="BD18" s="988" t="s">
        <v>791</v>
      </c>
      <c r="BE18" s="988"/>
      <c r="BF18" s="988" t="s">
        <v>791</v>
      </c>
      <c r="BG18" s="988" t="s">
        <v>791</v>
      </c>
      <c r="BI18" s="988" t="s">
        <v>791</v>
      </c>
    </row>
    <row r="19" spans="2:61" x14ac:dyDescent="0.3">
      <c r="B19" s="1015"/>
      <c r="C19" s="1015"/>
      <c r="D19" s="1015"/>
      <c r="E19" s="1015"/>
      <c r="F19" s="1015"/>
      <c r="H19" s="1015"/>
      <c r="I19" s="1015"/>
      <c r="J19" s="1015"/>
      <c r="K19" s="1015"/>
      <c r="M19" s="1015"/>
      <c r="N19" s="1015"/>
      <c r="R19" s="988"/>
      <c r="S19" s="988"/>
      <c r="W19" s="988"/>
      <c r="X19" s="988"/>
      <c r="AE19" s="988"/>
      <c r="AF19" s="988"/>
      <c r="AV19" s="988"/>
      <c r="AW19" s="988"/>
      <c r="AX19" s="988"/>
      <c r="AY19" s="988"/>
      <c r="AZ19" s="988"/>
      <c r="BA19" s="988"/>
      <c r="BC19" s="988"/>
      <c r="BD19" t="s">
        <v>792</v>
      </c>
      <c r="BE19" s="988"/>
      <c r="BF19" s="988"/>
      <c r="BG19" s="988"/>
    </row>
    <row r="20" spans="2:61" x14ac:dyDescent="0.3">
      <c r="R20" s="988"/>
      <c r="S20" s="988"/>
      <c r="W20" s="988"/>
      <c r="X20" s="988"/>
      <c r="AE20" s="988"/>
      <c r="AF20" s="988"/>
      <c r="AV20" s="988"/>
      <c r="AW20" s="988"/>
      <c r="AX20" s="988"/>
      <c r="AY20" s="988"/>
      <c r="AZ20" s="988"/>
      <c r="BA20" s="988"/>
      <c r="BC20" s="988"/>
      <c r="BE20" s="988"/>
      <c r="BF20" s="988"/>
      <c r="BG20" s="988"/>
    </row>
    <row r="21" spans="2:61" x14ac:dyDescent="0.3">
      <c r="R21" s="988"/>
      <c r="S21" s="988"/>
      <c r="W21" s="988"/>
      <c r="X21" s="988"/>
      <c r="AE21" s="988"/>
      <c r="AF21" s="988"/>
      <c r="AV21" s="988"/>
      <c r="AW21" s="988"/>
      <c r="AX21" s="988"/>
      <c r="AY21" s="988"/>
      <c r="AZ21" s="988"/>
      <c r="BA21" s="988"/>
      <c r="BC21" s="988"/>
      <c r="BE21" s="988"/>
      <c r="BF21" s="988"/>
      <c r="BG21" s="988"/>
    </row>
    <row r="22" spans="2:61" x14ac:dyDescent="0.3">
      <c r="B22" s="1015"/>
      <c r="R22" s="988"/>
      <c r="S22" s="988"/>
      <c r="W22" s="988"/>
      <c r="X22" s="988"/>
      <c r="AE22" s="988"/>
      <c r="AF22" s="988"/>
      <c r="AV22" s="988"/>
      <c r="AW22" s="988"/>
      <c r="AX22" s="988"/>
      <c r="AY22" s="988"/>
      <c r="AZ22" s="988"/>
      <c r="BA22" s="988"/>
      <c r="BC22" s="988"/>
      <c r="BE22" s="988"/>
      <c r="BF22" s="988"/>
      <c r="BG22" s="988"/>
    </row>
    <row r="23" spans="2:61" x14ac:dyDescent="0.3">
      <c r="B23" s="1015"/>
      <c r="R23" s="988"/>
      <c r="S23" s="988"/>
      <c r="W23" s="988"/>
      <c r="X23" s="988"/>
      <c r="AE23" s="988"/>
      <c r="AF23" s="988"/>
      <c r="AV23" s="988"/>
      <c r="AW23" s="988"/>
      <c r="AX23" s="988"/>
      <c r="AY23" s="988"/>
      <c r="AZ23" s="988"/>
      <c r="BA23" s="988"/>
      <c r="BC23" s="988"/>
      <c r="BE23" s="988"/>
      <c r="BF23" s="988"/>
      <c r="BG23" s="988"/>
    </row>
    <row r="24" spans="2:61" x14ac:dyDescent="0.3">
      <c r="B24" s="1015"/>
      <c r="R24" s="988"/>
      <c r="S24" s="988"/>
      <c r="W24" s="988"/>
      <c r="X24" s="988"/>
      <c r="AE24" s="988"/>
      <c r="AF24" s="988"/>
      <c r="AV24" s="988"/>
      <c r="AW24" s="988"/>
      <c r="AX24" s="988"/>
      <c r="AY24" s="988"/>
      <c r="AZ24" s="988"/>
      <c r="BA24" s="988"/>
      <c r="BC24" s="988"/>
      <c r="BE24" s="988"/>
      <c r="BF24" s="988"/>
      <c r="BG24" s="988"/>
    </row>
    <row r="25" spans="2:61" x14ac:dyDescent="0.3">
      <c r="B25" s="1015"/>
      <c r="R25" s="988"/>
      <c r="S25" s="988"/>
      <c r="W25" s="988"/>
      <c r="X25" s="988"/>
      <c r="AE25" s="988"/>
      <c r="AF25" s="988"/>
      <c r="AV25" s="988"/>
      <c r="AW25" s="988"/>
      <c r="AX25" s="988"/>
      <c r="AY25" s="988"/>
      <c r="AZ25" s="988"/>
      <c r="BA25" s="988"/>
      <c r="BC25" s="988"/>
      <c r="BE25" s="988"/>
      <c r="BF25" s="988"/>
      <c r="BG25" s="988"/>
    </row>
    <row r="26" spans="2:61" x14ac:dyDescent="0.3">
      <c r="B26" s="1015"/>
      <c r="R26" s="988"/>
      <c r="S26" s="988"/>
      <c r="W26" s="988"/>
      <c r="X26" s="988"/>
      <c r="AE26" s="988"/>
      <c r="AF26" s="988"/>
      <c r="AV26" s="988"/>
      <c r="AW26" s="988"/>
      <c r="AX26" s="988"/>
      <c r="AY26" s="988"/>
      <c r="AZ26" s="988"/>
      <c r="BA26" s="988"/>
      <c r="BC26" s="988"/>
      <c r="BE26" s="988"/>
      <c r="BF26" s="988"/>
      <c r="BG26" s="988"/>
    </row>
    <row r="27" spans="2:61" x14ac:dyDescent="0.3">
      <c r="B27" s="1015"/>
      <c r="R27" s="988"/>
      <c r="S27" s="988"/>
      <c r="W27" s="988"/>
      <c r="X27" s="988"/>
      <c r="AE27" s="988"/>
      <c r="AF27" s="988"/>
      <c r="AV27" s="988"/>
      <c r="AW27" s="988"/>
      <c r="AX27" s="988"/>
      <c r="AY27" s="988"/>
      <c r="AZ27" s="988"/>
      <c r="BA27" s="988"/>
      <c r="BC27" s="988"/>
      <c r="BE27" s="988"/>
      <c r="BF27" s="988"/>
      <c r="BG27" s="988"/>
    </row>
    <row r="28" spans="2:61" x14ac:dyDescent="0.3">
      <c r="B28" s="1015"/>
      <c r="R28" s="988"/>
      <c r="S28" s="988"/>
      <c r="W28" s="988"/>
      <c r="X28" s="988"/>
      <c r="AE28" s="988"/>
      <c r="AF28" s="988"/>
      <c r="AV28" s="988"/>
      <c r="AW28" s="988"/>
      <c r="AX28" s="988"/>
      <c r="AY28" s="988"/>
      <c r="AZ28" s="988"/>
      <c r="BA28" s="988"/>
      <c r="BC28" s="988"/>
      <c r="BE28" s="988"/>
      <c r="BF28" s="988"/>
      <c r="BG28" s="988"/>
    </row>
    <row r="29" spans="2:61" x14ac:dyDescent="0.3">
      <c r="R29" s="988"/>
      <c r="S29" s="988"/>
      <c r="W29" s="988"/>
      <c r="X29" s="988"/>
      <c r="AE29" s="988"/>
      <c r="AF29" s="988"/>
      <c r="AV29" s="988"/>
      <c r="AW29" s="988"/>
      <c r="AX29" s="988"/>
      <c r="AY29" s="988"/>
      <c r="AZ29" s="988"/>
      <c r="BA29" s="988"/>
      <c r="BC29" s="988"/>
      <c r="BE29" s="988"/>
      <c r="BF29" s="988"/>
      <c r="BG29" s="988"/>
    </row>
    <row r="30" spans="2:61" x14ac:dyDescent="0.3">
      <c r="R30" s="988"/>
      <c r="S30" s="988"/>
      <c r="W30" s="988"/>
      <c r="X30" s="988"/>
      <c r="AE30" s="988"/>
      <c r="AF30" s="988"/>
      <c r="AV30" s="988"/>
      <c r="AW30" s="988"/>
      <c r="AX30" s="988"/>
      <c r="AY30" s="988"/>
      <c r="AZ30" s="988"/>
      <c r="BA30" s="988"/>
      <c r="BC30" s="988"/>
      <c r="BE30" s="988"/>
      <c r="BF30" s="988"/>
      <c r="BG30" s="988"/>
    </row>
    <row r="31" spans="2:61" x14ac:dyDescent="0.3">
      <c r="R31" s="988"/>
      <c r="S31" s="988"/>
      <c r="W31" s="988"/>
      <c r="X31" s="988"/>
      <c r="AE31" s="988"/>
      <c r="AF31" s="988"/>
      <c r="AV31" s="988"/>
      <c r="AW31" s="988"/>
      <c r="AX31" s="988"/>
      <c r="AY31" s="988"/>
      <c r="AZ31" s="988"/>
      <c r="BA31" s="988"/>
      <c r="BC31" s="988"/>
      <c r="BE31" s="988"/>
      <c r="BF31" s="988"/>
      <c r="BG31" s="988"/>
    </row>
    <row r="32" spans="2:61" x14ac:dyDescent="0.3">
      <c r="R32" s="988"/>
      <c r="S32" s="988"/>
      <c r="W32" s="988"/>
      <c r="X32" s="988"/>
      <c r="AE32" s="988"/>
      <c r="AF32" s="988"/>
      <c r="AV32" s="988"/>
      <c r="AW32" s="988"/>
      <c r="AX32" s="988"/>
      <c r="AY32" s="988"/>
      <c r="AZ32" s="988"/>
      <c r="BA32" s="988"/>
      <c r="BC32" s="988"/>
      <c r="BE32" s="988"/>
      <c r="BF32" s="988"/>
      <c r="BG32" s="988"/>
    </row>
    <row r="33" spans="18:59" x14ac:dyDescent="0.3">
      <c r="R33" s="988"/>
      <c r="S33" s="988"/>
      <c r="W33" s="988"/>
      <c r="X33" s="988"/>
      <c r="AE33" s="988"/>
      <c r="AF33" s="988"/>
      <c r="AV33" s="988"/>
      <c r="AW33" s="988"/>
      <c r="AX33" s="988"/>
      <c r="AY33" s="988"/>
      <c r="AZ33" s="988"/>
      <c r="BA33" s="988"/>
      <c r="BC33" s="988"/>
      <c r="BE33" s="988"/>
      <c r="BF33" s="988"/>
      <c r="BG33" s="988"/>
    </row>
    <row r="34" spans="18:59" x14ac:dyDescent="0.3">
      <c r="R34" s="988"/>
      <c r="S34" s="988"/>
      <c r="W34" s="988"/>
      <c r="X34" s="988"/>
      <c r="AE34" s="988"/>
      <c r="AF34" s="988"/>
      <c r="AV34" s="988"/>
      <c r="AW34" s="988"/>
      <c r="AX34" s="988"/>
      <c r="AY34" s="988"/>
      <c r="AZ34" s="988"/>
      <c r="BA34" s="988"/>
      <c r="BC34" s="988"/>
      <c r="BE34" s="988"/>
      <c r="BF34" s="988"/>
      <c r="BG34" s="988"/>
    </row>
    <row r="35" spans="18:59" x14ac:dyDescent="0.3">
      <c r="R35" s="988"/>
      <c r="S35" s="988"/>
      <c r="W35" s="988"/>
      <c r="X35" s="988"/>
      <c r="AE35" s="988"/>
      <c r="AF35" s="988"/>
      <c r="AV35" s="988"/>
      <c r="AW35" s="988"/>
      <c r="AX35" s="988"/>
      <c r="AY35" s="988"/>
      <c r="AZ35" s="988"/>
      <c r="BA35" s="988"/>
      <c r="BC35" s="988"/>
      <c r="BE35" s="988"/>
      <c r="BF35" s="988"/>
      <c r="BG35" s="988"/>
    </row>
    <row r="36" spans="18:59" x14ac:dyDescent="0.3">
      <c r="R36" s="988"/>
      <c r="S36" s="988"/>
      <c r="W36" s="988"/>
      <c r="X36" s="988"/>
      <c r="AE36" s="988"/>
      <c r="AF36" s="988"/>
      <c r="AV36" s="988"/>
      <c r="AW36" s="988"/>
      <c r="AX36" s="988"/>
      <c r="AY36" s="988"/>
      <c r="AZ36" s="988"/>
      <c r="BA36" s="988"/>
      <c r="BC36" s="988"/>
      <c r="BE36" s="988"/>
      <c r="BF36" s="988"/>
      <c r="BG36" s="988"/>
    </row>
    <row r="37" spans="18:59" x14ac:dyDescent="0.3">
      <c r="R37" s="988"/>
      <c r="S37" s="988"/>
      <c r="W37" s="988"/>
      <c r="X37" s="988"/>
      <c r="AE37" s="988"/>
      <c r="AF37" s="988"/>
      <c r="AV37" s="988"/>
      <c r="AW37" s="988"/>
      <c r="AX37" s="988"/>
      <c r="AY37" s="988"/>
      <c r="AZ37" s="988"/>
      <c r="BA37" s="988"/>
      <c r="BC37" s="988"/>
      <c r="BE37" s="988"/>
      <c r="BF37" s="988"/>
      <c r="BG37" s="988"/>
    </row>
    <row r="38" spans="18:59" x14ac:dyDescent="0.3">
      <c r="R38" s="988"/>
      <c r="S38" s="988"/>
      <c r="W38" s="988"/>
      <c r="X38" s="988"/>
      <c r="AE38" s="988"/>
      <c r="AF38" s="988"/>
      <c r="AV38" s="988"/>
      <c r="AW38" s="988"/>
      <c r="AX38" s="988"/>
      <c r="AY38" s="988"/>
      <c r="AZ38" s="988"/>
      <c r="BA38" s="988"/>
      <c r="BC38" s="988"/>
      <c r="BE38" s="988"/>
      <c r="BF38" s="988"/>
      <c r="BG38" s="988"/>
    </row>
    <row r="39" spans="18:59" x14ac:dyDescent="0.3">
      <c r="R39" s="988"/>
      <c r="S39" s="988"/>
      <c r="W39" s="988"/>
      <c r="X39" s="988"/>
      <c r="AE39" s="988"/>
      <c r="AF39" s="988"/>
      <c r="AV39" s="988"/>
      <c r="AW39" s="988"/>
      <c r="AX39" s="988"/>
      <c r="AY39" s="988"/>
      <c r="AZ39" s="988"/>
      <c r="BA39" s="988"/>
      <c r="BC39" s="988"/>
      <c r="BE39" s="988"/>
      <c r="BF39" s="988"/>
      <c r="BG39" s="988"/>
    </row>
    <row r="40" spans="18:59" x14ac:dyDescent="0.3">
      <c r="R40" s="988"/>
      <c r="S40" s="988"/>
      <c r="W40" s="988"/>
      <c r="X40" s="988"/>
      <c r="AE40" s="988"/>
      <c r="AF40" s="988"/>
      <c r="AV40" s="988"/>
      <c r="AW40" s="988"/>
      <c r="AX40" s="988"/>
      <c r="AY40" s="988"/>
      <c r="AZ40" s="988"/>
      <c r="BA40" s="988"/>
      <c r="BC40" s="988"/>
      <c r="BE40" s="988"/>
      <c r="BF40" s="988"/>
      <c r="BG40" s="988"/>
    </row>
    <row r="41" spans="18:59" x14ac:dyDescent="0.3">
      <c r="R41" s="988"/>
      <c r="S41" s="988"/>
      <c r="W41" s="988"/>
      <c r="X41" s="988"/>
      <c r="AE41" s="988"/>
      <c r="AF41" s="988"/>
      <c r="AV41" s="988"/>
      <c r="AW41" s="988"/>
      <c r="AX41" s="988"/>
      <c r="AY41" s="988"/>
      <c r="AZ41" s="988"/>
      <c r="BA41" s="988"/>
      <c r="BC41" s="988"/>
      <c r="BE41" s="988"/>
      <c r="BF41" s="988"/>
      <c r="BG41" s="988"/>
    </row>
    <row r="42" spans="18:59" x14ac:dyDescent="0.3">
      <c r="R42" s="988"/>
      <c r="S42" s="988"/>
      <c r="W42" s="988"/>
      <c r="X42" s="988"/>
      <c r="AE42" s="988"/>
      <c r="AF42" s="988"/>
      <c r="AV42" s="988"/>
      <c r="AW42" s="988"/>
      <c r="AX42" s="988"/>
      <c r="AY42" s="988"/>
      <c r="AZ42" s="988"/>
      <c r="BA42" s="988"/>
      <c r="BC42" s="988"/>
      <c r="BE42" s="988"/>
      <c r="BF42" s="988"/>
      <c r="BG42" s="988"/>
    </row>
    <row r="43" spans="18:59" x14ac:dyDescent="0.3">
      <c r="R43" s="988"/>
      <c r="S43" s="988"/>
      <c r="W43" s="988"/>
      <c r="X43" s="988"/>
      <c r="AE43" s="988"/>
      <c r="AF43" s="988"/>
      <c r="AV43" s="988"/>
      <c r="AW43" s="988"/>
      <c r="AX43" s="988"/>
      <c r="AY43" s="988"/>
      <c r="AZ43" s="988"/>
      <c r="BA43" s="988"/>
      <c r="BC43" s="988"/>
      <c r="BE43" s="988"/>
      <c r="BF43" s="988"/>
      <c r="BG43" s="988"/>
    </row>
    <row r="44" spans="18:59" x14ac:dyDescent="0.3">
      <c r="R44" s="988"/>
      <c r="S44" s="988"/>
      <c r="W44" s="988"/>
      <c r="X44" s="988"/>
      <c r="AE44" s="988"/>
      <c r="AF44" s="988"/>
      <c r="AV44" s="988"/>
      <c r="AW44" s="988"/>
      <c r="AX44" s="988"/>
      <c r="AY44" s="988"/>
      <c r="AZ44" s="988"/>
      <c r="BA44" s="988"/>
      <c r="BC44" s="988"/>
      <c r="BE44" s="988"/>
      <c r="BF44" s="988"/>
      <c r="BG44" s="988"/>
    </row>
    <row r="45" spans="18:59" x14ac:dyDescent="0.3">
      <c r="R45" s="988"/>
      <c r="S45" s="988"/>
      <c r="W45" s="988"/>
      <c r="X45" s="988"/>
      <c r="AE45" s="988"/>
      <c r="AF45" s="988"/>
      <c r="AV45" s="988"/>
      <c r="AW45" s="988"/>
      <c r="AX45" s="988"/>
      <c r="AY45" s="988"/>
      <c r="AZ45" s="988"/>
      <c r="BA45" s="988"/>
      <c r="BC45" s="988"/>
      <c r="BE45" s="988"/>
      <c r="BF45" s="988"/>
      <c r="BG45" s="988"/>
    </row>
    <row r="46" spans="18:59" x14ac:dyDescent="0.3">
      <c r="R46" s="988"/>
      <c r="S46" s="988"/>
      <c r="W46" s="988"/>
      <c r="X46" s="988"/>
      <c r="AE46" s="988"/>
      <c r="AF46" s="988"/>
      <c r="AV46" s="988"/>
      <c r="AW46" s="988"/>
      <c r="AX46" s="988"/>
      <c r="AY46" s="988"/>
      <c r="AZ46" s="988"/>
      <c r="BA46" s="988"/>
      <c r="BC46" s="988"/>
      <c r="BE46" s="988"/>
      <c r="BF46" s="988"/>
      <c r="BG46" s="988"/>
    </row>
    <row r="47" spans="18:59" x14ac:dyDescent="0.3">
      <c r="R47" s="988"/>
      <c r="S47" s="988"/>
      <c r="W47" s="988"/>
      <c r="X47" s="988"/>
      <c r="AE47" s="988"/>
      <c r="AF47" s="988"/>
      <c r="AV47" s="988"/>
      <c r="AW47" s="988"/>
      <c r="AX47" s="988"/>
      <c r="AY47" s="988"/>
      <c r="AZ47" s="988"/>
      <c r="BA47" s="988"/>
      <c r="BC47" s="988"/>
      <c r="BE47" s="988"/>
      <c r="BF47" s="988"/>
      <c r="BG47" s="988"/>
    </row>
    <row r="48" spans="18:59" x14ac:dyDescent="0.3">
      <c r="R48" s="988"/>
      <c r="S48" s="988"/>
      <c r="W48" s="988"/>
      <c r="X48" s="988"/>
      <c r="AE48" s="988"/>
      <c r="AF48" s="988"/>
      <c r="AV48" s="988"/>
      <c r="AW48" s="988"/>
      <c r="AX48" s="988"/>
      <c r="AY48" s="988"/>
      <c r="AZ48" s="988"/>
      <c r="BA48" s="988"/>
      <c r="BC48" s="988"/>
      <c r="BE48" s="988"/>
      <c r="BF48" s="988"/>
      <c r="BG48" s="988"/>
    </row>
    <row r="49" spans="18:59" x14ac:dyDescent="0.3">
      <c r="R49" s="988"/>
      <c r="S49" s="988"/>
      <c r="W49" s="988"/>
      <c r="X49" s="988"/>
      <c r="AE49" s="988"/>
      <c r="AF49" s="988"/>
      <c r="AV49" s="988"/>
      <c r="AW49" s="988"/>
      <c r="AX49" s="988"/>
      <c r="AY49" s="988"/>
      <c r="AZ49" s="988"/>
      <c r="BA49" s="988"/>
      <c r="BC49" s="988"/>
      <c r="BE49" s="988"/>
      <c r="BF49" s="988"/>
      <c r="BG49" s="988"/>
    </row>
    <row r="50" spans="18:59" x14ac:dyDescent="0.3">
      <c r="R50" s="988"/>
      <c r="S50" s="988"/>
      <c r="W50" s="988"/>
      <c r="X50" s="988"/>
      <c r="AE50" s="988"/>
      <c r="AF50" s="988"/>
      <c r="AV50" s="988"/>
      <c r="AW50" s="988"/>
      <c r="AX50" s="988"/>
      <c r="AY50" s="988"/>
      <c r="AZ50" s="988"/>
      <c r="BA50" s="988"/>
      <c r="BC50" s="988"/>
      <c r="BE50" s="988"/>
      <c r="BF50" s="988"/>
      <c r="BG50" s="988"/>
    </row>
    <row r="51" spans="18:59" x14ac:dyDescent="0.3">
      <c r="R51" s="988"/>
      <c r="S51" s="988"/>
      <c r="W51" s="988"/>
      <c r="X51" s="988"/>
      <c r="AE51" s="988"/>
      <c r="AF51" s="988"/>
      <c r="AV51" s="988"/>
      <c r="AW51" s="988"/>
      <c r="AX51" s="988"/>
      <c r="AY51" s="988"/>
      <c r="AZ51" s="988"/>
      <c r="BA51" s="988"/>
      <c r="BC51" s="988"/>
      <c r="BE51" s="988"/>
      <c r="BF51" s="988"/>
      <c r="BG51" s="988"/>
    </row>
    <row r="52" spans="18:59" x14ac:dyDescent="0.3">
      <c r="R52" s="988"/>
      <c r="S52" s="988"/>
      <c r="W52" s="988"/>
      <c r="X52" s="988"/>
      <c r="AE52" s="988"/>
      <c r="AF52" s="988"/>
      <c r="AV52" s="988"/>
      <c r="AW52" s="988"/>
      <c r="AX52" s="988"/>
      <c r="AY52" s="988"/>
      <c r="AZ52" s="988"/>
      <c r="BA52" s="988"/>
      <c r="BC52" s="988"/>
      <c r="BE52" s="988"/>
      <c r="BF52" s="988"/>
      <c r="BG52" s="988"/>
    </row>
    <row r="53" spans="18:59" x14ac:dyDescent="0.3">
      <c r="R53" s="988"/>
      <c r="S53" s="988"/>
      <c r="W53" s="988"/>
      <c r="X53" s="988"/>
      <c r="AE53" s="988"/>
      <c r="AF53" s="988"/>
      <c r="AV53" s="988"/>
      <c r="AW53" s="988"/>
      <c r="AX53" s="988"/>
      <c r="AY53" s="988"/>
      <c r="AZ53" s="988"/>
      <c r="BA53" s="988"/>
      <c r="BC53" s="988"/>
      <c r="BE53" s="988"/>
      <c r="BF53" s="988"/>
      <c r="BG53" s="988"/>
    </row>
    <row r="54" spans="18:59" x14ac:dyDescent="0.3">
      <c r="R54" s="988"/>
      <c r="S54" s="988"/>
      <c r="W54" s="988"/>
      <c r="X54" s="988"/>
      <c r="AE54" s="988"/>
      <c r="AF54" s="988"/>
      <c r="AV54" s="988"/>
      <c r="AW54" s="988"/>
      <c r="AX54" s="988"/>
      <c r="AY54" s="988"/>
      <c r="AZ54" s="988"/>
      <c r="BA54" s="988"/>
      <c r="BC54" s="988"/>
      <c r="BE54" s="988"/>
      <c r="BF54" s="988"/>
      <c r="BG54" s="988"/>
    </row>
    <row r="55" spans="18:59" x14ac:dyDescent="0.3">
      <c r="R55" s="988"/>
      <c r="S55" s="988"/>
      <c r="W55" s="988"/>
      <c r="X55" s="988"/>
      <c r="AE55" s="988"/>
      <c r="AF55" s="988"/>
      <c r="AV55" s="988"/>
      <c r="AW55" s="988"/>
      <c r="AX55" s="988"/>
      <c r="AY55" s="988"/>
      <c r="AZ55" s="988"/>
      <c r="BA55" s="988"/>
      <c r="BC55" s="988"/>
      <c r="BE55" s="988"/>
      <c r="BF55" s="988"/>
      <c r="BG55" s="988"/>
    </row>
    <row r="56" spans="18:59" x14ac:dyDescent="0.3">
      <c r="R56" s="988"/>
      <c r="S56" s="988"/>
      <c r="W56" s="988"/>
      <c r="X56" s="988"/>
      <c r="AE56" s="988"/>
      <c r="AF56" s="988"/>
      <c r="AV56" s="988"/>
      <c r="AW56" s="988"/>
      <c r="AX56" s="988"/>
      <c r="AY56" s="988"/>
      <c r="AZ56" s="988"/>
      <c r="BA56" s="988"/>
      <c r="BC56" s="988"/>
      <c r="BE56" s="988"/>
      <c r="BF56" s="988"/>
      <c r="BG56" s="988"/>
    </row>
    <row r="57" spans="18:59" x14ac:dyDescent="0.3">
      <c r="R57" s="988"/>
      <c r="S57" s="988"/>
      <c r="W57" s="988"/>
      <c r="X57" s="988"/>
      <c r="AE57" s="988"/>
      <c r="AF57" s="988"/>
      <c r="AV57" s="988"/>
      <c r="AW57" s="988"/>
      <c r="AX57" s="988"/>
      <c r="AY57" s="988"/>
      <c r="AZ57" s="988"/>
      <c r="BA57" s="988"/>
      <c r="BC57" s="988"/>
      <c r="BE57" s="988"/>
      <c r="BF57" s="988"/>
      <c r="BG57" s="988"/>
    </row>
    <row r="58" spans="18:59" x14ac:dyDescent="0.3">
      <c r="R58" s="988"/>
      <c r="S58" s="988"/>
      <c r="W58" s="988"/>
      <c r="X58" s="988"/>
      <c r="AE58" s="988"/>
      <c r="AF58" s="988"/>
      <c r="AV58" s="988"/>
      <c r="AW58" s="988"/>
      <c r="AX58" s="988"/>
      <c r="AY58" s="988"/>
      <c r="AZ58" s="988"/>
      <c r="BA58" s="988"/>
      <c r="BC58" s="988"/>
      <c r="BE58" s="988"/>
      <c r="BF58" s="988"/>
      <c r="BG58" s="988"/>
    </row>
    <row r="59" spans="18:59" x14ac:dyDescent="0.3">
      <c r="R59" s="988"/>
      <c r="S59" s="988"/>
      <c r="W59" s="988"/>
      <c r="X59" s="988"/>
      <c r="AE59" s="988"/>
      <c r="AF59" s="988"/>
      <c r="AV59" s="988"/>
      <c r="AW59" s="988"/>
      <c r="AX59" s="988"/>
      <c r="AY59" s="988"/>
      <c r="AZ59" s="988"/>
      <c r="BA59" s="988"/>
      <c r="BC59" s="988"/>
      <c r="BE59" s="988"/>
      <c r="BF59" s="988"/>
      <c r="BG59" s="988"/>
    </row>
    <row r="60" spans="18:59" x14ac:dyDescent="0.3">
      <c r="R60" s="988"/>
      <c r="S60" s="988"/>
      <c r="W60" s="988"/>
      <c r="X60" s="988"/>
      <c r="AE60" s="988"/>
      <c r="AF60" s="988"/>
      <c r="AV60" s="988"/>
      <c r="AW60" s="988"/>
      <c r="AX60" s="988"/>
      <c r="AY60" s="988"/>
      <c r="AZ60" s="988"/>
      <c r="BA60" s="988"/>
      <c r="BC60" s="988"/>
      <c r="BE60" s="988"/>
      <c r="BF60" s="988"/>
      <c r="BG60" s="988"/>
    </row>
    <row r="61" spans="18:59" x14ac:dyDescent="0.3">
      <c r="R61" s="988"/>
      <c r="S61" s="988"/>
      <c r="W61" s="988"/>
      <c r="X61" s="988"/>
      <c r="AE61" s="988"/>
      <c r="AF61" s="988"/>
      <c r="AV61" s="988"/>
      <c r="AW61" s="988"/>
      <c r="AX61" s="988"/>
      <c r="AY61" s="988"/>
      <c r="AZ61" s="988"/>
      <c r="BA61" s="988"/>
      <c r="BC61" s="988"/>
      <c r="BE61" s="988"/>
      <c r="BF61" s="988"/>
      <c r="BG61" s="988"/>
    </row>
    <row r="62" spans="18:59" x14ac:dyDescent="0.3">
      <c r="R62" s="988"/>
      <c r="S62" s="988"/>
      <c r="W62" s="988"/>
      <c r="X62" s="988"/>
      <c r="AE62" s="988"/>
      <c r="AF62" s="988"/>
      <c r="AV62" s="988"/>
      <c r="AW62" s="988"/>
      <c r="AX62" s="988"/>
      <c r="AY62" s="988"/>
      <c r="AZ62" s="988"/>
      <c r="BA62" s="988"/>
      <c r="BC62" s="988"/>
      <c r="BE62" s="988"/>
      <c r="BF62" s="988"/>
      <c r="BG62" s="988"/>
    </row>
    <row r="63" spans="18:59" x14ac:dyDescent="0.3">
      <c r="R63" s="988"/>
      <c r="S63" s="988"/>
      <c r="W63" s="988"/>
      <c r="X63" s="988"/>
      <c r="AE63" s="988"/>
      <c r="AF63" s="988"/>
      <c r="AV63" s="988"/>
      <c r="AW63" s="988"/>
      <c r="AX63" s="988"/>
      <c r="AY63" s="988"/>
      <c r="AZ63" s="988"/>
      <c r="BA63" s="988"/>
      <c r="BC63" s="988"/>
      <c r="BE63" s="988"/>
      <c r="BF63" s="988"/>
      <c r="BG63" s="988"/>
    </row>
    <row r="64" spans="18:59" x14ac:dyDescent="0.3">
      <c r="R64" s="988"/>
      <c r="S64" s="988"/>
      <c r="W64" s="988"/>
      <c r="X64" s="988"/>
      <c r="AE64" s="988"/>
      <c r="AF64" s="988"/>
      <c r="AV64" s="988"/>
      <c r="AW64" s="988"/>
      <c r="AX64" s="988"/>
      <c r="AY64" s="988"/>
      <c r="AZ64" s="988"/>
      <c r="BA64" s="988"/>
      <c r="BC64" s="988"/>
      <c r="BE64" s="988"/>
      <c r="BF64" s="988"/>
      <c r="BG64" s="988"/>
    </row>
    <row r="65" spans="18:59" x14ac:dyDescent="0.3">
      <c r="R65" s="988"/>
      <c r="S65" s="988"/>
      <c r="W65" s="988"/>
      <c r="X65" s="988"/>
      <c r="AE65" s="988"/>
      <c r="AF65" s="988"/>
      <c r="AV65" s="988"/>
      <c r="AW65" s="988"/>
      <c r="AX65" s="988"/>
      <c r="AY65" s="988"/>
      <c r="AZ65" s="988"/>
      <c r="BA65" s="988"/>
      <c r="BC65" s="988"/>
      <c r="BE65" s="988"/>
      <c r="BF65" s="988"/>
      <c r="BG65" s="988"/>
    </row>
    <row r="66" spans="18:59" x14ac:dyDescent="0.3">
      <c r="R66" s="988"/>
      <c r="S66" s="988"/>
      <c r="W66" s="988"/>
      <c r="X66" s="988"/>
      <c r="AE66" s="988"/>
      <c r="AF66" s="988"/>
      <c r="AV66" s="988"/>
      <c r="AW66" s="988"/>
      <c r="AX66" s="988"/>
      <c r="AY66" s="988"/>
      <c r="AZ66" s="988"/>
      <c r="BA66" s="988"/>
      <c r="BC66" s="988"/>
      <c r="BE66" s="988"/>
      <c r="BF66" s="988"/>
      <c r="BG66" s="988"/>
    </row>
    <row r="67" spans="18:59" x14ac:dyDescent="0.3">
      <c r="R67" s="988"/>
      <c r="S67" s="988"/>
      <c r="W67" s="988"/>
      <c r="X67" s="988"/>
      <c r="AE67" s="988"/>
      <c r="AF67" s="988"/>
      <c r="AV67" s="988"/>
      <c r="AW67" s="988"/>
      <c r="AX67" s="988"/>
      <c r="AY67" s="988"/>
      <c r="AZ67" s="988"/>
      <c r="BA67" s="988"/>
      <c r="BC67" s="988"/>
      <c r="BE67" s="988"/>
      <c r="BF67" s="988"/>
      <c r="BG67" s="988"/>
    </row>
    <row r="68" spans="18:59" x14ac:dyDescent="0.3">
      <c r="R68" s="988"/>
      <c r="S68" s="988"/>
      <c r="W68" s="988"/>
      <c r="X68" s="988"/>
      <c r="AE68" s="988"/>
      <c r="AF68" s="988"/>
      <c r="AV68" s="988"/>
      <c r="AW68" s="988"/>
      <c r="AX68" s="988"/>
      <c r="AY68" s="988"/>
      <c r="AZ68" s="988"/>
      <c r="BA68" s="988"/>
      <c r="BC68" s="988"/>
      <c r="BE68" s="988"/>
      <c r="BF68" s="988"/>
      <c r="BG68" s="988"/>
    </row>
    <row r="69" spans="18:59" x14ac:dyDescent="0.3">
      <c r="R69" s="988"/>
      <c r="S69" s="988"/>
      <c r="W69" s="988"/>
      <c r="X69" s="988"/>
      <c r="AE69" s="988"/>
      <c r="AF69" s="988"/>
      <c r="AV69" s="988"/>
      <c r="AW69" s="988"/>
      <c r="AX69" s="988"/>
      <c r="AY69" s="988"/>
      <c r="AZ69" s="988"/>
      <c r="BA69" s="988"/>
      <c r="BC69" s="988"/>
      <c r="BE69" s="988"/>
      <c r="BF69" s="988"/>
      <c r="BG69" s="988"/>
    </row>
    <row r="70" spans="18:59" x14ac:dyDescent="0.3">
      <c r="R70" s="988"/>
      <c r="S70" s="988"/>
      <c r="W70" s="988"/>
      <c r="X70" s="988"/>
      <c r="AE70" s="988"/>
      <c r="AF70" s="988"/>
      <c r="AV70" s="988"/>
      <c r="AW70" s="988"/>
      <c r="AX70" s="988"/>
      <c r="AY70" s="988"/>
      <c r="AZ70" s="988"/>
      <c r="BA70" s="988"/>
      <c r="BC70" s="988"/>
      <c r="BE70" s="988"/>
      <c r="BF70" s="988"/>
      <c r="BG70" s="988"/>
    </row>
    <row r="71" spans="18:59" x14ac:dyDescent="0.3">
      <c r="R71" s="988"/>
      <c r="S71" s="988"/>
      <c r="W71" s="988"/>
      <c r="X71" s="988"/>
      <c r="AE71" s="988"/>
      <c r="AF71" s="988"/>
      <c r="AV71" s="988"/>
      <c r="AW71" s="988"/>
      <c r="AX71" s="988"/>
      <c r="AY71" s="988"/>
      <c r="AZ71" s="988"/>
      <c r="BA71" s="988"/>
      <c r="BC71" s="988"/>
      <c r="BE71" s="988"/>
      <c r="BF71" s="988"/>
      <c r="BG71" s="988"/>
    </row>
    <row r="72" spans="18:59" x14ac:dyDescent="0.3">
      <c r="R72" s="988"/>
      <c r="S72" s="988"/>
      <c r="W72" s="988"/>
      <c r="X72" s="988"/>
      <c r="AE72" s="988"/>
      <c r="AF72" s="988"/>
      <c r="AV72" s="988"/>
      <c r="AW72" s="988"/>
      <c r="AX72" s="988"/>
      <c r="AY72" s="988"/>
      <c r="AZ72" s="988"/>
      <c r="BA72" s="988"/>
      <c r="BC72" s="988"/>
      <c r="BE72" s="988"/>
      <c r="BF72" s="988"/>
      <c r="BG72" s="988"/>
    </row>
    <row r="73" spans="18:59" x14ac:dyDescent="0.3">
      <c r="R73" s="988"/>
      <c r="S73" s="988"/>
      <c r="W73" s="988"/>
      <c r="X73" s="988"/>
      <c r="AE73" s="988"/>
      <c r="AF73" s="988"/>
      <c r="AV73" s="988"/>
      <c r="AW73" s="988"/>
      <c r="AX73" s="988"/>
      <c r="AY73" s="988"/>
      <c r="AZ73" s="988"/>
      <c r="BA73" s="988"/>
      <c r="BC73" s="988"/>
      <c r="BE73" s="988"/>
      <c r="BF73" s="988"/>
      <c r="BG73" s="988"/>
    </row>
    <row r="74" spans="18:59" x14ac:dyDescent="0.3">
      <c r="R74" s="988"/>
      <c r="S74" s="988"/>
      <c r="W74" s="988"/>
      <c r="X74" s="988"/>
      <c r="AE74" s="988"/>
      <c r="AF74" s="988"/>
      <c r="AV74" s="988"/>
      <c r="AW74" s="988"/>
      <c r="AX74" s="988"/>
      <c r="AY74" s="988"/>
      <c r="AZ74" s="988"/>
      <c r="BA74" s="988"/>
      <c r="BC74" s="988"/>
      <c r="BE74" s="988"/>
      <c r="BF74" s="988"/>
      <c r="BG74" s="988"/>
    </row>
    <row r="75" spans="18:59" x14ac:dyDescent="0.3">
      <c r="R75" s="988"/>
      <c r="S75" s="988"/>
      <c r="W75" s="988"/>
      <c r="X75" s="988"/>
      <c r="AE75" s="988"/>
      <c r="AF75" s="988"/>
      <c r="AV75" s="988"/>
      <c r="AW75" s="988"/>
      <c r="AX75" s="988"/>
      <c r="AY75" s="988"/>
      <c r="AZ75" s="988"/>
      <c r="BA75" s="988"/>
      <c r="BC75" s="988"/>
      <c r="BE75" s="988"/>
      <c r="BF75" s="988"/>
      <c r="BG75" s="988"/>
    </row>
    <row r="76" spans="18:59" x14ac:dyDescent="0.3">
      <c r="R76" s="988"/>
      <c r="S76" s="988"/>
      <c r="W76" s="988"/>
      <c r="X76" s="988"/>
      <c r="AE76" s="988"/>
      <c r="AF76" s="988"/>
      <c r="AV76" s="988"/>
      <c r="AW76" s="988"/>
      <c r="AX76" s="988"/>
      <c r="AY76" s="988"/>
      <c r="AZ76" s="988"/>
      <c r="BA76" s="988"/>
      <c r="BC76" s="988"/>
      <c r="BE76" s="988"/>
      <c r="BF76" s="988"/>
      <c r="BG76" s="988"/>
    </row>
    <row r="77" spans="18:59" x14ac:dyDescent="0.3">
      <c r="R77" s="988"/>
      <c r="S77" s="988"/>
      <c r="W77" s="988"/>
      <c r="X77" s="988"/>
      <c r="AE77" s="988"/>
      <c r="AF77" s="988"/>
      <c r="AV77" s="988"/>
      <c r="AW77" s="988"/>
      <c r="AX77" s="988"/>
      <c r="AY77" s="988"/>
      <c r="AZ77" s="988"/>
      <c r="BA77" s="988"/>
      <c r="BC77" s="988"/>
      <c r="BE77" s="988"/>
      <c r="BF77" s="988"/>
      <c r="BG77" s="988"/>
    </row>
    <row r="78" spans="18:59" x14ac:dyDescent="0.3">
      <c r="R78" s="988"/>
      <c r="S78" s="988"/>
      <c r="W78" s="988"/>
      <c r="X78" s="988"/>
      <c r="AE78" s="988"/>
      <c r="AF78" s="988"/>
      <c r="AV78" s="988"/>
      <c r="AW78" s="988"/>
      <c r="AX78" s="988"/>
      <c r="AY78" s="988"/>
      <c r="AZ78" s="988"/>
      <c r="BA78" s="988"/>
      <c r="BC78" s="988"/>
      <c r="BE78" s="988"/>
      <c r="BF78" s="988"/>
      <c r="BG78" s="988"/>
    </row>
    <row r="79" spans="18:59" x14ac:dyDescent="0.3">
      <c r="R79" s="988"/>
      <c r="S79" s="988"/>
      <c r="W79" s="988"/>
      <c r="X79" s="988"/>
      <c r="AE79" s="988"/>
      <c r="AF79" s="988"/>
      <c r="AV79" s="988"/>
      <c r="AW79" s="988"/>
      <c r="AX79" s="988"/>
      <c r="AY79" s="988"/>
      <c r="AZ79" s="988"/>
      <c r="BA79" s="988"/>
      <c r="BC79" s="988"/>
      <c r="BE79" s="988"/>
      <c r="BF79" s="988"/>
      <c r="BG79" s="988"/>
    </row>
    <row r="80" spans="18:59" x14ac:dyDescent="0.3">
      <c r="R80" s="988"/>
      <c r="S80" s="988"/>
      <c r="W80" s="988"/>
      <c r="X80" s="988"/>
      <c r="AE80" s="988"/>
      <c r="AF80" s="988"/>
      <c r="AV80" s="988"/>
      <c r="AW80" s="988"/>
      <c r="AX80" s="988"/>
      <c r="AY80" s="988"/>
      <c r="AZ80" s="988"/>
      <c r="BA80" s="988"/>
      <c r="BC80" s="988"/>
      <c r="BE80" s="988"/>
      <c r="BF80" s="988"/>
      <c r="BG80" s="988"/>
    </row>
    <row r="81" spans="18:59" x14ac:dyDescent="0.3">
      <c r="R81" s="988"/>
      <c r="S81" s="988"/>
      <c r="W81" s="988"/>
      <c r="X81" s="988"/>
      <c r="AE81" s="988"/>
      <c r="AF81" s="988"/>
      <c r="AV81" s="988"/>
      <c r="AW81" s="988"/>
      <c r="AX81" s="988"/>
      <c r="AY81" s="988"/>
      <c r="AZ81" s="988"/>
      <c r="BA81" s="988"/>
      <c r="BC81" s="988"/>
      <c r="BE81" s="988"/>
      <c r="BF81" s="988"/>
      <c r="BG81" s="988"/>
    </row>
    <row r="82" spans="18:59" x14ac:dyDescent="0.3">
      <c r="R82" s="988"/>
      <c r="S82" s="988"/>
      <c r="W82" s="988"/>
      <c r="X82" s="988"/>
      <c r="AE82" s="988"/>
      <c r="AF82" s="988"/>
      <c r="AV82" s="988"/>
      <c r="AW82" s="988"/>
      <c r="AX82" s="988"/>
      <c r="AY82" s="988"/>
      <c r="AZ82" s="988"/>
      <c r="BA82" s="988"/>
      <c r="BC82" s="988"/>
      <c r="BE82" s="988"/>
      <c r="BF82" s="988"/>
      <c r="BG82" s="988"/>
    </row>
    <row r="83" spans="18:59" x14ac:dyDescent="0.3">
      <c r="R83" s="988"/>
      <c r="S83" s="988"/>
      <c r="W83" s="988"/>
      <c r="X83" s="988"/>
      <c r="AE83" s="988"/>
      <c r="AF83" s="988"/>
      <c r="AV83" s="988"/>
      <c r="AW83" s="988"/>
      <c r="AX83" s="988"/>
      <c r="AY83" s="988"/>
      <c r="AZ83" s="988"/>
      <c r="BA83" s="988"/>
      <c r="BC83" s="988"/>
      <c r="BE83" s="988"/>
      <c r="BF83" s="988"/>
      <c r="BG83" s="988"/>
    </row>
    <row r="84" spans="18:59" x14ac:dyDescent="0.3">
      <c r="R84" s="988"/>
      <c r="S84" s="988"/>
      <c r="W84" s="988"/>
      <c r="X84" s="988"/>
      <c r="AE84" s="988"/>
      <c r="AF84" s="988"/>
      <c r="AV84" s="988"/>
      <c r="AW84" s="988"/>
      <c r="AX84" s="988"/>
      <c r="AY84" s="988"/>
      <c r="AZ84" s="988"/>
      <c r="BA84" s="988"/>
      <c r="BC84" s="988"/>
      <c r="BE84" s="988"/>
      <c r="BF84" s="988"/>
      <c r="BG84" s="988"/>
    </row>
    <row r="85" spans="18:59" x14ac:dyDescent="0.3">
      <c r="R85" s="988"/>
      <c r="S85" s="988"/>
      <c r="W85" s="988"/>
      <c r="X85" s="988"/>
      <c r="AE85" s="988"/>
      <c r="AF85" s="988"/>
      <c r="AV85" s="988"/>
      <c r="AW85" s="988"/>
      <c r="AX85" s="988"/>
      <c r="AY85" s="988"/>
      <c r="AZ85" s="988"/>
      <c r="BA85" s="988"/>
      <c r="BC85" s="988"/>
      <c r="BE85" s="988"/>
      <c r="BF85" s="988"/>
      <c r="BG85" s="988"/>
    </row>
    <row r="86" spans="18:59" x14ac:dyDescent="0.3">
      <c r="R86" s="988"/>
      <c r="S86" s="988"/>
      <c r="W86" s="988"/>
      <c r="X86" s="988"/>
      <c r="AE86" s="988"/>
      <c r="AF86" s="988"/>
      <c r="AV86" s="988"/>
      <c r="AW86" s="988"/>
      <c r="AX86" s="988"/>
      <c r="AY86" s="988"/>
      <c r="AZ86" s="988"/>
      <c r="BA86" s="988"/>
      <c r="BC86" s="988"/>
      <c r="BE86" s="988"/>
      <c r="BF86" s="988"/>
      <c r="BG86" s="988"/>
    </row>
    <row r="87" spans="18:59" x14ac:dyDescent="0.3">
      <c r="R87" s="988"/>
      <c r="S87" s="988"/>
      <c r="W87" s="988"/>
      <c r="X87" s="988"/>
      <c r="AE87" s="988"/>
      <c r="AF87" s="988"/>
      <c r="AV87" s="988"/>
      <c r="AW87" s="988"/>
      <c r="AX87" s="988"/>
      <c r="AY87" s="988"/>
      <c r="AZ87" s="988"/>
      <c r="BA87" s="988"/>
      <c r="BC87" s="988"/>
      <c r="BE87" s="988"/>
      <c r="BF87" s="988"/>
      <c r="BG87" s="988"/>
    </row>
    <row r="88" spans="18:59" x14ac:dyDescent="0.3">
      <c r="R88" s="988"/>
      <c r="S88" s="988"/>
      <c r="W88" s="988"/>
      <c r="X88" s="988"/>
      <c r="AE88" s="988"/>
      <c r="AF88" s="988"/>
      <c r="AV88" s="988"/>
      <c r="AW88" s="988"/>
      <c r="AX88" s="988"/>
      <c r="AY88" s="988"/>
      <c r="AZ88" s="988"/>
      <c r="BA88" s="988"/>
      <c r="BC88" s="988"/>
      <c r="BE88" s="988"/>
      <c r="BF88" s="988"/>
      <c r="BG88" s="988"/>
    </row>
    <row r="89" spans="18:59" x14ac:dyDescent="0.3">
      <c r="R89" s="988"/>
      <c r="S89" s="988"/>
      <c r="W89" s="988"/>
      <c r="X89" s="988"/>
      <c r="AE89" s="988"/>
      <c r="AF89" s="988"/>
      <c r="AV89" s="988"/>
      <c r="AW89" s="988"/>
      <c r="AX89" s="988"/>
      <c r="AY89" s="988"/>
      <c r="AZ89" s="988"/>
      <c r="BA89" s="988"/>
      <c r="BC89" s="988"/>
      <c r="BE89" s="988"/>
      <c r="BF89" s="988"/>
      <c r="BG89" s="988"/>
    </row>
    <row r="90" spans="18:59" x14ac:dyDescent="0.3">
      <c r="R90" s="988"/>
      <c r="S90" s="988"/>
      <c r="W90" s="988"/>
      <c r="X90" s="988"/>
      <c r="AE90" s="988"/>
      <c r="AF90" s="988"/>
      <c r="AV90" s="988"/>
      <c r="AW90" s="988"/>
      <c r="AX90" s="988"/>
      <c r="AY90" s="988"/>
      <c r="AZ90" s="988"/>
      <c r="BA90" s="988"/>
      <c r="BC90" s="988"/>
      <c r="BE90" s="988"/>
      <c r="BF90" s="988"/>
      <c r="BG90" s="988"/>
    </row>
    <row r="91" spans="18:59" x14ac:dyDescent="0.3">
      <c r="R91" s="988"/>
      <c r="S91" s="988"/>
      <c r="W91" s="988"/>
      <c r="X91" s="988"/>
      <c r="AE91" s="988"/>
      <c r="AF91" s="988"/>
      <c r="AV91" s="988"/>
      <c r="AW91" s="988"/>
      <c r="AX91" s="988"/>
      <c r="AY91" s="988"/>
      <c r="AZ91" s="988"/>
      <c r="BA91" s="988"/>
      <c r="BC91" s="988"/>
      <c r="BE91" s="988"/>
      <c r="BF91" s="988"/>
      <c r="BG91" s="988"/>
    </row>
    <row r="92" spans="18:59" x14ac:dyDescent="0.3">
      <c r="R92" s="988"/>
      <c r="S92" s="988"/>
      <c r="W92" s="988"/>
      <c r="X92" s="988"/>
      <c r="AE92" s="988"/>
      <c r="AF92" s="988"/>
      <c r="AV92" s="988"/>
      <c r="AW92" s="988"/>
      <c r="AX92" s="988"/>
      <c r="AY92" s="988"/>
      <c r="AZ92" s="988"/>
      <c r="BA92" s="988"/>
      <c r="BC92" s="988"/>
      <c r="BE92" s="988"/>
      <c r="BF92" s="988"/>
      <c r="BG92" s="988"/>
    </row>
    <row r="93" spans="18:59" x14ac:dyDescent="0.3">
      <c r="R93" s="988"/>
      <c r="S93" s="988"/>
      <c r="W93" s="988"/>
      <c r="X93" s="988"/>
      <c r="AE93" s="988"/>
      <c r="AF93" s="988"/>
      <c r="AV93" s="988"/>
      <c r="AW93" s="988"/>
      <c r="AX93" s="988"/>
      <c r="AY93" s="988"/>
      <c r="AZ93" s="988"/>
      <c r="BA93" s="988"/>
      <c r="BC93" s="988"/>
      <c r="BE93" s="988"/>
      <c r="BF93" s="988"/>
      <c r="BG93" s="988"/>
    </row>
    <row r="94" spans="18:59" x14ac:dyDescent="0.3">
      <c r="R94" s="988"/>
      <c r="S94" s="988"/>
      <c r="W94" s="988"/>
      <c r="X94" s="988"/>
      <c r="AE94" s="988"/>
      <c r="AF94" s="988"/>
      <c r="AV94" s="988"/>
      <c r="AW94" s="988"/>
      <c r="AX94" s="988"/>
      <c r="AY94" s="988"/>
      <c r="AZ94" s="988"/>
      <c r="BA94" s="988"/>
      <c r="BC94" s="988"/>
      <c r="BE94" s="988"/>
      <c r="BF94" s="988"/>
      <c r="BG94" s="988"/>
    </row>
    <row r="95" spans="18:59" x14ac:dyDescent="0.3">
      <c r="R95" s="988"/>
      <c r="S95" s="988"/>
      <c r="W95" s="988"/>
      <c r="X95" s="988"/>
      <c r="AE95" s="988"/>
      <c r="AF95" s="988"/>
      <c r="AV95" s="988"/>
      <c r="AW95" s="988"/>
      <c r="AX95" s="988"/>
      <c r="AY95" s="988"/>
      <c r="AZ95" s="988"/>
      <c r="BA95" s="988"/>
      <c r="BC95" s="988"/>
      <c r="BE95" s="988"/>
      <c r="BF95" s="988"/>
      <c r="BG95" s="988"/>
    </row>
    <row r="96" spans="18:59" x14ac:dyDescent="0.3">
      <c r="R96" s="988"/>
      <c r="S96" s="988"/>
      <c r="W96" s="988"/>
      <c r="X96" s="988"/>
      <c r="AE96" s="988"/>
      <c r="AF96" s="988"/>
      <c r="AV96" s="988"/>
      <c r="AW96" s="988"/>
      <c r="AX96" s="988"/>
      <c r="AY96" s="988"/>
      <c r="AZ96" s="988"/>
      <c r="BA96" s="988"/>
      <c r="BC96" s="988"/>
      <c r="BE96" s="988"/>
      <c r="BF96" s="988"/>
      <c r="BG96" s="988"/>
    </row>
    <row r="97" spans="18:59" x14ac:dyDescent="0.3">
      <c r="R97" s="988"/>
      <c r="S97" s="988"/>
      <c r="W97" s="988"/>
      <c r="X97" s="988"/>
      <c r="AE97" s="988"/>
      <c r="AF97" s="988"/>
      <c r="AV97" s="988"/>
      <c r="AW97" s="988"/>
      <c r="AX97" s="988"/>
      <c r="AY97" s="988"/>
      <c r="AZ97" s="988"/>
      <c r="BA97" s="988"/>
      <c r="BC97" s="988"/>
      <c r="BE97" s="988"/>
      <c r="BF97" s="988"/>
      <c r="BG97" s="988"/>
    </row>
    <row r="98" spans="18:59" x14ac:dyDescent="0.3">
      <c r="R98" s="988"/>
      <c r="S98" s="988"/>
      <c r="W98" s="988"/>
      <c r="X98" s="988"/>
      <c r="AE98" s="988"/>
      <c r="AF98" s="988"/>
      <c r="AV98" s="988"/>
      <c r="AW98" s="988"/>
      <c r="AX98" s="988"/>
      <c r="AY98" s="988"/>
      <c r="AZ98" s="988"/>
      <c r="BA98" s="988"/>
      <c r="BC98" s="988"/>
      <c r="BE98" s="988"/>
      <c r="BF98" s="988"/>
      <c r="BG98" s="988"/>
    </row>
    <row r="99" spans="18:59" x14ac:dyDescent="0.3">
      <c r="R99" s="988"/>
      <c r="S99" s="988"/>
      <c r="W99" s="988"/>
      <c r="X99" s="988"/>
      <c r="AE99" s="988"/>
      <c r="AF99" s="988"/>
      <c r="AV99" s="988"/>
      <c r="AW99" s="988"/>
      <c r="AX99" s="988"/>
      <c r="AY99" s="988"/>
      <c r="AZ99" s="988"/>
      <c r="BA99" s="988"/>
      <c r="BC99" s="988"/>
      <c r="BE99" s="988"/>
      <c r="BF99" s="988"/>
      <c r="BG99" s="988"/>
    </row>
    <row r="100" spans="18:59" x14ac:dyDescent="0.3">
      <c r="R100" s="988"/>
      <c r="S100" s="988"/>
      <c r="W100" s="988"/>
      <c r="X100" s="988"/>
      <c r="AE100" s="988"/>
      <c r="AF100" s="988"/>
      <c r="AV100" s="988"/>
      <c r="AW100" s="988"/>
      <c r="AX100" s="988"/>
      <c r="AY100" s="988"/>
      <c r="AZ100" s="988"/>
      <c r="BA100" s="988"/>
      <c r="BC100" s="988"/>
      <c r="BE100" s="988"/>
      <c r="BF100" s="988"/>
      <c r="BG100" s="988"/>
    </row>
    <row r="101" spans="18:59" x14ac:dyDescent="0.3">
      <c r="R101" s="988"/>
      <c r="S101" s="988"/>
      <c r="W101" s="988"/>
      <c r="X101" s="988"/>
      <c r="AE101" s="988"/>
      <c r="AF101" s="988"/>
      <c r="AV101" s="988"/>
      <c r="AW101" s="988"/>
      <c r="AX101" s="988"/>
      <c r="AY101" s="988"/>
      <c r="AZ101" s="988"/>
      <c r="BA101" s="988"/>
      <c r="BC101" s="988"/>
      <c r="BE101" s="988"/>
      <c r="BF101" s="988"/>
      <c r="BG101" s="988"/>
    </row>
    <row r="102" spans="18:59" x14ac:dyDescent="0.3">
      <c r="R102" s="988"/>
      <c r="S102" s="988"/>
      <c r="W102" s="988"/>
      <c r="X102" s="988"/>
      <c r="AE102" s="988"/>
      <c r="AF102" s="988"/>
      <c r="AV102" s="988"/>
      <c r="AW102" s="988"/>
      <c r="AX102" s="988"/>
      <c r="AY102" s="988"/>
      <c r="AZ102" s="988"/>
      <c r="BA102" s="988"/>
      <c r="BC102" s="988"/>
      <c r="BE102" s="988"/>
      <c r="BF102" s="988"/>
      <c r="BG102" s="988"/>
    </row>
    <row r="103" spans="18:59" x14ac:dyDescent="0.3">
      <c r="R103" s="988"/>
      <c r="S103" s="988"/>
      <c r="W103" s="988"/>
      <c r="X103" s="988"/>
      <c r="AE103" s="988"/>
      <c r="AF103" s="988"/>
      <c r="AV103" s="988"/>
      <c r="AW103" s="988"/>
      <c r="AX103" s="988"/>
      <c r="AY103" s="988"/>
      <c r="AZ103" s="988"/>
      <c r="BA103" s="988"/>
      <c r="BC103" s="988"/>
      <c r="BE103" s="988"/>
      <c r="BF103" s="988"/>
      <c r="BG103" s="988"/>
    </row>
    <row r="104" spans="18:59" x14ac:dyDescent="0.3">
      <c r="R104" s="988"/>
      <c r="S104" s="988"/>
      <c r="W104" s="988"/>
      <c r="X104" s="988"/>
      <c r="AE104" s="988"/>
      <c r="AF104" s="988"/>
      <c r="AV104" s="988"/>
      <c r="AW104" s="988"/>
      <c r="AX104" s="988"/>
      <c r="AY104" s="988"/>
      <c r="AZ104" s="988"/>
      <c r="BA104" s="988"/>
      <c r="BC104" s="988"/>
      <c r="BE104" s="988"/>
      <c r="BF104" s="988"/>
      <c r="BG104" s="988"/>
    </row>
    <row r="105" spans="18:59" x14ac:dyDescent="0.3">
      <c r="R105" s="988"/>
      <c r="S105" s="988"/>
      <c r="W105" s="988"/>
      <c r="X105" s="988"/>
      <c r="AE105" s="988"/>
      <c r="AF105" s="988"/>
      <c r="AV105" s="988"/>
      <c r="AW105" s="988"/>
      <c r="AX105" s="988"/>
      <c r="AY105" s="988"/>
      <c r="AZ105" s="988"/>
      <c r="BA105" s="988"/>
      <c r="BC105" s="988"/>
      <c r="BE105" s="988"/>
      <c r="BF105" s="988"/>
      <c r="BG105" s="988"/>
    </row>
    <row r="106" spans="18:59" x14ac:dyDescent="0.3">
      <c r="R106" s="988"/>
      <c r="S106" s="988"/>
      <c r="W106" s="988"/>
      <c r="X106" s="988"/>
      <c r="AE106" s="988"/>
      <c r="AF106" s="988"/>
      <c r="AV106" s="988"/>
      <c r="AW106" s="988"/>
      <c r="AX106" s="988"/>
      <c r="AY106" s="988"/>
      <c r="AZ106" s="988"/>
      <c r="BA106" s="988"/>
      <c r="BC106" s="988"/>
      <c r="BE106" s="988"/>
      <c r="BF106" s="988"/>
      <c r="BG106" s="988"/>
    </row>
    <row r="107" spans="18:59" x14ac:dyDescent="0.3">
      <c r="R107" s="988"/>
      <c r="S107" s="988"/>
      <c r="W107" s="988"/>
      <c r="X107" s="988"/>
      <c r="AE107" s="988"/>
      <c r="AF107" s="988"/>
      <c r="AV107" s="988"/>
      <c r="AW107" s="988"/>
      <c r="AX107" s="988"/>
      <c r="AY107" s="988"/>
      <c r="AZ107" s="988"/>
      <c r="BA107" s="988"/>
      <c r="BC107" s="988"/>
      <c r="BE107" s="988"/>
      <c r="BF107" s="988"/>
      <c r="BG107" s="988"/>
    </row>
    <row r="108" spans="18:59" x14ac:dyDescent="0.3">
      <c r="R108" s="988"/>
      <c r="S108" s="988"/>
      <c r="W108" s="988"/>
      <c r="X108" s="988"/>
      <c r="AE108" s="988"/>
      <c r="AF108" s="988"/>
      <c r="AV108" s="988"/>
      <c r="AW108" s="988"/>
      <c r="AX108" s="988"/>
      <c r="AY108" s="988"/>
      <c r="AZ108" s="988"/>
      <c r="BA108" s="988"/>
      <c r="BC108" s="988"/>
      <c r="BE108" s="988"/>
      <c r="BF108" s="988"/>
      <c r="BG108" s="988"/>
    </row>
    <row r="109" spans="18:59" x14ac:dyDescent="0.3">
      <c r="R109" s="988"/>
      <c r="S109" s="988"/>
      <c r="W109" s="988"/>
      <c r="X109" s="988"/>
      <c r="AE109" s="988"/>
      <c r="AF109" s="988"/>
      <c r="AV109" s="988"/>
      <c r="AW109" s="988"/>
      <c r="AX109" s="988"/>
      <c r="AY109" s="988"/>
      <c r="AZ109" s="988"/>
      <c r="BA109" s="988"/>
      <c r="BC109" s="988"/>
      <c r="BE109" s="988"/>
      <c r="BF109" s="988"/>
      <c r="BG109" s="988"/>
    </row>
    <row r="110" spans="18:59" x14ac:dyDescent="0.3">
      <c r="R110" s="988"/>
      <c r="S110" s="988"/>
      <c r="W110" s="988"/>
      <c r="X110" s="988"/>
      <c r="AE110" s="988"/>
      <c r="AF110" s="988"/>
      <c r="AV110" s="988"/>
      <c r="AW110" s="988"/>
      <c r="AX110" s="988"/>
      <c r="AY110" s="988"/>
      <c r="AZ110" s="988"/>
      <c r="BA110" s="988"/>
      <c r="BC110" s="988"/>
      <c r="BE110" s="988"/>
      <c r="BF110" s="988"/>
      <c r="BG110" s="988"/>
    </row>
    <row r="111" spans="18:59" x14ac:dyDescent="0.3">
      <c r="R111" s="988"/>
      <c r="S111" s="988"/>
      <c r="W111" s="988"/>
      <c r="X111" s="988"/>
      <c r="AE111" s="988"/>
      <c r="AF111" s="988"/>
      <c r="AV111" s="988"/>
      <c r="AW111" s="988"/>
      <c r="AX111" s="988"/>
      <c r="AY111" s="988"/>
      <c r="AZ111" s="988"/>
      <c r="BA111" s="988"/>
      <c r="BC111" s="988"/>
      <c r="BE111" s="988"/>
      <c r="BF111" s="988"/>
      <c r="BG111" s="988"/>
    </row>
    <row r="112" spans="18:59" x14ac:dyDescent="0.3">
      <c r="R112" s="988"/>
      <c r="S112" s="988"/>
      <c r="W112" s="988"/>
      <c r="X112" s="988"/>
      <c r="AE112" s="988"/>
      <c r="AF112" s="988"/>
      <c r="AV112" s="988"/>
      <c r="AW112" s="988"/>
      <c r="AX112" s="988"/>
      <c r="AY112" s="988"/>
      <c r="AZ112" s="988"/>
      <c r="BA112" s="988"/>
      <c r="BC112" s="988"/>
      <c r="BE112" s="988"/>
      <c r="BF112" s="988"/>
      <c r="BG112" s="988"/>
    </row>
    <row r="113" spans="18:59" x14ac:dyDescent="0.3">
      <c r="R113" s="988"/>
      <c r="S113" s="988"/>
      <c r="W113" s="988"/>
      <c r="X113" s="988"/>
      <c r="AE113" s="988"/>
      <c r="AF113" s="988"/>
      <c r="AV113" s="988"/>
      <c r="AW113" s="988"/>
      <c r="AX113" s="988"/>
      <c r="AY113" s="988"/>
      <c r="AZ113" s="988"/>
      <c r="BA113" s="988"/>
      <c r="BC113" s="988"/>
      <c r="BE113" s="988"/>
      <c r="BF113" s="988"/>
      <c r="BG113" s="988"/>
    </row>
    <row r="114" spans="18:59" x14ac:dyDescent="0.3">
      <c r="R114" s="988"/>
      <c r="S114" s="988"/>
      <c r="W114" s="988"/>
      <c r="X114" s="988"/>
      <c r="AE114" s="988"/>
      <c r="AF114" s="988"/>
      <c r="AV114" s="988"/>
      <c r="AW114" s="988"/>
      <c r="AX114" s="988"/>
      <c r="AY114" s="988"/>
      <c r="AZ114" s="988"/>
      <c r="BA114" s="988"/>
      <c r="BC114" s="988"/>
      <c r="BE114" s="988"/>
      <c r="BF114" s="988"/>
      <c r="BG114" s="988"/>
    </row>
    <row r="115" spans="18:59" x14ac:dyDescent="0.3">
      <c r="R115" s="988"/>
      <c r="S115" s="988"/>
      <c r="W115" s="988"/>
      <c r="X115" s="988"/>
      <c r="AE115" s="988"/>
      <c r="AF115" s="988"/>
      <c r="AV115" s="988"/>
      <c r="AW115" s="988"/>
      <c r="AX115" s="988"/>
      <c r="AY115" s="988"/>
      <c r="AZ115" s="988"/>
      <c r="BA115" s="988"/>
      <c r="BC115" s="988"/>
      <c r="BE115" s="988"/>
      <c r="BF115" s="988"/>
      <c r="BG115" s="988"/>
    </row>
    <row r="116" spans="18:59" x14ac:dyDescent="0.3">
      <c r="R116" s="988"/>
      <c r="S116" s="988"/>
      <c r="W116" s="988"/>
      <c r="X116" s="988"/>
      <c r="AE116" s="988"/>
      <c r="AF116" s="988"/>
      <c r="AV116" s="988"/>
      <c r="AW116" s="988"/>
      <c r="AX116" s="988"/>
      <c r="AY116" s="988"/>
      <c r="AZ116" s="988"/>
      <c r="BA116" s="988"/>
      <c r="BC116" s="988"/>
      <c r="BE116" s="988"/>
      <c r="BF116" s="988"/>
      <c r="BG116" s="988"/>
    </row>
    <row r="117" spans="18:59" x14ac:dyDescent="0.3">
      <c r="R117" s="988"/>
      <c r="S117" s="988"/>
      <c r="W117" s="988"/>
      <c r="X117" s="988"/>
      <c r="AE117" s="988"/>
      <c r="AF117" s="988"/>
      <c r="AV117" s="988"/>
      <c r="AW117" s="988"/>
      <c r="AX117" s="988"/>
      <c r="AY117" s="988"/>
      <c r="AZ117" s="988"/>
      <c r="BA117" s="988"/>
      <c r="BC117" s="988"/>
      <c r="BE117" s="988"/>
      <c r="BF117" s="988"/>
      <c r="BG117" s="988"/>
    </row>
    <row r="118" spans="18:59" x14ac:dyDescent="0.3">
      <c r="R118" s="988"/>
      <c r="S118" s="988"/>
      <c r="W118" s="988"/>
      <c r="X118" s="988"/>
      <c r="AE118" s="988"/>
      <c r="AF118" s="988"/>
      <c r="AV118" s="988"/>
      <c r="AW118" s="988"/>
      <c r="AX118" s="988"/>
      <c r="AY118" s="988"/>
      <c r="AZ118" s="988"/>
      <c r="BA118" s="988"/>
      <c r="BC118" s="988"/>
      <c r="BE118" s="988"/>
      <c r="BF118" s="988"/>
      <c r="BG118" s="988"/>
    </row>
    <row r="119" spans="18:59" x14ac:dyDescent="0.3">
      <c r="R119" s="988"/>
      <c r="S119" s="988"/>
      <c r="W119" s="988"/>
      <c r="X119" s="988"/>
      <c r="AE119" s="988"/>
      <c r="AF119" s="988"/>
      <c r="AV119" s="988"/>
      <c r="AW119" s="988"/>
      <c r="AX119" s="988"/>
      <c r="AY119" s="988"/>
      <c r="AZ119" s="988"/>
      <c r="BA119" s="988"/>
      <c r="BC119" s="988"/>
      <c r="BE119" s="988"/>
      <c r="BF119" s="988"/>
      <c r="BG119" s="988"/>
    </row>
    <row r="120" spans="18:59" x14ac:dyDescent="0.3">
      <c r="R120" s="988"/>
      <c r="S120" s="988"/>
      <c r="W120" s="988"/>
      <c r="X120" s="988"/>
      <c r="AE120" s="988"/>
      <c r="AF120" s="988"/>
      <c r="AV120" s="988"/>
      <c r="AW120" s="988"/>
      <c r="AX120" s="988"/>
      <c r="AY120" s="988"/>
      <c r="AZ120" s="988"/>
      <c r="BA120" s="988"/>
      <c r="BC120" s="988"/>
      <c r="BE120" s="988"/>
      <c r="BF120" s="988"/>
      <c r="BG120" s="988"/>
    </row>
    <row r="121" spans="18:59" x14ac:dyDescent="0.3">
      <c r="R121" s="988"/>
      <c r="S121" s="988"/>
      <c r="W121" s="988"/>
      <c r="X121" s="988"/>
      <c r="AE121" s="988"/>
      <c r="AF121" s="988"/>
      <c r="AV121" s="988"/>
      <c r="AW121" s="988"/>
      <c r="AX121" s="988"/>
      <c r="AY121" s="988"/>
      <c r="AZ121" s="988"/>
      <c r="BA121" s="988"/>
      <c r="BC121" s="988"/>
      <c r="BE121" s="988"/>
      <c r="BF121" s="988"/>
      <c r="BG121" s="988"/>
    </row>
    <row r="122" spans="18:59" x14ac:dyDescent="0.3">
      <c r="R122" s="988"/>
      <c r="S122" s="988"/>
      <c r="W122" s="988"/>
      <c r="X122" s="988"/>
      <c r="AE122" s="988"/>
      <c r="AF122" s="988"/>
      <c r="AV122" s="988"/>
      <c r="AW122" s="988"/>
      <c r="AX122" s="988"/>
      <c r="AY122" s="988"/>
      <c r="AZ122" s="988"/>
      <c r="BA122" s="988"/>
      <c r="BC122" s="988"/>
      <c r="BE122" s="988"/>
      <c r="BF122" s="988"/>
      <c r="BG122" s="988"/>
    </row>
    <row r="123" spans="18:59" x14ac:dyDescent="0.3">
      <c r="R123" s="988"/>
      <c r="S123" s="988"/>
      <c r="W123" s="988"/>
      <c r="X123" s="988"/>
      <c r="AE123" s="988"/>
      <c r="AF123" s="988"/>
      <c r="AV123" s="988"/>
      <c r="AW123" s="988"/>
      <c r="AX123" s="988"/>
      <c r="AY123" s="988"/>
      <c r="AZ123" s="988"/>
      <c r="BA123" s="988"/>
      <c r="BC123" s="988"/>
      <c r="BE123" s="988"/>
      <c r="BF123" s="988"/>
      <c r="BG123" s="988"/>
    </row>
    <row r="124" spans="18:59" x14ac:dyDescent="0.3">
      <c r="R124" s="988"/>
      <c r="S124" s="988"/>
      <c r="W124" s="988"/>
      <c r="X124" s="988"/>
      <c r="AE124" s="988"/>
      <c r="AF124" s="988"/>
      <c r="AV124" s="988"/>
      <c r="AW124" s="988"/>
      <c r="AX124" s="988"/>
      <c r="AY124" s="988"/>
      <c r="AZ124" s="988"/>
      <c r="BA124" s="988"/>
      <c r="BC124" s="988"/>
      <c r="BE124" s="988"/>
      <c r="BF124" s="988"/>
      <c r="BG124" s="988"/>
    </row>
    <row r="125" spans="18:59" x14ac:dyDescent="0.3">
      <c r="R125" s="988"/>
      <c r="S125" s="988"/>
      <c r="W125" s="988"/>
      <c r="X125" s="988"/>
      <c r="AE125" s="988"/>
      <c r="AF125" s="988"/>
      <c r="AV125" s="988"/>
      <c r="AW125" s="988"/>
      <c r="AX125" s="988"/>
      <c r="AY125" s="988"/>
      <c r="AZ125" s="988"/>
      <c r="BA125" s="988"/>
      <c r="BC125" s="988"/>
      <c r="BE125" s="988"/>
      <c r="BF125" s="988"/>
      <c r="BG125" s="988"/>
    </row>
    <row r="126" spans="18:59" x14ac:dyDescent="0.3">
      <c r="R126" s="988"/>
      <c r="S126" s="988"/>
      <c r="W126" s="988"/>
      <c r="X126" s="988"/>
      <c r="AE126" s="988"/>
      <c r="AF126" s="988"/>
      <c r="AV126" s="988"/>
      <c r="AW126" s="988"/>
      <c r="AX126" s="988"/>
      <c r="AY126" s="988"/>
      <c r="AZ126" s="988"/>
      <c r="BA126" s="988"/>
      <c r="BC126" s="988"/>
      <c r="BE126" s="988"/>
      <c r="BF126" s="988"/>
      <c r="BG126" s="988"/>
    </row>
    <row r="127" spans="18:59" x14ac:dyDescent="0.3">
      <c r="R127" s="988"/>
      <c r="S127" s="988"/>
      <c r="W127" s="988"/>
      <c r="X127" s="988"/>
      <c r="AE127" s="988"/>
      <c r="AF127" s="988"/>
      <c r="AV127" s="988"/>
      <c r="AW127" s="988"/>
      <c r="AX127" s="988"/>
      <c r="AY127" s="988"/>
      <c r="AZ127" s="988"/>
      <c r="BA127" s="988"/>
      <c r="BC127" s="988"/>
      <c r="BE127" s="988"/>
      <c r="BF127" s="988"/>
      <c r="BG127" s="988"/>
    </row>
    <row r="128" spans="18:59" x14ac:dyDescent="0.3">
      <c r="R128" s="988"/>
      <c r="S128" s="988"/>
      <c r="W128" s="988"/>
      <c r="X128" s="988"/>
      <c r="AE128" s="988"/>
      <c r="AF128" s="988"/>
      <c r="AV128" s="988"/>
      <c r="AW128" s="988"/>
      <c r="AX128" s="988"/>
      <c r="AY128" s="988"/>
      <c r="AZ128" s="988"/>
      <c r="BA128" s="988"/>
      <c r="BC128" s="988"/>
      <c r="BE128" s="988"/>
      <c r="BF128" s="988"/>
      <c r="BG128" s="988"/>
    </row>
    <row r="129" spans="18:59" x14ac:dyDescent="0.3">
      <c r="R129" s="988"/>
      <c r="S129" s="988"/>
      <c r="W129" s="988"/>
      <c r="X129" s="988"/>
      <c r="AE129" s="988"/>
      <c r="AF129" s="988"/>
      <c r="AV129" s="988"/>
      <c r="AW129" s="988"/>
      <c r="AX129" s="988"/>
      <c r="AY129" s="988"/>
      <c r="AZ129" s="988"/>
      <c r="BA129" s="988"/>
      <c r="BC129" s="988"/>
      <c r="BE129" s="988"/>
      <c r="BF129" s="988"/>
      <c r="BG129" s="988"/>
    </row>
    <row r="130" spans="18:59" x14ac:dyDescent="0.3">
      <c r="R130" s="988"/>
      <c r="S130" s="988"/>
      <c r="W130" s="988"/>
      <c r="X130" s="988"/>
      <c r="AE130" s="988"/>
      <c r="AF130" s="988"/>
      <c r="AV130" s="988"/>
      <c r="AW130" s="988"/>
      <c r="AX130" s="988"/>
      <c r="AY130" s="988"/>
      <c r="AZ130" s="988"/>
      <c r="BA130" s="988"/>
      <c r="BC130" s="988"/>
      <c r="BE130" s="988"/>
      <c r="BF130" s="988"/>
      <c r="BG130" s="988"/>
    </row>
    <row r="131" spans="18:59" x14ac:dyDescent="0.3">
      <c r="R131" s="988"/>
      <c r="S131" s="988"/>
      <c r="W131" s="988"/>
      <c r="X131" s="988"/>
      <c r="AE131" s="988"/>
      <c r="AF131" s="988"/>
      <c r="AV131" s="988"/>
      <c r="AW131" s="988"/>
      <c r="AX131" s="988"/>
      <c r="AY131" s="988"/>
      <c r="AZ131" s="988"/>
      <c r="BA131" s="988"/>
      <c r="BC131" s="988"/>
      <c r="BE131" s="988"/>
      <c r="BF131" s="988"/>
      <c r="BG131" s="988"/>
    </row>
    <row r="132" spans="18:59" x14ac:dyDescent="0.3">
      <c r="R132" s="988"/>
      <c r="S132" s="988"/>
      <c r="W132" s="988"/>
      <c r="X132" s="988"/>
      <c r="AE132" s="988"/>
      <c r="AF132" s="988"/>
      <c r="AV132" s="988"/>
      <c r="AW132" s="988"/>
      <c r="AX132" s="988"/>
      <c r="AY132" s="988"/>
      <c r="AZ132" s="988"/>
      <c r="BA132" s="988"/>
      <c r="BC132" s="988"/>
      <c r="BE132" s="988"/>
      <c r="BF132" s="988"/>
      <c r="BG132" s="988"/>
    </row>
    <row r="133" spans="18:59" x14ac:dyDescent="0.3">
      <c r="R133" s="988"/>
      <c r="S133" s="988"/>
      <c r="W133" s="988"/>
      <c r="X133" s="988"/>
      <c r="AE133" s="988"/>
      <c r="AF133" s="988"/>
      <c r="AV133" s="988"/>
      <c r="AW133" s="988"/>
      <c r="AX133" s="988"/>
      <c r="AY133" s="988"/>
      <c r="AZ133" s="988"/>
      <c r="BA133" s="988"/>
      <c r="BC133" s="988"/>
      <c r="BE133" s="988"/>
      <c r="BF133" s="988"/>
      <c r="BG133" s="988"/>
    </row>
    <row r="134" spans="18:59" x14ac:dyDescent="0.3">
      <c r="R134" s="988"/>
      <c r="S134" s="988"/>
      <c r="W134" s="988"/>
      <c r="X134" s="988"/>
      <c r="AE134" s="988"/>
      <c r="AF134" s="988"/>
      <c r="AV134" s="988"/>
      <c r="AW134" s="988"/>
      <c r="AX134" s="988"/>
      <c r="AY134" s="988"/>
      <c r="AZ134" s="988"/>
      <c r="BA134" s="988"/>
      <c r="BC134" s="988"/>
      <c r="BE134" s="988"/>
      <c r="BF134" s="988"/>
      <c r="BG134" s="988"/>
    </row>
    <row r="135" spans="18:59" x14ac:dyDescent="0.3">
      <c r="R135" s="988"/>
      <c r="S135" s="988"/>
      <c r="W135" s="988"/>
      <c r="X135" s="988"/>
      <c r="AE135" s="988"/>
      <c r="AF135" s="988"/>
      <c r="AV135" s="988"/>
      <c r="AW135" s="988"/>
      <c r="AX135" s="988"/>
      <c r="AY135" s="988"/>
      <c r="AZ135" s="988"/>
      <c r="BA135" s="988"/>
      <c r="BC135" s="988"/>
      <c r="BE135" s="988"/>
      <c r="BF135" s="988"/>
      <c r="BG135" s="988"/>
    </row>
    <row r="136" spans="18:59" x14ac:dyDescent="0.3">
      <c r="R136" s="988"/>
      <c r="S136" s="988"/>
      <c r="W136" s="988"/>
      <c r="X136" s="988"/>
      <c r="AE136" s="988"/>
      <c r="AF136" s="988"/>
      <c r="AV136" s="988"/>
      <c r="AW136" s="988"/>
      <c r="AX136" s="988"/>
      <c r="AY136" s="988"/>
      <c r="AZ136" s="988"/>
      <c r="BA136" s="988"/>
      <c r="BC136" s="988"/>
      <c r="BE136" s="988"/>
      <c r="BF136" s="988"/>
      <c r="BG136" s="988"/>
    </row>
    <row r="137" spans="18:59" x14ac:dyDescent="0.3">
      <c r="R137" s="988"/>
      <c r="S137" s="988"/>
      <c r="W137" s="988"/>
      <c r="X137" s="988"/>
      <c r="AE137" s="988"/>
      <c r="AF137" s="988"/>
      <c r="AV137" s="988"/>
      <c r="AW137" s="988"/>
      <c r="AX137" s="988"/>
      <c r="AY137" s="988"/>
      <c r="AZ137" s="988"/>
      <c r="BA137" s="988"/>
      <c r="BC137" s="988"/>
      <c r="BE137" s="988"/>
      <c r="BF137" s="988"/>
      <c r="BG137" s="988"/>
    </row>
    <row r="138" spans="18:59" x14ac:dyDescent="0.3">
      <c r="R138" s="988"/>
      <c r="S138" s="988"/>
      <c r="W138" s="988"/>
      <c r="X138" s="988"/>
      <c r="AE138" s="988"/>
      <c r="AF138" s="988"/>
      <c r="AV138" s="988"/>
      <c r="AW138" s="988"/>
      <c r="AX138" s="988"/>
      <c r="AY138" s="988"/>
      <c r="AZ138" s="988"/>
      <c r="BA138" s="988"/>
      <c r="BC138" s="988"/>
      <c r="BE138" s="988"/>
      <c r="BF138" s="988"/>
      <c r="BG138" s="988"/>
    </row>
    <row r="139" spans="18:59" x14ac:dyDescent="0.3">
      <c r="R139" s="988"/>
      <c r="S139" s="988"/>
      <c r="W139" s="988"/>
      <c r="X139" s="988"/>
      <c r="AE139" s="988"/>
      <c r="AF139" s="988"/>
      <c r="AV139" s="988"/>
      <c r="AW139" s="988"/>
      <c r="AX139" s="988"/>
      <c r="AY139" s="988"/>
      <c r="AZ139" s="988"/>
      <c r="BA139" s="988"/>
      <c r="BC139" s="988"/>
      <c r="BE139" s="988"/>
      <c r="BF139" s="988"/>
      <c r="BG139" s="988"/>
    </row>
    <row r="140" spans="18:59" x14ac:dyDescent="0.3">
      <c r="R140" s="988"/>
      <c r="S140" s="988"/>
      <c r="W140" s="988"/>
      <c r="X140" s="988"/>
      <c r="AE140" s="988"/>
      <c r="AF140" s="988"/>
      <c r="AV140" s="988"/>
      <c r="AW140" s="988"/>
      <c r="AX140" s="988"/>
      <c r="AY140" s="988"/>
      <c r="AZ140" s="988"/>
      <c r="BA140" s="988"/>
      <c r="BC140" s="988"/>
      <c r="BE140" s="988"/>
      <c r="BF140" s="988"/>
      <c r="BG140" s="988"/>
    </row>
    <row r="141" spans="18:59" x14ac:dyDescent="0.3">
      <c r="R141" s="988"/>
      <c r="S141" s="988"/>
      <c r="W141" s="988"/>
      <c r="X141" s="988"/>
      <c r="AE141" s="988"/>
      <c r="AF141" s="988"/>
      <c r="AV141" s="988"/>
      <c r="AW141" s="988"/>
      <c r="AX141" s="988"/>
      <c r="AY141" s="988"/>
      <c r="AZ141" s="988"/>
      <c r="BA141" s="988"/>
      <c r="BC141" s="988"/>
      <c r="BE141" s="988"/>
      <c r="BF141" s="988"/>
      <c r="BG141" s="988"/>
    </row>
    <row r="142" spans="18:59" x14ac:dyDescent="0.3">
      <c r="R142" s="988"/>
      <c r="S142" s="988"/>
      <c r="W142" s="988"/>
      <c r="X142" s="988"/>
      <c r="AE142" s="988"/>
      <c r="AF142" s="988"/>
      <c r="AV142" s="988"/>
      <c r="AW142" s="988"/>
      <c r="AX142" s="988"/>
      <c r="AY142" s="988"/>
      <c r="AZ142" s="988"/>
      <c r="BA142" s="988"/>
      <c r="BC142" s="988"/>
      <c r="BE142" s="988"/>
      <c r="BF142" s="988"/>
      <c r="BG142" s="988"/>
    </row>
    <row r="143" spans="18:59" x14ac:dyDescent="0.3">
      <c r="R143" s="988"/>
      <c r="S143" s="988"/>
      <c r="W143" s="988"/>
      <c r="X143" s="988"/>
      <c r="AE143" s="988"/>
      <c r="AF143" s="988"/>
      <c r="AV143" s="988"/>
      <c r="AW143" s="988"/>
      <c r="AX143" s="988"/>
      <c r="AY143" s="988"/>
      <c r="AZ143" s="988"/>
      <c r="BA143" s="988"/>
      <c r="BC143" s="988"/>
      <c r="BE143" s="988"/>
      <c r="BF143" s="988"/>
      <c r="BG143" s="988"/>
    </row>
    <row r="144" spans="18:59" x14ac:dyDescent="0.3">
      <c r="R144" s="988"/>
      <c r="S144" s="988"/>
      <c r="W144" s="988"/>
      <c r="X144" s="988"/>
      <c r="AE144" s="988"/>
      <c r="AF144" s="988"/>
      <c r="AV144" s="988"/>
      <c r="AW144" s="988"/>
      <c r="AX144" s="988"/>
      <c r="AY144" s="988"/>
      <c r="AZ144" s="988"/>
      <c r="BA144" s="988"/>
      <c r="BC144" s="988"/>
      <c r="BE144" s="988"/>
      <c r="BF144" s="988"/>
      <c r="BG144" s="988"/>
    </row>
    <row r="145" spans="18:59" x14ac:dyDescent="0.3">
      <c r="R145" s="988"/>
      <c r="S145" s="988"/>
      <c r="W145" s="988"/>
      <c r="X145" s="988"/>
      <c r="AE145" s="988"/>
      <c r="AF145" s="988"/>
      <c r="AV145" s="988"/>
      <c r="AW145" s="988"/>
      <c r="AX145" s="988"/>
      <c r="AY145" s="988"/>
      <c r="AZ145" s="988"/>
      <c r="BA145" s="988"/>
      <c r="BC145" s="988"/>
      <c r="BE145" s="988"/>
      <c r="BF145" s="988"/>
      <c r="BG145" s="988"/>
    </row>
    <row r="146" spans="18:59" x14ac:dyDescent="0.3">
      <c r="R146" s="988"/>
      <c r="S146" s="988"/>
      <c r="W146" s="988"/>
      <c r="X146" s="988"/>
      <c r="AE146" s="988"/>
      <c r="AF146" s="988"/>
      <c r="AV146" s="988"/>
      <c r="AW146" s="988"/>
      <c r="AX146" s="988"/>
      <c r="AY146" s="988"/>
      <c r="AZ146" s="988"/>
      <c r="BA146" s="988"/>
      <c r="BC146" s="988"/>
      <c r="BE146" s="988"/>
      <c r="BF146" s="988"/>
      <c r="BG146" s="988"/>
    </row>
    <row r="147" spans="18:59" x14ac:dyDescent="0.3">
      <c r="R147" s="988"/>
      <c r="S147" s="988"/>
      <c r="W147" s="988"/>
      <c r="X147" s="988"/>
      <c r="AE147" s="988"/>
      <c r="AF147" s="988"/>
      <c r="AV147" s="988"/>
      <c r="AW147" s="988"/>
      <c r="AX147" s="988"/>
      <c r="AY147" s="988"/>
      <c r="AZ147" s="988"/>
      <c r="BA147" s="988"/>
      <c r="BC147" s="988"/>
      <c r="BE147" s="988"/>
      <c r="BF147" s="988"/>
      <c r="BG147" s="988"/>
    </row>
    <row r="148" spans="18:59" x14ac:dyDescent="0.3">
      <c r="R148" s="988"/>
      <c r="S148" s="988"/>
      <c r="W148" s="988"/>
      <c r="X148" s="988"/>
      <c r="AE148" s="988"/>
      <c r="AF148" s="988"/>
      <c r="AV148" s="988"/>
      <c r="AW148" s="988"/>
      <c r="AX148" s="988"/>
      <c r="AY148" s="988"/>
      <c r="AZ148" s="988"/>
      <c r="BA148" s="988"/>
      <c r="BC148" s="988"/>
      <c r="BE148" s="988"/>
      <c r="BF148" s="988"/>
      <c r="BG148" s="988"/>
    </row>
    <row r="149" spans="18:59" x14ac:dyDescent="0.3">
      <c r="R149" s="988"/>
      <c r="S149" s="988"/>
      <c r="W149" s="988"/>
      <c r="X149" s="988"/>
      <c r="AE149" s="988"/>
      <c r="AF149" s="988"/>
      <c r="AV149" s="988"/>
      <c r="AW149" s="988"/>
      <c r="AX149" s="988"/>
      <c r="AY149" s="988"/>
      <c r="AZ149" s="988"/>
      <c r="BA149" s="988"/>
      <c r="BC149" s="988"/>
      <c r="BE149" s="988"/>
      <c r="BF149" s="988"/>
      <c r="BG149" s="988"/>
    </row>
    <row r="150" spans="18:59" x14ac:dyDescent="0.3">
      <c r="R150" s="988"/>
      <c r="S150" s="988"/>
      <c r="W150" s="988"/>
      <c r="X150" s="988"/>
      <c r="AE150" s="988"/>
      <c r="AF150" s="988"/>
      <c r="AV150" s="988"/>
      <c r="AW150" s="988"/>
      <c r="AX150" s="988"/>
      <c r="AY150" s="988"/>
      <c r="AZ150" s="988"/>
      <c r="BA150" s="988"/>
      <c r="BC150" s="988"/>
      <c r="BE150" s="988"/>
      <c r="BF150" s="988"/>
      <c r="BG150" s="988"/>
    </row>
    <row r="151" spans="18:59" x14ac:dyDescent="0.3">
      <c r="R151" s="988"/>
      <c r="S151" s="988"/>
      <c r="W151" s="988"/>
      <c r="X151" s="988"/>
      <c r="AE151" s="988"/>
      <c r="AF151" s="988"/>
      <c r="AV151" s="988"/>
      <c r="AW151" s="988"/>
      <c r="AX151" s="988"/>
      <c r="AY151" s="988"/>
      <c r="AZ151" s="988"/>
      <c r="BA151" s="988"/>
      <c r="BC151" s="988"/>
      <c r="BE151" s="988"/>
      <c r="BF151" s="988"/>
      <c r="BG151" s="988"/>
    </row>
    <row r="152" spans="18:59" x14ac:dyDescent="0.3">
      <c r="R152" s="988"/>
      <c r="S152" s="988"/>
      <c r="W152" s="988"/>
      <c r="X152" s="988"/>
      <c r="AE152" s="988"/>
      <c r="AF152" s="988"/>
      <c r="AV152" s="988"/>
      <c r="AW152" s="988"/>
      <c r="AX152" s="988"/>
      <c r="AY152" s="988"/>
      <c r="AZ152" s="988"/>
      <c r="BA152" s="988"/>
      <c r="BC152" s="988"/>
      <c r="BE152" s="988"/>
      <c r="BF152" s="988"/>
      <c r="BG152" s="988"/>
    </row>
    <row r="153" spans="18:59" x14ac:dyDescent="0.3">
      <c r="R153" s="988"/>
      <c r="S153" s="988"/>
      <c r="W153" s="988"/>
      <c r="X153" s="988"/>
      <c r="AE153" s="988"/>
      <c r="AF153" s="988"/>
      <c r="AV153" s="988"/>
      <c r="AW153" s="988"/>
      <c r="AX153" s="988"/>
      <c r="AY153" s="988"/>
      <c r="AZ153" s="988"/>
      <c r="BA153" s="988"/>
      <c r="BC153" s="988"/>
      <c r="BE153" s="988"/>
      <c r="BF153" s="988"/>
      <c r="BG153" s="988"/>
    </row>
    <row r="154" spans="18:59" x14ac:dyDescent="0.3">
      <c r="R154" s="988"/>
      <c r="S154" s="988"/>
      <c r="W154" s="988"/>
      <c r="X154" s="988"/>
      <c r="AE154" s="988"/>
      <c r="AF154" s="988"/>
      <c r="AV154" s="988"/>
      <c r="AW154" s="988"/>
      <c r="AX154" s="988"/>
      <c r="AY154" s="988"/>
      <c r="AZ154" s="988"/>
      <c r="BA154" s="988"/>
      <c r="BC154" s="988"/>
      <c r="BE154" s="988"/>
      <c r="BF154" s="988"/>
      <c r="BG154" s="988"/>
    </row>
    <row r="155" spans="18:59" x14ac:dyDescent="0.3">
      <c r="R155" s="988"/>
      <c r="S155" s="988"/>
      <c r="W155" s="988"/>
      <c r="X155" s="988"/>
      <c r="AE155" s="988"/>
      <c r="AF155" s="988"/>
      <c r="AV155" s="988"/>
      <c r="AW155" s="988"/>
      <c r="AX155" s="988"/>
      <c r="AY155" s="988"/>
      <c r="AZ155" s="988"/>
      <c r="BA155" s="988"/>
      <c r="BC155" s="988"/>
      <c r="BE155" s="988"/>
      <c r="BF155" s="988"/>
      <c r="BG155" s="988"/>
    </row>
    <row r="156" spans="18:59" x14ac:dyDescent="0.3">
      <c r="R156" s="988"/>
      <c r="S156" s="988"/>
      <c r="W156" s="988"/>
      <c r="X156" s="988"/>
      <c r="AE156" s="988"/>
      <c r="AF156" s="988"/>
      <c r="AV156" s="988"/>
      <c r="AW156" s="988"/>
      <c r="AX156" s="988"/>
      <c r="AY156" s="988"/>
      <c r="AZ156" s="988"/>
      <c r="BA156" s="988"/>
      <c r="BC156" s="988"/>
      <c r="BE156" s="988"/>
      <c r="BF156" s="988"/>
      <c r="BG156" s="988"/>
    </row>
    <row r="157" spans="18:59" x14ac:dyDescent="0.3">
      <c r="R157" s="988"/>
      <c r="S157" s="988"/>
      <c r="W157" s="988"/>
      <c r="X157" s="988"/>
      <c r="AE157" s="988"/>
      <c r="AF157" s="988"/>
      <c r="AV157" s="988"/>
      <c r="AW157" s="988"/>
      <c r="AX157" s="988"/>
      <c r="AY157" s="988"/>
      <c r="AZ157" s="988"/>
      <c r="BA157" s="988"/>
      <c r="BC157" s="988"/>
      <c r="BE157" s="988"/>
      <c r="BF157" s="988"/>
      <c r="BG157" s="988"/>
    </row>
    <row r="158" spans="18:59" x14ac:dyDescent="0.3">
      <c r="R158" s="988"/>
      <c r="S158" s="988"/>
      <c r="W158" s="988"/>
      <c r="X158" s="988"/>
      <c r="AE158" s="988"/>
      <c r="AF158" s="988"/>
      <c r="AV158" s="988"/>
      <c r="AW158" s="988"/>
      <c r="AX158" s="988"/>
      <c r="AY158" s="988"/>
      <c r="AZ158" s="988"/>
      <c r="BA158" s="988"/>
      <c r="BC158" s="988"/>
      <c r="BE158" s="988"/>
      <c r="BF158" s="988"/>
      <c r="BG158" s="988"/>
    </row>
    <row r="159" spans="18:59" x14ac:dyDescent="0.3">
      <c r="R159" s="988"/>
      <c r="S159" s="988"/>
      <c r="W159" s="988"/>
      <c r="X159" s="988"/>
      <c r="AE159" s="988"/>
      <c r="AF159" s="988"/>
      <c r="AV159" s="988"/>
      <c r="AW159" s="988"/>
      <c r="AX159" s="988"/>
      <c r="AY159" s="988"/>
      <c r="AZ159" s="988"/>
      <c r="BA159" s="988"/>
      <c r="BC159" s="988"/>
      <c r="BE159" s="988"/>
      <c r="BF159" s="988"/>
      <c r="BG159" s="988"/>
    </row>
    <row r="160" spans="18:59" x14ac:dyDescent="0.3">
      <c r="R160" s="988"/>
      <c r="S160" s="988"/>
      <c r="W160" s="988"/>
      <c r="X160" s="988"/>
      <c r="AE160" s="988"/>
      <c r="AF160" s="988"/>
      <c r="AV160" s="988"/>
      <c r="AW160" s="988"/>
      <c r="AX160" s="988"/>
      <c r="AY160" s="988"/>
      <c r="AZ160" s="988"/>
      <c r="BA160" s="988"/>
      <c r="BC160" s="988"/>
      <c r="BE160" s="988"/>
      <c r="BF160" s="988"/>
      <c r="BG160" s="988"/>
    </row>
    <row r="161" spans="18:59" x14ac:dyDescent="0.3">
      <c r="R161" s="988"/>
      <c r="S161" s="988"/>
      <c r="W161" s="988"/>
      <c r="X161" s="988"/>
      <c r="AE161" s="988"/>
      <c r="AF161" s="988"/>
      <c r="AV161" s="988"/>
      <c r="AW161" s="988"/>
      <c r="AX161" s="988"/>
      <c r="AY161" s="988"/>
      <c r="AZ161" s="988"/>
      <c r="BA161" s="988"/>
      <c r="BC161" s="988"/>
      <c r="BE161" s="988"/>
      <c r="BF161" s="988"/>
      <c r="BG161" s="988"/>
    </row>
    <row r="162" spans="18:59" x14ac:dyDescent="0.3">
      <c r="R162" s="988"/>
      <c r="S162" s="988"/>
      <c r="W162" s="988"/>
      <c r="X162" s="988"/>
      <c r="AE162" s="988"/>
      <c r="AF162" s="988"/>
      <c r="AV162" s="988"/>
      <c r="AW162" s="988"/>
      <c r="AX162" s="988"/>
      <c r="AY162" s="988"/>
      <c r="AZ162" s="988"/>
      <c r="BA162" s="988"/>
      <c r="BC162" s="988"/>
      <c r="BE162" s="988"/>
      <c r="BF162" s="988"/>
      <c r="BG162" s="988"/>
    </row>
    <row r="163" spans="18:59" x14ac:dyDescent="0.3">
      <c r="R163" s="988"/>
      <c r="S163" s="988"/>
      <c r="W163" s="988"/>
      <c r="X163" s="988"/>
      <c r="AE163" s="988"/>
      <c r="AF163" s="988"/>
      <c r="AV163" s="988"/>
      <c r="AW163" s="988"/>
      <c r="AX163" s="988"/>
      <c r="AY163" s="988"/>
      <c r="AZ163" s="988"/>
      <c r="BA163" s="988"/>
      <c r="BC163" s="988"/>
      <c r="BE163" s="988"/>
      <c r="BF163" s="988"/>
      <c r="BG163" s="988"/>
    </row>
    <row r="164" spans="18:59" x14ac:dyDescent="0.3">
      <c r="R164" s="988"/>
      <c r="S164" s="988"/>
      <c r="W164" s="988"/>
      <c r="X164" s="988"/>
      <c r="AE164" s="988"/>
      <c r="AF164" s="988"/>
      <c r="AV164" s="988"/>
      <c r="AW164" s="988"/>
      <c r="AX164" s="988"/>
      <c r="AY164" s="988"/>
      <c r="AZ164" s="988"/>
      <c r="BA164" s="988"/>
      <c r="BC164" s="988"/>
      <c r="BE164" s="988"/>
      <c r="BF164" s="988"/>
      <c r="BG164" s="988"/>
    </row>
    <row r="165" spans="18:59" x14ac:dyDescent="0.3">
      <c r="R165" s="988"/>
      <c r="S165" s="988"/>
      <c r="W165" s="988"/>
      <c r="X165" s="988"/>
      <c r="AE165" s="988"/>
      <c r="AF165" s="988"/>
      <c r="AV165" s="988"/>
      <c r="AW165" s="988"/>
      <c r="AX165" s="988"/>
      <c r="AY165" s="988"/>
      <c r="AZ165" s="988"/>
      <c r="BA165" s="988"/>
      <c r="BC165" s="988"/>
      <c r="BE165" s="988"/>
      <c r="BF165" s="988"/>
      <c r="BG165" s="988"/>
    </row>
    <row r="166" spans="18:59" x14ac:dyDescent="0.3">
      <c r="R166" s="988"/>
      <c r="S166" s="988"/>
      <c r="W166" s="988"/>
      <c r="X166" s="988"/>
      <c r="AE166" s="988"/>
      <c r="AF166" s="988"/>
      <c r="AV166" s="988"/>
      <c r="AW166" s="988"/>
      <c r="AX166" s="988"/>
      <c r="AY166" s="988"/>
      <c r="AZ166" s="988"/>
      <c r="BA166" s="988"/>
      <c r="BC166" s="988"/>
      <c r="BE166" s="988"/>
      <c r="BF166" s="988"/>
      <c r="BG166" s="988"/>
    </row>
    <row r="167" spans="18:59" x14ac:dyDescent="0.3">
      <c r="R167" s="988"/>
      <c r="S167" s="988"/>
      <c r="W167" s="988"/>
      <c r="X167" s="988"/>
      <c r="AE167" s="988"/>
      <c r="AF167" s="988"/>
      <c r="AV167" s="988"/>
      <c r="AW167" s="988"/>
      <c r="AX167" s="988"/>
      <c r="AY167" s="988"/>
      <c r="AZ167" s="988"/>
      <c r="BA167" s="988"/>
      <c r="BC167" s="988"/>
      <c r="BE167" s="988"/>
      <c r="BF167" s="988"/>
      <c r="BG167" s="988"/>
    </row>
    <row r="168" spans="18:59" x14ac:dyDescent="0.3">
      <c r="R168" s="988"/>
      <c r="S168" s="988"/>
      <c r="W168" s="988"/>
      <c r="X168" s="988"/>
      <c r="AE168" s="988"/>
      <c r="AF168" s="988"/>
      <c r="AV168" s="988"/>
      <c r="AW168" s="988"/>
      <c r="AX168" s="988"/>
      <c r="AY168" s="988"/>
      <c r="AZ168" s="988"/>
      <c r="BA168" s="988"/>
      <c r="BC168" s="988"/>
      <c r="BE168" s="988"/>
      <c r="BF168" s="988"/>
      <c r="BG168" s="988"/>
    </row>
    <row r="169" spans="18:59" x14ac:dyDescent="0.3">
      <c r="R169" s="988"/>
      <c r="S169" s="988"/>
      <c r="W169" s="988"/>
      <c r="X169" s="988"/>
      <c r="AE169" s="988"/>
      <c r="AF169" s="988"/>
      <c r="AV169" s="988"/>
      <c r="AW169" s="988"/>
      <c r="AX169" s="988"/>
      <c r="AY169" s="988"/>
      <c r="AZ169" s="988"/>
      <c r="BA169" s="988"/>
      <c r="BC169" s="988"/>
      <c r="BE169" s="988"/>
      <c r="BF169" s="988"/>
      <c r="BG169" s="988"/>
    </row>
    <row r="170" spans="18:59" x14ac:dyDescent="0.3">
      <c r="R170" s="988"/>
      <c r="S170" s="988"/>
      <c r="W170" s="988"/>
      <c r="X170" s="988"/>
      <c r="AE170" s="988"/>
      <c r="AF170" s="988"/>
      <c r="AV170" s="988"/>
      <c r="AW170" s="988"/>
      <c r="AX170" s="988"/>
      <c r="AY170" s="988"/>
      <c r="AZ170" s="988"/>
      <c r="BA170" s="988"/>
      <c r="BC170" s="988"/>
      <c r="BE170" s="988"/>
      <c r="BF170" s="988"/>
      <c r="BG170" s="988"/>
    </row>
    <row r="171" spans="18:59" x14ac:dyDescent="0.3">
      <c r="R171" s="988"/>
      <c r="S171" s="988"/>
      <c r="W171" s="988"/>
      <c r="X171" s="988"/>
      <c r="AE171" s="988"/>
      <c r="AF171" s="988"/>
      <c r="AV171" s="988"/>
      <c r="AW171" s="988"/>
      <c r="AX171" s="988"/>
      <c r="AY171" s="988"/>
      <c r="AZ171" s="988"/>
      <c r="BA171" s="988"/>
      <c r="BC171" s="988"/>
      <c r="BE171" s="988"/>
      <c r="BF171" s="988"/>
      <c r="BG171" s="988"/>
    </row>
    <row r="172" spans="18:59" x14ac:dyDescent="0.3">
      <c r="R172" s="988"/>
      <c r="S172" s="988"/>
      <c r="W172" s="988"/>
      <c r="X172" s="988"/>
      <c r="AE172" s="988"/>
      <c r="AF172" s="988"/>
      <c r="AV172" s="988"/>
      <c r="AW172" s="988"/>
      <c r="AX172" s="988"/>
      <c r="AY172" s="988"/>
      <c r="AZ172" s="988"/>
      <c r="BA172" s="988"/>
      <c r="BC172" s="988"/>
      <c r="BE172" s="988"/>
      <c r="BF172" s="988"/>
      <c r="BG172" s="988"/>
    </row>
    <row r="173" spans="18:59" x14ac:dyDescent="0.3">
      <c r="R173" s="988"/>
      <c r="S173" s="988"/>
      <c r="W173" s="988"/>
      <c r="X173" s="988"/>
      <c r="AE173" s="988"/>
      <c r="AF173" s="988"/>
      <c r="AV173" s="988"/>
      <c r="AW173" s="988"/>
      <c r="AX173" s="988"/>
      <c r="AY173" s="988"/>
      <c r="AZ173" s="988"/>
      <c r="BA173" s="988"/>
      <c r="BC173" s="988"/>
      <c r="BE173" s="988"/>
      <c r="BF173" s="988"/>
      <c r="BG173" s="988"/>
    </row>
    <row r="174" spans="18:59" x14ac:dyDescent="0.3">
      <c r="R174" s="988"/>
      <c r="S174" s="988"/>
      <c r="W174" s="988"/>
      <c r="X174" s="988"/>
      <c r="AE174" s="988"/>
      <c r="AF174" s="988"/>
      <c r="AV174" s="988"/>
      <c r="AW174" s="988"/>
      <c r="AX174" s="988"/>
      <c r="AY174" s="988"/>
      <c r="AZ174" s="988"/>
      <c r="BA174" s="988"/>
      <c r="BC174" s="988"/>
      <c r="BE174" s="988"/>
      <c r="BF174" s="988"/>
      <c r="BG174" s="988"/>
    </row>
    <row r="175" spans="18:59" x14ac:dyDescent="0.3">
      <c r="R175" s="988"/>
      <c r="S175" s="988"/>
      <c r="W175" s="988"/>
      <c r="X175" s="988"/>
      <c r="AE175" s="988"/>
      <c r="AF175" s="988"/>
      <c r="AV175" s="988"/>
      <c r="AW175" s="988"/>
      <c r="AX175" s="988"/>
      <c r="AY175" s="988"/>
      <c r="AZ175" s="988"/>
      <c r="BA175" s="988"/>
      <c r="BC175" s="988"/>
      <c r="BE175" s="988"/>
      <c r="BF175" s="988"/>
      <c r="BG175" s="988"/>
    </row>
    <row r="176" spans="18:59" x14ac:dyDescent="0.3">
      <c r="R176" s="988"/>
      <c r="S176" s="988"/>
      <c r="W176" s="988"/>
      <c r="X176" s="988"/>
      <c r="AE176" s="988"/>
      <c r="AF176" s="988"/>
      <c r="AV176" s="988"/>
      <c r="AW176" s="988"/>
      <c r="AX176" s="988"/>
      <c r="AY176" s="988"/>
      <c r="AZ176" s="988"/>
      <c r="BA176" s="988"/>
      <c r="BC176" s="988"/>
      <c r="BE176" s="988"/>
      <c r="BF176" s="988"/>
      <c r="BG176" s="988"/>
    </row>
    <row r="177" spans="18:59" x14ac:dyDescent="0.3">
      <c r="R177" s="988"/>
      <c r="S177" s="988"/>
      <c r="W177" s="988"/>
      <c r="X177" s="988"/>
      <c r="AE177" s="988"/>
      <c r="AF177" s="988"/>
      <c r="AV177" s="988"/>
      <c r="AW177" s="988"/>
      <c r="AX177" s="988"/>
      <c r="AY177" s="988"/>
      <c r="AZ177" s="988"/>
      <c r="BA177" s="988"/>
      <c r="BC177" s="988"/>
      <c r="BE177" s="988"/>
      <c r="BF177" s="988"/>
      <c r="BG177" s="988"/>
    </row>
    <row r="178" spans="18:59" x14ac:dyDescent="0.3">
      <c r="R178" s="988"/>
      <c r="S178" s="988"/>
      <c r="W178" s="988"/>
      <c r="X178" s="988"/>
      <c r="AE178" s="988"/>
      <c r="AF178" s="988"/>
      <c r="AV178" s="988"/>
      <c r="AW178" s="988"/>
      <c r="AX178" s="988"/>
      <c r="AY178" s="988"/>
      <c r="AZ178" s="988"/>
      <c r="BA178" s="988"/>
      <c r="BC178" s="988"/>
      <c r="BE178" s="988"/>
      <c r="BF178" s="988"/>
      <c r="BG178" s="988"/>
    </row>
    <row r="179" spans="18:59" x14ac:dyDescent="0.3">
      <c r="R179" s="988"/>
      <c r="S179" s="988"/>
      <c r="W179" s="988"/>
      <c r="X179" s="988"/>
      <c r="AE179" s="988"/>
      <c r="AF179" s="988"/>
      <c r="AV179" s="988"/>
      <c r="AW179" s="988"/>
      <c r="AX179" s="988"/>
      <c r="AY179" s="988"/>
      <c r="AZ179" s="988"/>
      <c r="BA179" s="988"/>
      <c r="BC179" s="988"/>
      <c r="BE179" s="988"/>
      <c r="BF179" s="988"/>
      <c r="BG179" s="988"/>
    </row>
    <row r="180" spans="18:59" x14ac:dyDescent="0.3">
      <c r="R180" s="988"/>
      <c r="S180" s="988"/>
      <c r="W180" s="988"/>
      <c r="X180" s="988"/>
      <c r="AE180" s="988"/>
      <c r="AF180" s="988"/>
      <c r="AV180" s="988"/>
      <c r="AW180" s="988"/>
      <c r="AX180" s="988"/>
      <c r="AY180" s="988"/>
      <c r="AZ180" s="988"/>
      <c r="BA180" s="988"/>
      <c r="BC180" s="988"/>
      <c r="BE180" s="988"/>
      <c r="BF180" s="988"/>
      <c r="BG180" s="988"/>
    </row>
    <row r="181" spans="18:59" x14ac:dyDescent="0.3">
      <c r="R181" s="988"/>
      <c r="S181" s="988"/>
      <c r="W181" s="988"/>
      <c r="X181" s="988"/>
      <c r="AE181" s="988"/>
      <c r="AF181" s="988"/>
      <c r="AV181" s="988"/>
      <c r="AW181" s="988"/>
      <c r="AX181" s="988"/>
      <c r="AY181" s="988"/>
      <c r="AZ181" s="988"/>
      <c r="BA181" s="988"/>
      <c r="BC181" s="988"/>
      <c r="BE181" s="988"/>
      <c r="BF181" s="988"/>
      <c r="BG181" s="988"/>
    </row>
    <row r="182" spans="18:59" x14ac:dyDescent="0.3">
      <c r="R182" s="988"/>
      <c r="S182" s="988"/>
      <c r="W182" s="988"/>
      <c r="X182" s="988"/>
      <c r="AE182" s="988"/>
      <c r="AF182" s="988"/>
      <c r="AV182" s="988"/>
      <c r="AW182" s="988"/>
      <c r="AX182" s="988"/>
      <c r="AY182" s="988"/>
      <c r="AZ182" s="988"/>
      <c r="BA182" s="988"/>
      <c r="BC182" s="988"/>
      <c r="BE182" s="988"/>
      <c r="BF182" s="988"/>
      <c r="BG182" s="988"/>
    </row>
    <row r="183" spans="18:59" x14ac:dyDescent="0.3">
      <c r="R183" s="988"/>
      <c r="S183" s="988"/>
      <c r="W183" s="988"/>
      <c r="X183" s="988"/>
      <c r="AE183" s="988"/>
      <c r="AF183" s="988"/>
      <c r="AV183" s="988"/>
      <c r="AW183" s="988"/>
      <c r="AX183" s="988"/>
      <c r="AY183" s="988"/>
      <c r="AZ183" s="988"/>
      <c r="BA183" s="988"/>
      <c r="BC183" s="988"/>
      <c r="BE183" s="988"/>
      <c r="BF183" s="988"/>
      <c r="BG183" s="988"/>
    </row>
    <row r="184" spans="18:59" x14ac:dyDescent="0.3">
      <c r="R184" s="988"/>
      <c r="S184" s="988"/>
      <c r="W184" s="988"/>
      <c r="X184" s="988"/>
      <c r="AE184" s="988"/>
      <c r="AF184" s="988"/>
      <c r="AV184" s="988"/>
      <c r="AW184" s="988"/>
      <c r="AX184" s="988"/>
      <c r="AY184" s="988"/>
      <c r="AZ184" s="988"/>
      <c r="BA184" s="988"/>
      <c r="BC184" s="988"/>
      <c r="BE184" s="988"/>
      <c r="BF184" s="988"/>
      <c r="BG184" s="988"/>
    </row>
    <row r="185" spans="18:59" x14ac:dyDescent="0.3">
      <c r="R185" s="988"/>
      <c r="S185" s="988"/>
      <c r="W185" s="988"/>
      <c r="X185" s="988"/>
      <c r="AE185" s="988"/>
      <c r="AF185" s="988"/>
      <c r="AV185" s="988"/>
      <c r="AW185" s="988"/>
      <c r="AX185" s="988"/>
      <c r="AY185" s="988"/>
      <c r="AZ185" s="988"/>
      <c r="BA185" s="988"/>
      <c r="BC185" s="988"/>
      <c r="BE185" s="988"/>
      <c r="BF185" s="988"/>
      <c r="BG185" s="988"/>
    </row>
    <row r="186" spans="18:59" x14ac:dyDescent="0.3">
      <c r="R186" s="988"/>
      <c r="S186" s="988"/>
      <c r="W186" s="988"/>
      <c r="X186" s="988"/>
      <c r="AE186" s="988"/>
      <c r="AF186" s="988"/>
      <c r="AV186" s="988"/>
      <c r="AW186" s="988"/>
      <c r="AX186" s="988"/>
      <c r="AY186" s="988"/>
      <c r="AZ186" s="988"/>
      <c r="BA186" s="988"/>
      <c r="BC186" s="988"/>
      <c r="BE186" s="988"/>
      <c r="BF186" s="988"/>
      <c r="BG186" s="988"/>
    </row>
    <row r="187" spans="18:59" x14ac:dyDescent="0.3">
      <c r="R187" s="988"/>
      <c r="S187" s="988"/>
      <c r="W187" s="988"/>
      <c r="X187" s="988"/>
      <c r="AE187" s="988"/>
      <c r="AF187" s="988"/>
      <c r="AV187" s="988"/>
      <c r="AW187" s="988"/>
      <c r="AX187" s="988"/>
      <c r="AY187" s="988"/>
      <c r="AZ187" s="988"/>
      <c r="BA187" s="988"/>
      <c r="BC187" s="988"/>
      <c r="BE187" s="988"/>
      <c r="BF187" s="988"/>
      <c r="BG187" s="988"/>
    </row>
    <row r="188" spans="18:59" x14ac:dyDescent="0.3">
      <c r="R188" s="988"/>
      <c r="S188" s="988"/>
      <c r="W188" s="988"/>
      <c r="X188" s="988"/>
      <c r="AE188" s="988"/>
      <c r="AF188" s="988"/>
      <c r="AV188" s="988"/>
      <c r="AW188" s="988"/>
      <c r="AX188" s="988"/>
      <c r="AY188" s="988"/>
      <c r="AZ188" s="988"/>
      <c r="BA188" s="988"/>
      <c r="BC188" s="988"/>
      <c r="BE188" s="988"/>
      <c r="BF188" s="988"/>
      <c r="BG188" s="988"/>
    </row>
    <row r="189" spans="18:59" x14ac:dyDescent="0.3">
      <c r="R189" s="988"/>
      <c r="S189" s="988"/>
      <c r="W189" s="988"/>
      <c r="X189" s="988"/>
      <c r="AE189" s="988"/>
      <c r="AF189" s="988"/>
      <c r="AV189" s="988"/>
      <c r="AW189" s="988"/>
      <c r="AX189" s="988"/>
      <c r="AY189" s="988"/>
      <c r="AZ189" s="988"/>
      <c r="BA189" s="988"/>
      <c r="BC189" s="988"/>
      <c r="BE189" s="988"/>
      <c r="BF189" s="988"/>
      <c r="BG189" s="988"/>
    </row>
    <row r="190" spans="18:59" x14ac:dyDescent="0.3">
      <c r="R190" s="988"/>
      <c r="S190" s="988"/>
      <c r="W190" s="988"/>
      <c r="X190" s="988"/>
      <c r="AE190" s="988"/>
      <c r="AF190" s="988"/>
      <c r="AV190" s="988"/>
      <c r="AW190" s="988"/>
      <c r="AX190" s="988"/>
      <c r="AY190" s="988"/>
      <c r="AZ190" s="988"/>
      <c r="BA190" s="988"/>
      <c r="BC190" s="988"/>
      <c r="BE190" s="988"/>
      <c r="BF190" s="988"/>
      <c r="BG190" s="988"/>
    </row>
    <row r="191" spans="18:59" x14ac:dyDescent="0.3">
      <c r="R191" s="988"/>
      <c r="S191" s="988"/>
      <c r="W191" s="988"/>
      <c r="X191" s="988"/>
      <c r="AE191" s="988"/>
      <c r="AF191" s="988"/>
      <c r="AV191" s="988"/>
      <c r="AW191" s="988"/>
      <c r="AX191" s="988"/>
      <c r="AY191" s="988"/>
      <c r="AZ191" s="988"/>
      <c r="BA191" s="988"/>
      <c r="BC191" s="988"/>
      <c r="BE191" s="988"/>
      <c r="BF191" s="988"/>
      <c r="BG191" s="988"/>
    </row>
    <row r="192" spans="18:59" x14ac:dyDescent="0.3">
      <c r="R192" s="988"/>
      <c r="S192" s="988"/>
      <c r="W192" s="988"/>
      <c r="X192" s="988"/>
      <c r="AE192" s="988"/>
      <c r="AF192" s="988"/>
      <c r="AV192" s="988"/>
      <c r="AW192" s="988"/>
      <c r="AX192" s="988"/>
      <c r="AY192" s="988"/>
      <c r="AZ192" s="988"/>
      <c r="BA192" s="988"/>
      <c r="BC192" s="988"/>
      <c r="BE192" s="988"/>
      <c r="BF192" s="988"/>
      <c r="BG192" s="988"/>
    </row>
    <row r="193" spans="18:59" x14ac:dyDescent="0.3">
      <c r="R193" s="988"/>
      <c r="S193" s="988"/>
      <c r="W193" s="988"/>
      <c r="X193" s="988"/>
      <c r="AE193" s="988"/>
      <c r="AF193" s="988"/>
      <c r="AV193" s="988"/>
      <c r="AW193" s="988"/>
      <c r="AX193" s="988"/>
      <c r="AY193" s="988"/>
      <c r="AZ193" s="988"/>
      <c r="BA193" s="988"/>
      <c r="BC193" s="988"/>
      <c r="BE193" s="988"/>
      <c r="BF193" s="988"/>
      <c r="BG193" s="988"/>
    </row>
    <row r="194" spans="18:59" x14ac:dyDescent="0.3">
      <c r="R194" s="988"/>
      <c r="S194" s="988"/>
      <c r="W194" s="988"/>
      <c r="X194" s="988"/>
      <c r="AE194" s="988"/>
      <c r="AF194" s="988"/>
      <c r="AV194" s="988"/>
      <c r="AW194" s="988"/>
      <c r="AX194" s="988"/>
      <c r="AY194" s="988"/>
      <c r="AZ194" s="988"/>
      <c r="BA194" s="988"/>
      <c r="BC194" s="988"/>
      <c r="BE194" s="988"/>
      <c r="BF194" s="988"/>
      <c r="BG194" s="988"/>
    </row>
    <row r="195" spans="18:59" x14ac:dyDescent="0.3">
      <c r="R195" s="988"/>
      <c r="S195" s="988"/>
      <c r="W195" s="988"/>
      <c r="X195" s="988"/>
      <c r="AE195" s="988"/>
      <c r="AF195" s="988"/>
      <c r="AV195" s="988"/>
      <c r="AW195" s="988"/>
      <c r="AX195" s="988"/>
      <c r="AY195" s="988"/>
      <c r="AZ195" s="988"/>
      <c r="BA195" s="988"/>
      <c r="BC195" s="988"/>
      <c r="BE195" s="988"/>
      <c r="BF195" s="988"/>
      <c r="BG195" s="988"/>
    </row>
    <row r="196" spans="18:59" x14ac:dyDescent="0.3">
      <c r="R196" s="988"/>
      <c r="S196" s="988"/>
      <c r="W196" s="988"/>
      <c r="X196" s="988"/>
      <c r="AE196" s="988"/>
      <c r="AF196" s="988"/>
      <c r="AV196" s="988"/>
      <c r="AW196" s="988"/>
      <c r="AX196" s="988"/>
      <c r="AY196" s="988"/>
      <c r="AZ196" s="988"/>
      <c r="BA196" s="988"/>
      <c r="BC196" s="988"/>
      <c r="BE196" s="988"/>
      <c r="BF196" s="988"/>
      <c r="BG196" s="988"/>
    </row>
    <row r="197" spans="18:59" x14ac:dyDescent="0.3">
      <c r="R197" s="988"/>
      <c r="S197" s="988"/>
      <c r="W197" s="988"/>
      <c r="X197" s="988"/>
      <c r="AE197" s="988"/>
      <c r="AF197" s="988"/>
      <c r="AV197" s="988"/>
      <c r="AW197" s="988"/>
      <c r="AX197" s="988"/>
      <c r="AY197" s="988"/>
      <c r="AZ197" s="988"/>
      <c r="BA197" s="988"/>
      <c r="BC197" s="988"/>
      <c r="BE197" s="988"/>
      <c r="BF197" s="988"/>
      <c r="BG197" s="988"/>
    </row>
    <row r="198" spans="18:59" x14ac:dyDescent="0.3">
      <c r="R198" s="988"/>
      <c r="S198" s="988"/>
      <c r="W198" s="988"/>
      <c r="X198" s="988"/>
      <c r="AE198" s="988"/>
      <c r="AF198" s="988"/>
      <c r="AV198" s="988"/>
      <c r="AW198" s="988"/>
      <c r="AX198" s="988"/>
      <c r="AY198" s="988"/>
      <c r="AZ198" s="988"/>
      <c r="BA198" s="988"/>
      <c r="BC198" s="988"/>
      <c r="BE198" s="988"/>
      <c r="BF198" s="988"/>
      <c r="BG198" s="988"/>
    </row>
    <row r="199" spans="18:59" x14ac:dyDescent="0.3">
      <c r="R199" s="988"/>
      <c r="S199" s="988"/>
      <c r="W199" s="988"/>
      <c r="X199" s="988"/>
      <c r="AE199" s="988"/>
      <c r="AF199" s="988"/>
      <c r="AV199" s="988"/>
      <c r="AW199" s="988"/>
      <c r="AX199" s="988"/>
      <c r="AY199" s="988"/>
      <c r="AZ199" s="988"/>
      <c r="BA199" s="988"/>
      <c r="BC199" s="988"/>
      <c r="BE199" s="988"/>
      <c r="BF199" s="988"/>
      <c r="BG199" s="988"/>
    </row>
    <row r="200" spans="18:59" x14ac:dyDescent="0.3">
      <c r="R200" s="988"/>
      <c r="S200" s="988"/>
      <c r="W200" s="988"/>
      <c r="X200" s="988"/>
      <c r="AE200" s="988"/>
      <c r="AF200" s="988"/>
      <c r="AV200" s="988"/>
      <c r="AW200" s="988"/>
      <c r="AX200" s="988"/>
      <c r="AY200" s="988"/>
      <c r="AZ200" s="988"/>
      <c r="BA200" s="988"/>
      <c r="BC200" s="988"/>
      <c r="BE200" s="988"/>
      <c r="BF200" s="988"/>
      <c r="BG200" s="988"/>
    </row>
    <row r="201" spans="18:59" x14ac:dyDescent="0.3">
      <c r="R201" s="988"/>
      <c r="S201" s="988"/>
      <c r="W201" s="988"/>
      <c r="X201" s="988"/>
      <c r="AE201" s="988"/>
      <c r="AF201" s="988"/>
      <c r="AV201" s="988"/>
      <c r="AW201" s="988"/>
      <c r="AX201" s="988"/>
      <c r="AY201" s="988"/>
      <c r="AZ201" s="988"/>
      <c r="BA201" s="988"/>
      <c r="BC201" s="988"/>
      <c r="BE201" s="988"/>
      <c r="BF201" s="988"/>
      <c r="BG201" s="988"/>
    </row>
    <row r="202" spans="18:59" x14ac:dyDescent="0.3">
      <c r="R202" s="988"/>
      <c r="S202" s="988"/>
      <c r="W202" s="988"/>
      <c r="X202" s="988"/>
      <c r="AE202" s="988"/>
      <c r="AF202" s="988"/>
      <c r="AV202" s="988"/>
      <c r="AW202" s="988"/>
      <c r="AX202" s="988"/>
      <c r="AY202" s="988"/>
      <c r="AZ202" s="988"/>
      <c r="BA202" s="988"/>
      <c r="BC202" s="988"/>
      <c r="BE202" s="988"/>
      <c r="BF202" s="988"/>
      <c r="BG202" s="988"/>
    </row>
    <row r="203" spans="18:59" x14ac:dyDescent="0.3">
      <c r="R203" s="988"/>
      <c r="S203" s="988"/>
      <c r="W203" s="988"/>
      <c r="X203" s="988"/>
      <c r="AE203" s="988"/>
      <c r="AF203" s="988"/>
      <c r="AV203" s="988"/>
      <c r="AW203" s="988"/>
      <c r="AX203" s="988"/>
      <c r="AY203" s="988"/>
      <c r="AZ203" s="988"/>
      <c r="BA203" s="988"/>
      <c r="BC203" s="988"/>
      <c r="BE203" s="988"/>
      <c r="BF203" s="988"/>
      <c r="BG203" s="988"/>
    </row>
    <row r="204" spans="18:59" x14ac:dyDescent="0.3">
      <c r="R204" s="988"/>
      <c r="S204" s="988"/>
      <c r="W204" s="988"/>
      <c r="X204" s="988"/>
      <c r="AE204" s="988"/>
      <c r="AF204" s="988"/>
      <c r="AV204" s="988"/>
      <c r="AW204" s="988"/>
      <c r="AX204" s="988"/>
      <c r="AY204" s="988"/>
      <c r="AZ204" s="988"/>
      <c r="BA204" s="988"/>
      <c r="BC204" s="988"/>
      <c r="BE204" s="988"/>
      <c r="BF204" s="988"/>
      <c r="BG204" s="988"/>
    </row>
    <row r="205" spans="18:59" x14ac:dyDescent="0.3">
      <c r="R205" s="988"/>
      <c r="S205" s="988"/>
      <c r="W205" s="988"/>
      <c r="X205" s="988"/>
      <c r="AE205" s="988"/>
      <c r="AF205" s="988"/>
      <c r="AV205" s="988"/>
      <c r="AW205" s="988"/>
      <c r="AX205" s="988"/>
      <c r="AY205" s="988"/>
      <c r="AZ205" s="988"/>
      <c r="BA205" s="988"/>
      <c r="BC205" s="988"/>
      <c r="BE205" s="988"/>
      <c r="BF205" s="988"/>
      <c r="BG205" s="988"/>
    </row>
    <row r="206" spans="18:59" x14ac:dyDescent="0.3">
      <c r="R206" s="988"/>
      <c r="S206" s="988"/>
      <c r="W206" s="988"/>
      <c r="X206" s="988"/>
      <c r="AE206" s="988"/>
      <c r="AF206" s="988"/>
      <c r="AV206" s="988"/>
      <c r="AW206" s="988"/>
      <c r="AX206" s="988"/>
      <c r="AY206" s="988"/>
      <c r="AZ206" s="988"/>
      <c r="BA206" s="988"/>
      <c r="BC206" s="988"/>
      <c r="BE206" s="988"/>
      <c r="BF206" s="988"/>
      <c r="BG206" s="988"/>
    </row>
    <row r="207" spans="18:59" x14ac:dyDescent="0.3">
      <c r="R207" s="988"/>
      <c r="S207" s="988"/>
      <c r="W207" s="988"/>
      <c r="X207" s="988"/>
      <c r="AE207" s="988"/>
      <c r="AF207" s="988"/>
      <c r="AV207" s="988"/>
      <c r="AW207" s="988"/>
      <c r="AX207" s="988"/>
      <c r="AY207" s="988"/>
      <c r="AZ207" s="988"/>
      <c r="BA207" s="988"/>
      <c r="BC207" s="988"/>
      <c r="BE207" s="988"/>
      <c r="BF207" s="988"/>
      <c r="BG207" s="988"/>
    </row>
    <row r="208" spans="18:59" x14ac:dyDescent="0.3">
      <c r="R208" s="988"/>
      <c r="S208" s="988"/>
      <c r="W208" s="988"/>
      <c r="X208" s="988"/>
      <c r="AE208" s="988"/>
      <c r="AF208" s="988"/>
      <c r="AV208" s="988"/>
      <c r="AW208" s="988"/>
      <c r="AX208" s="988"/>
      <c r="AY208" s="988"/>
      <c r="AZ208" s="988"/>
      <c r="BA208" s="988"/>
      <c r="BC208" s="988"/>
      <c r="BE208" s="988"/>
      <c r="BF208" s="988"/>
      <c r="BG208" s="988"/>
    </row>
    <row r="209" spans="18:59" x14ac:dyDescent="0.3">
      <c r="R209" s="988"/>
      <c r="S209" s="988"/>
      <c r="W209" s="988"/>
      <c r="X209" s="988"/>
      <c r="AE209" s="988"/>
      <c r="AF209" s="988"/>
      <c r="AV209" s="988"/>
      <c r="AW209" s="988"/>
      <c r="AX209" s="988"/>
      <c r="AY209" s="988"/>
      <c r="AZ209" s="988"/>
      <c r="BA209" s="988"/>
      <c r="BC209" s="988"/>
      <c r="BE209" s="988"/>
      <c r="BF209" s="988"/>
      <c r="BG209" s="988"/>
    </row>
    <row r="210" spans="18:59" x14ac:dyDescent="0.3">
      <c r="R210" s="988"/>
      <c r="S210" s="988"/>
      <c r="W210" s="988"/>
      <c r="X210" s="988"/>
      <c r="AE210" s="988"/>
      <c r="AF210" s="988"/>
      <c r="AV210" s="988"/>
      <c r="AW210" s="988"/>
      <c r="AX210" s="988"/>
      <c r="AY210" s="988"/>
      <c r="AZ210" s="988"/>
      <c r="BA210" s="988"/>
      <c r="BC210" s="988"/>
      <c r="BE210" s="988"/>
      <c r="BF210" s="988"/>
      <c r="BG210" s="988"/>
    </row>
    <row r="211" spans="18:59" x14ac:dyDescent="0.3">
      <c r="R211" s="988"/>
      <c r="S211" s="988"/>
      <c r="W211" s="988"/>
      <c r="X211" s="988"/>
      <c r="AE211" s="988"/>
      <c r="AF211" s="988"/>
      <c r="AV211" s="988"/>
      <c r="AW211" s="988"/>
      <c r="AX211" s="988"/>
      <c r="AY211" s="988"/>
      <c r="AZ211" s="988"/>
      <c r="BA211" s="988"/>
      <c r="BC211" s="988"/>
      <c r="BE211" s="988"/>
      <c r="BF211" s="988"/>
      <c r="BG211" s="988"/>
    </row>
    <row r="212" spans="18:59" x14ac:dyDescent="0.3">
      <c r="R212" s="988"/>
      <c r="S212" s="988"/>
      <c r="W212" s="988"/>
      <c r="X212" s="988"/>
      <c r="AE212" s="988"/>
      <c r="AF212" s="988"/>
      <c r="AV212" s="988"/>
      <c r="AW212" s="988"/>
      <c r="AX212" s="988"/>
      <c r="AY212" s="988"/>
      <c r="AZ212" s="988"/>
      <c r="BA212" s="988"/>
      <c r="BC212" s="988"/>
      <c r="BE212" s="988"/>
      <c r="BF212" s="988"/>
      <c r="BG212" s="988"/>
    </row>
    <row r="213" spans="18:59" x14ac:dyDescent="0.3">
      <c r="R213" s="988"/>
      <c r="S213" s="988"/>
      <c r="W213" s="988"/>
      <c r="X213" s="988"/>
      <c r="AE213" s="988"/>
      <c r="AF213" s="988"/>
      <c r="AV213" s="988"/>
      <c r="AW213" s="988"/>
      <c r="AX213" s="988"/>
      <c r="AY213" s="988"/>
      <c r="AZ213" s="988"/>
      <c r="BA213" s="988"/>
      <c r="BC213" s="988"/>
      <c r="BE213" s="988"/>
      <c r="BF213" s="988"/>
      <c r="BG213" s="988"/>
    </row>
    <row r="214" spans="18:59" x14ac:dyDescent="0.3">
      <c r="R214" s="988"/>
      <c r="S214" s="988"/>
      <c r="W214" s="988"/>
      <c r="X214" s="988"/>
      <c r="AE214" s="988"/>
      <c r="AF214" s="988"/>
      <c r="AV214" s="988"/>
      <c r="AW214" s="988"/>
      <c r="AX214" s="988"/>
      <c r="AY214" s="988"/>
      <c r="AZ214" s="988"/>
      <c r="BA214" s="988"/>
      <c r="BC214" s="988"/>
      <c r="BE214" s="988"/>
      <c r="BF214" s="988"/>
      <c r="BG214" s="988"/>
    </row>
    <row r="215" spans="18:59" x14ac:dyDescent="0.3">
      <c r="R215" s="988"/>
      <c r="S215" s="988"/>
      <c r="W215" s="988"/>
      <c r="X215" s="988"/>
      <c r="AE215" s="988"/>
      <c r="AF215" s="988"/>
      <c r="AV215" s="988"/>
      <c r="AW215" s="988"/>
      <c r="AX215" s="988"/>
      <c r="AY215" s="988"/>
      <c r="AZ215" s="988"/>
      <c r="BA215" s="988"/>
      <c r="BC215" s="988"/>
      <c r="BE215" s="988"/>
      <c r="BF215" s="988"/>
      <c r="BG215" s="988"/>
    </row>
    <row r="216" spans="18:59" x14ac:dyDescent="0.3">
      <c r="R216" s="988"/>
      <c r="S216" s="988"/>
      <c r="W216" s="988"/>
      <c r="X216" s="988"/>
      <c r="AE216" s="988"/>
      <c r="AF216" s="988"/>
      <c r="AV216" s="988"/>
      <c r="AW216" s="988"/>
      <c r="AX216" s="988"/>
      <c r="AY216" s="988"/>
      <c r="AZ216" s="988"/>
      <c r="BA216" s="988"/>
      <c r="BC216" s="988"/>
      <c r="BE216" s="988"/>
      <c r="BF216" s="988"/>
      <c r="BG216" s="988"/>
    </row>
    <row r="217" spans="18:59" x14ac:dyDescent="0.3">
      <c r="R217" s="988"/>
      <c r="S217" s="988"/>
      <c r="W217" s="988"/>
      <c r="X217" s="988"/>
      <c r="AE217" s="988"/>
      <c r="AF217" s="988"/>
      <c r="AV217" s="988"/>
      <c r="AW217" s="988"/>
      <c r="AX217" s="988"/>
      <c r="AY217" s="988"/>
      <c r="AZ217" s="988"/>
      <c r="BA217" s="988"/>
      <c r="BC217" s="988"/>
      <c r="BE217" s="988"/>
      <c r="BF217" s="988"/>
      <c r="BG217" s="988"/>
    </row>
    <row r="218" spans="18:59" x14ac:dyDescent="0.3">
      <c r="R218" s="988"/>
      <c r="S218" s="988"/>
      <c r="W218" s="988"/>
      <c r="X218" s="988"/>
      <c r="AE218" s="988"/>
      <c r="AF218" s="988"/>
      <c r="AV218" s="988"/>
      <c r="AW218" s="988"/>
      <c r="AX218" s="988"/>
      <c r="AY218" s="988"/>
      <c r="AZ218" s="988"/>
      <c r="BA218" s="988"/>
      <c r="BC218" s="988"/>
      <c r="BE218" s="988"/>
      <c r="BF218" s="988"/>
      <c r="BG218" s="988"/>
    </row>
    <row r="219" spans="18:59" x14ac:dyDescent="0.3">
      <c r="R219" s="988"/>
      <c r="S219" s="988"/>
      <c r="W219" s="988"/>
      <c r="X219" s="988"/>
      <c r="AE219" s="988"/>
      <c r="AF219" s="988"/>
      <c r="AV219" s="988"/>
      <c r="AW219" s="988"/>
      <c r="AX219" s="988"/>
      <c r="AY219" s="988"/>
      <c r="AZ219" s="988"/>
      <c r="BA219" s="988"/>
      <c r="BC219" s="988"/>
      <c r="BE219" s="988"/>
      <c r="BF219" s="988"/>
      <c r="BG219" s="988"/>
    </row>
    <row r="220" spans="18:59" x14ac:dyDescent="0.3">
      <c r="R220" s="988"/>
      <c r="S220" s="988"/>
      <c r="W220" s="988"/>
      <c r="X220" s="988"/>
      <c r="AE220" s="988"/>
      <c r="AF220" s="988"/>
      <c r="AV220" s="988"/>
      <c r="AW220" s="988"/>
      <c r="AX220" s="988"/>
      <c r="AY220" s="988"/>
      <c r="AZ220" s="988"/>
      <c r="BA220" s="988"/>
      <c r="BC220" s="988"/>
      <c r="BE220" s="988"/>
      <c r="BF220" s="988"/>
      <c r="BG220" s="988"/>
    </row>
    <row r="221" spans="18:59" x14ac:dyDescent="0.3">
      <c r="R221" s="988"/>
      <c r="S221" s="988"/>
      <c r="W221" s="988"/>
      <c r="X221" s="988"/>
      <c r="AE221" s="988"/>
      <c r="AF221" s="988"/>
      <c r="AV221" s="988"/>
      <c r="AW221" s="988"/>
      <c r="AX221" s="988"/>
      <c r="AY221" s="988"/>
      <c r="AZ221" s="988"/>
      <c r="BA221" s="988"/>
      <c r="BC221" s="988"/>
      <c r="BE221" s="988"/>
      <c r="BF221" s="988"/>
      <c r="BG221" s="988"/>
    </row>
    <row r="222" spans="18:59" x14ac:dyDescent="0.3">
      <c r="R222" s="988"/>
      <c r="S222" s="988"/>
      <c r="W222" s="988"/>
      <c r="X222" s="988"/>
      <c r="AE222" s="988"/>
      <c r="AF222" s="988"/>
      <c r="AV222" s="988"/>
      <c r="AW222" s="988"/>
      <c r="AX222" s="988"/>
      <c r="AY222" s="988"/>
      <c r="AZ222" s="988"/>
      <c r="BA222" s="988"/>
      <c r="BC222" s="988"/>
      <c r="BE222" s="988"/>
      <c r="BF222" s="988"/>
      <c r="BG222" s="988"/>
    </row>
    <row r="223" spans="18:59" x14ac:dyDescent="0.3">
      <c r="R223" s="988"/>
      <c r="S223" s="988"/>
      <c r="W223" s="988"/>
      <c r="X223" s="988"/>
      <c r="AE223" s="988"/>
      <c r="AF223" s="988"/>
      <c r="AV223" s="988"/>
      <c r="AW223" s="988"/>
      <c r="AX223" s="988"/>
      <c r="AY223" s="988"/>
      <c r="AZ223" s="988"/>
      <c r="BA223" s="988"/>
      <c r="BC223" s="988"/>
      <c r="BE223" s="988"/>
      <c r="BF223" s="988"/>
      <c r="BG223" s="988"/>
    </row>
    <row r="224" spans="18:59" x14ac:dyDescent="0.3">
      <c r="R224" s="988"/>
      <c r="S224" s="988"/>
      <c r="W224" s="988"/>
      <c r="X224" s="988"/>
      <c r="AE224" s="988"/>
      <c r="AF224" s="988"/>
      <c r="AV224" s="988"/>
      <c r="AW224" s="988"/>
      <c r="AX224" s="988"/>
      <c r="AY224" s="988"/>
      <c r="AZ224" s="988"/>
      <c r="BA224" s="988"/>
      <c r="BC224" s="988"/>
      <c r="BE224" s="988"/>
      <c r="BF224" s="988"/>
      <c r="BG224" s="988"/>
    </row>
    <row r="225" spans="18:59" x14ac:dyDescent="0.3">
      <c r="R225" s="988"/>
      <c r="S225" s="988"/>
      <c r="W225" s="988"/>
      <c r="X225" s="988"/>
      <c r="AE225" s="988"/>
      <c r="AF225" s="988"/>
      <c r="AV225" s="988"/>
      <c r="AW225" s="988"/>
      <c r="AX225" s="988"/>
      <c r="AY225" s="988"/>
      <c r="AZ225" s="988"/>
      <c r="BA225" s="988"/>
      <c r="BC225" s="988"/>
      <c r="BE225" s="988"/>
      <c r="BF225" s="988"/>
      <c r="BG225" s="988"/>
    </row>
    <row r="226" spans="18:59" x14ac:dyDescent="0.3">
      <c r="R226" s="988"/>
      <c r="S226" s="988"/>
      <c r="W226" s="988"/>
      <c r="X226" s="988"/>
      <c r="AE226" s="988"/>
      <c r="AF226" s="988"/>
      <c r="AV226" s="988"/>
      <c r="AW226" s="988"/>
      <c r="AX226" s="988"/>
      <c r="AY226" s="988"/>
      <c r="AZ226" s="988"/>
      <c r="BA226" s="988"/>
      <c r="BC226" s="988"/>
      <c r="BE226" s="988"/>
      <c r="BF226" s="988"/>
      <c r="BG226" s="988"/>
    </row>
    <row r="227" spans="18:59" x14ac:dyDescent="0.3">
      <c r="R227" s="988"/>
      <c r="S227" s="988"/>
      <c r="W227" s="988"/>
      <c r="X227" s="988"/>
      <c r="AE227" s="988"/>
      <c r="AF227" s="988"/>
      <c r="AV227" s="988"/>
      <c r="AW227" s="988"/>
      <c r="AX227" s="988"/>
      <c r="AY227" s="988"/>
      <c r="AZ227" s="988"/>
      <c r="BA227" s="988"/>
      <c r="BC227" s="988"/>
      <c r="BE227" s="988"/>
      <c r="BF227" s="988"/>
      <c r="BG227" s="988"/>
    </row>
    <row r="228" spans="18:59" x14ac:dyDescent="0.3">
      <c r="R228" s="988"/>
      <c r="S228" s="988"/>
      <c r="W228" s="988"/>
      <c r="X228" s="988"/>
      <c r="AE228" s="988"/>
      <c r="AF228" s="988"/>
      <c r="AV228" s="988"/>
      <c r="AW228" s="988"/>
      <c r="AX228" s="988"/>
      <c r="AY228" s="988"/>
      <c r="AZ228" s="988"/>
      <c r="BA228" s="988"/>
      <c r="BC228" s="988"/>
      <c r="BE228" s="988"/>
      <c r="BF228" s="988"/>
      <c r="BG228" s="988"/>
    </row>
    <row r="229" spans="18:59" x14ac:dyDescent="0.3">
      <c r="R229" s="988"/>
      <c r="S229" s="988"/>
      <c r="W229" s="988"/>
      <c r="X229" s="988"/>
      <c r="AE229" s="988"/>
      <c r="AF229" s="988"/>
      <c r="AV229" s="988"/>
      <c r="AW229" s="988"/>
      <c r="AX229" s="988"/>
      <c r="AY229" s="988"/>
      <c r="AZ229" s="988"/>
      <c r="BA229" s="988"/>
      <c r="BC229" s="988"/>
      <c r="BE229" s="988"/>
      <c r="BF229" s="988"/>
      <c r="BG229" s="988"/>
    </row>
    <row r="230" spans="18:59" x14ac:dyDescent="0.3">
      <c r="R230" s="988"/>
      <c r="S230" s="988"/>
      <c r="W230" s="988"/>
      <c r="X230" s="988"/>
      <c r="AE230" s="988"/>
      <c r="AF230" s="988"/>
      <c r="AV230" s="988"/>
      <c r="AW230" s="988"/>
      <c r="AX230" s="988"/>
      <c r="AY230" s="988"/>
      <c r="AZ230" s="988"/>
      <c r="BA230" s="988"/>
      <c r="BC230" s="988"/>
      <c r="BE230" s="988"/>
      <c r="BF230" s="988"/>
      <c r="BG230" s="988"/>
    </row>
    <row r="231" spans="18:59" x14ac:dyDescent="0.3">
      <c r="R231" s="988"/>
      <c r="S231" s="988"/>
      <c r="W231" s="988"/>
      <c r="X231" s="988"/>
      <c r="AE231" s="988"/>
      <c r="AF231" s="988"/>
      <c r="AV231" s="988"/>
      <c r="AW231" s="988"/>
      <c r="AX231" s="988"/>
      <c r="AY231" s="988"/>
      <c r="AZ231" s="988"/>
      <c r="BA231" s="988"/>
      <c r="BC231" s="988"/>
      <c r="BE231" s="988"/>
      <c r="BF231" s="988"/>
      <c r="BG231" s="988"/>
    </row>
    <row r="232" spans="18:59" x14ac:dyDescent="0.3">
      <c r="R232" s="988"/>
      <c r="S232" s="988"/>
      <c r="W232" s="988"/>
      <c r="X232" s="988"/>
      <c r="AE232" s="988"/>
      <c r="AF232" s="988"/>
      <c r="AV232" s="988"/>
      <c r="AW232" s="988"/>
      <c r="AX232" s="988"/>
      <c r="AY232" s="988"/>
      <c r="AZ232" s="988"/>
      <c r="BA232" s="988"/>
      <c r="BC232" s="988"/>
      <c r="BE232" s="988"/>
      <c r="BF232" s="988"/>
      <c r="BG232" s="988"/>
    </row>
    <row r="233" spans="18:59" x14ac:dyDescent="0.3">
      <c r="R233" s="988"/>
      <c r="S233" s="988"/>
      <c r="W233" s="988"/>
      <c r="X233" s="988"/>
      <c r="AE233" s="988"/>
      <c r="AF233" s="988"/>
      <c r="AV233" s="988"/>
      <c r="AW233" s="988"/>
      <c r="AX233" s="988"/>
      <c r="AY233" s="988"/>
      <c r="AZ233" s="988"/>
      <c r="BA233" s="988"/>
      <c r="BC233" s="988"/>
      <c r="BE233" s="988"/>
      <c r="BF233" s="988"/>
      <c r="BG233" s="988"/>
    </row>
    <row r="234" spans="18:59" x14ac:dyDescent="0.3">
      <c r="R234" s="988"/>
      <c r="S234" s="988"/>
      <c r="W234" s="988"/>
      <c r="X234" s="988"/>
      <c r="AE234" s="988"/>
      <c r="AF234" s="988"/>
      <c r="AV234" s="988"/>
      <c r="AW234" s="988"/>
      <c r="AX234" s="988"/>
      <c r="AY234" s="988"/>
      <c r="AZ234" s="988"/>
      <c r="BA234" s="988"/>
      <c r="BC234" s="988"/>
      <c r="BE234" s="988"/>
      <c r="BF234" s="988"/>
      <c r="BG234" s="988"/>
    </row>
    <row r="235" spans="18:59" x14ac:dyDescent="0.3">
      <c r="R235" s="988"/>
      <c r="S235" s="988"/>
      <c r="W235" s="988"/>
      <c r="X235" s="988"/>
      <c r="AE235" s="988"/>
      <c r="AF235" s="988"/>
      <c r="AV235" s="988"/>
      <c r="AW235" s="988"/>
      <c r="AX235" s="988"/>
      <c r="AY235" s="988"/>
      <c r="AZ235" s="988"/>
      <c r="BA235" s="988"/>
      <c r="BC235" s="988"/>
      <c r="BE235" s="988"/>
      <c r="BF235" s="988"/>
      <c r="BG235" s="988"/>
    </row>
    <row r="236" spans="18:59" x14ac:dyDescent="0.3">
      <c r="R236" s="988"/>
      <c r="S236" s="988"/>
      <c r="W236" s="988"/>
      <c r="X236" s="988"/>
      <c r="AE236" s="988"/>
      <c r="AF236" s="988"/>
      <c r="AV236" s="988"/>
      <c r="AW236" s="988"/>
      <c r="AX236" s="988"/>
      <c r="AY236" s="988"/>
      <c r="AZ236" s="988"/>
      <c r="BA236" s="988"/>
      <c r="BC236" s="988"/>
      <c r="BE236" s="988"/>
      <c r="BF236" s="988"/>
      <c r="BG236" s="988"/>
    </row>
    <row r="237" spans="18:59" x14ac:dyDescent="0.3">
      <c r="R237" s="988"/>
      <c r="S237" s="988"/>
      <c r="W237" s="988"/>
      <c r="X237" s="988"/>
      <c r="AE237" s="988"/>
      <c r="AF237" s="988"/>
      <c r="AV237" s="988"/>
      <c r="AW237" s="988"/>
      <c r="AX237" s="988"/>
      <c r="AY237" s="988"/>
      <c r="AZ237" s="988"/>
      <c r="BA237" s="988"/>
      <c r="BC237" s="988"/>
      <c r="BE237" s="988"/>
      <c r="BF237" s="988"/>
      <c r="BG237" s="988"/>
    </row>
    <row r="238" spans="18:59" x14ac:dyDescent="0.3">
      <c r="R238" s="988"/>
      <c r="S238" s="988"/>
      <c r="W238" s="988"/>
      <c r="X238" s="988"/>
      <c r="AE238" s="988"/>
      <c r="AF238" s="988"/>
      <c r="AV238" s="988"/>
      <c r="AW238" s="988"/>
      <c r="AX238" s="988"/>
      <c r="AY238" s="988"/>
      <c r="AZ238" s="988"/>
      <c r="BA238" s="988"/>
      <c r="BC238" s="988"/>
      <c r="BE238" s="988"/>
      <c r="BF238" s="988"/>
      <c r="BG238" s="988"/>
    </row>
    <row r="239" spans="18:59" x14ac:dyDescent="0.3">
      <c r="R239" s="988"/>
      <c r="S239" s="988"/>
      <c r="W239" s="988"/>
      <c r="X239" s="988"/>
      <c r="AE239" s="988"/>
      <c r="AF239" s="988"/>
      <c r="AV239" s="988"/>
      <c r="AW239" s="988"/>
      <c r="AX239" s="988"/>
      <c r="AY239" s="988"/>
      <c r="AZ239" s="988"/>
      <c r="BA239" s="988"/>
      <c r="BC239" s="988"/>
      <c r="BE239" s="988"/>
      <c r="BF239" s="988"/>
      <c r="BG239" s="988"/>
    </row>
    <row r="240" spans="18:59" x14ac:dyDescent="0.3">
      <c r="R240" s="988"/>
      <c r="S240" s="988"/>
      <c r="W240" s="988"/>
      <c r="X240" s="988"/>
      <c r="AE240" s="988"/>
      <c r="AF240" s="988"/>
      <c r="AV240" s="988"/>
      <c r="AW240" s="988"/>
      <c r="AX240" s="988"/>
      <c r="AY240" s="988"/>
      <c r="AZ240" s="988"/>
      <c r="BA240" s="988"/>
      <c r="BC240" s="988"/>
      <c r="BE240" s="988"/>
      <c r="BF240" s="988"/>
      <c r="BG240" s="988"/>
    </row>
    <row r="241" spans="18:59" x14ac:dyDescent="0.3">
      <c r="R241" s="988"/>
      <c r="S241" s="988"/>
      <c r="W241" s="988"/>
      <c r="X241" s="988"/>
      <c r="AE241" s="988"/>
      <c r="AF241" s="988"/>
      <c r="AV241" s="988"/>
      <c r="AW241" s="988"/>
      <c r="AX241" s="988"/>
      <c r="AY241" s="988"/>
      <c r="AZ241" s="988"/>
      <c r="BA241" s="988"/>
      <c r="BC241" s="988"/>
      <c r="BE241" s="988"/>
      <c r="BF241" s="988"/>
      <c r="BG241" s="988"/>
    </row>
    <row r="242" spans="18:59" x14ac:dyDescent="0.3">
      <c r="R242" s="988"/>
      <c r="S242" s="988"/>
      <c r="W242" s="988"/>
      <c r="X242" s="988"/>
      <c r="AE242" s="988"/>
      <c r="AF242" s="988"/>
      <c r="AV242" s="988"/>
      <c r="AW242" s="988"/>
      <c r="AX242" s="988"/>
      <c r="AY242" s="988"/>
      <c r="AZ242" s="988"/>
      <c r="BA242" s="988"/>
      <c r="BC242" s="988"/>
      <c r="BE242" s="988"/>
      <c r="BF242" s="988"/>
      <c r="BG242" s="988"/>
    </row>
    <row r="243" spans="18:59" x14ac:dyDescent="0.3">
      <c r="R243" s="988"/>
      <c r="S243" s="988"/>
      <c r="W243" s="988"/>
      <c r="X243" s="988"/>
      <c r="AE243" s="988"/>
      <c r="AF243" s="988"/>
      <c r="AV243" s="988"/>
      <c r="AW243" s="988"/>
      <c r="AX243" s="988"/>
      <c r="AY243" s="988"/>
      <c r="AZ243" s="988"/>
      <c r="BA243" s="988"/>
      <c r="BC243" s="988"/>
      <c r="BE243" s="988"/>
      <c r="BF243" s="988"/>
      <c r="BG243" s="988"/>
    </row>
    <row r="244" spans="18:59" x14ac:dyDescent="0.3">
      <c r="R244" s="988"/>
      <c r="S244" s="988"/>
      <c r="W244" s="988"/>
      <c r="X244" s="988"/>
      <c r="AE244" s="988"/>
      <c r="AF244" s="988"/>
      <c r="AV244" s="988"/>
      <c r="AW244" s="988"/>
      <c r="AX244" s="988"/>
      <c r="AY244" s="988"/>
      <c r="AZ244" s="988"/>
      <c r="BA244" s="988"/>
      <c r="BC244" s="988"/>
      <c r="BE244" s="988"/>
      <c r="BF244" s="988"/>
      <c r="BG244" s="988"/>
    </row>
    <row r="245" spans="18:59" x14ac:dyDescent="0.3">
      <c r="R245" s="988"/>
      <c r="S245" s="988"/>
      <c r="W245" s="988"/>
      <c r="X245" s="988"/>
      <c r="AE245" s="988"/>
      <c r="AF245" s="988"/>
      <c r="AV245" s="988"/>
      <c r="AW245" s="988"/>
      <c r="AX245" s="988"/>
      <c r="AY245" s="988"/>
      <c r="AZ245" s="988"/>
      <c r="BA245" s="988"/>
      <c r="BC245" s="988"/>
      <c r="BE245" s="988"/>
      <c r="BF245" s="988"/>
      <c r="BG245" s="988"/>
    </row>
    <row r="246" spans="18:59" x14ac:dyDescent="0.3">
      <c r="R246" s="988"/>
      <c r="S246" s="988"/>
      <c r="W246" s="988"/>
      <c r="X246" s="988"/>
      <c r="AE246" s="988"/>
      <c r="AF246" s="988"/>
      <c r="AV246" s="988"/>
      <c r="AW246" s="988"/>
      <c r="AX246" s="988"/>
      <c r="AY246" s="988"/>
      <c r="AZ246" s="988"/>
      <c r="BA246" s="988"/>
      <c r="BC246" s="988"/>
      <c r="BE246" s="988"/>
      <c r="BF246" s="988"/>
      <c r="BG246" s="988"/>
    </row>
    <row r="247" spans="18:59" x14ac:dyDescent="0.3">
      <c r="R247" s="988"/>
      <c r="S247" s="988"/>
      <c r="W247" s="988"/>
      <c r="X247" s="988"/>
      <c r="AE247" s="988"/>
      <c r="AF247" s="988"/>
      <c r="AV247" s="988"/>
      <c r="AW247" s="988"/>
      <c r="AX247" s="988"/>
      <c r="AY247" s="988"/>
      <c r="AZ247" s="988"/>
      <c r="BA247" s="988"/>
      <c r="BC247" s="988"/>
      <c r="BE247" s="988"/>
      <c r="BF247" s="988"/>
      <c r="BG247" s="988"/>
    </row>
    <row r="248" spans="18:59" x14ac:dyDescent="0.3">
      <c r="R248" s="988"/>
      <c r="S248" s="988"/>
      <c r="W248" s="988"/>
      <c r="X248" s="988"/>
      <c r="AE248" s="988"/>
      <c r="AF248" s="988"/>
      <c r="AV248" s="988"/>
      <c r="AW248" s="988"/>
      <c r="AX248" s="988"/>
      <c r="AY248" s="988"/>
      <c r="AZ248" s="988"/>
      <c r="BA248" s="988"/>
      <c r="BC248" s="988"/>
      <c r="BE248" s="988"/>
      <c r="BF248" s="988"/>
      <c r="BG248" s="988"/>
    </row>
    <row r="249" spans="18:59" x14ac:dyDescent="0.3">
      <c r="R249" s="988"/>
      <c r="S249" s="988"/>
      <c r="W249" s="988"/>
      <c r="X249" s="988"/>
      <c r="AE249" s="988"/>
      <c r="AF249" s="988"/>
      <c r="AV249" s="988"/>
      <c r="AW249" s="988"/>
      <c r="AX249" s="988"/>
      <c r="AY249" s="988"/>
      <c r="AZ249" s="988"/>
      <c r="BA249" s="988"/>
      <c r="BC249" s="988"/>
      <c r="BE249" s="988"/>
      <c r="BF249" s="988"/>
      <c r="BG249" s="988"/>
    </row>
    <row r="250" spans="18:59" x14ac:dyDescent="0.3">
      <c r="R250" s="988"/>
      <c r="S250" s="988"/>
      <c r="W250" s="988"/>
      <c r="X250" s="988"/>
      <c r="AE250" s="988"/>
      <c r="AF250" s="988"/>
      <c r="AV250" s="988"/>
      <c r="AW250" s="988"/>
      <c r="AX250" s="988"/>
      <c r="AY250" s="988"/>
      <c r="AZ250" s="988"/>
      <c r="BA250" s="988"/>
      <c r="BC250" s="988"/>
      <c r="BE250" s="988"/>
      <c r="BF250" s="988"/>
      <c r="BG250" s="988"/>
    </row>
    <row r="251" spans="18:59" x14ac:dyDescent="0.3">
      <c r="R251" s="988"/>
      <c r="S251" s="988"/>
      <c r="W251" s="988"/>
      <c r="X251" s="988"/>
      <c r="AE251" s="988"/>
      <c r="AF251" s="988"/>
      <c r="AV251" s="988"/>
      <c r="AW251" s="988"/>
      <c r="AX251" s="988"/>
      <c r="AY251" s="988"/>
      <c r="AZ251" s="988"/>
      <c r="BA251" s="988"/>
      <c r="BC251" s="988"/>
      <c r="BE251" s="988"/>
      <c r="BF251" s="988"/>
      <c r="BG251" s="988"/>
    </row>
    <row r="252" spans="18:59" x14ac:dyDescent="0.3">
      <c r="R252" s="988"/>
      <c r="S252" s="988"/>
      <c r="W252" s="988"/>
      <c r="X252" s="988"/>
      <c r="AE252" s="988"/>
      <c r="AF252" s="988"/>
      <c r="AV252" s="988"/>
      <c r="AW252" s="988"/>
      <c r="AX252" s="988"/>
      <c r="AY252" s="988"/>
      <c r="AZ252" s="988"/>
      <c r="BA252" s="988"/>
      <c r="BC252" s="988"/>
      <c r="BE252" s="988"/>
      <c r="BF252" s="988"/>
      <c r="BG252" s="988"/>
    </row>
    <row r="253" spans="18:59" x14ac:dyDescent="0.3">
      <c r="R253" s="988"/>
      <c r="S253" s="988"/>
      <c r="W253" s="988"/>
      <c r="X253" s="988"/>
      <c r="AE253" s="988"/>
      <c r="AF253" s="988"/>
      <c r="AV253" s="988"/>
      <c r="AW253" s="988"/>
      <c r="AX253" s="988"/>
      <c r="AY253" s="988"/>
      <c r="AZ253" s="988"/>
      <c r="BA253" s="988"/>
      <c r="BC253" s="988"/>
      <c r="BE253" s="988"/>
      <c r="BF253" s="988"/>
      <c r="BG253" s="988"/>
    </row>
    <row r="254" spans="18:59" x14ac:dyDescent="0.3">
      <c r="R254" s="988"/>
      <c r="S254" s="988"/>
      <c r="W254" s="988"/>
      <c r="X254" s="988"/>
      <c r="AE254" s="988"/>
      <c r="AF254" s="988"/>
      <c r="AV254" s="988"/>
      <c r="AW254" s="988"/>
      <c r="AX254" s="988"/>
      <c r="AY254" s="988"/>
      <c r="AZ254" s="988"/>
      <c r="BA254" s="988"/>
      <c r="BC254" s="988"/>
      <c r="BE254" s="988"/>
      <c r="BF254" s="988"/>
      <c r="BG254" s="988"/>
    </row>
    <row r="255" spans="18:59" x14ac:dyDescent="0.3">
      <c r="R255" s="988"/>
      <c r="S255" s="988"/>
      <c r="W255" s="988"/>
      <c r="X255" s="988"/>
      <c r="AE255" s="988"/>
      <c r="AF255" s="988"/>
      <c r="AV255" s="988"/>
      <c r="AW255" s="988"/>
      <c r="AX255" s="988"/>
      <c r="AY255" s="988"/>
      <c r="AZ255" s="988"/>
      <c r="BA255" s="988"/>
      <c r="BC255" s="988"/>
      <c r="BE255" s="988"/>
      <c r="BF255" s="988"/>
      <c r="BG255" s="988"/>
    </row>
    <row r="256" spans="18:59" x14ac:dyDescent="0.3">
      <c r="R256" s="988"/>
      <c r="S256" s="988"/>
      <c r="W256" s="988"/>
      <c r="X256" s="988"/>
      <c r="AE256" s="988"/>
      <c r="AF256" s="988"/>
      <c r="AV256" s="988"/>
      <c r="AW256" s="988"/>
      <c r="AX256" s="988"/>
      <c r="AY256" s="988"/>
      <c r="AZ256" s="988"/>
      <c r="BA256" s="988"/>
      <c r="BC256" s="988"/>
      <c r="BE256" s="988"/>
      <c r="BF256" s="988"/>
      <c r="BG256" s="988"/>
    </row>
    <row r="257" spans="18:59" x14ac:dyDescent="0.3">
      <c r="R257" s="988"/>
      <c r="S257" s="988"/>
      <c r="W257" s="988"/>
      <c r="X257" s="988"/>
      <c r="AE257" s="988"/>
      <c r="AF257" s="988"/>
      <c r="AV257" s="988"/>
      <c r="AW257" s="988"/>
      <c r="AX257" s="988"/>
      <c r="AY257" s="988"/>
      <c r="AZ257" s="988"/>
      <c r="BA257" s="988"/>
      <c r="BC257" s="988"/>
      <c r="BE257" s="988"/>
      <c r="BF257" s="988"/>
      <c r="BG257" s="988"/>
    </row>
    <row r="258" spans="18:59" x14ac:dyDescent="0.3">
      <c r="R258" s="988"/>
      <c r="S258" s="988"/>
      <c r="W258" s="988"/>
      <c r="X258" s="988"/>
      <c r="AE258" s="988"/>
      <c r="AF258" s="988"/>
      <c r="AV258" s="988"/>
      <c r="AW258" s="988"/>
      <c r="AX258" s="988"/>
      <c r="AY258" s="988"/>
      <c r="AZ258" s="988"/>
      <c r="BA258" s="988"/>
      <c r="BC258" s="988"/>
      <c r="BE258" s="988"/>
      <c r="BF258" s="988"/>
      <c r="BG258" s="988"/>
    </row>
    <row r="259" spans="18:59" x14ac:dyDescent="0.3">
      <c r="R259" s="988"/>
      <c r="S259" s="988"/>
      <c r="W259" s="988"/>
      <c r="X259" s="988"/>
      <c r="AE259" s="988"/>
      <c r="AF259" s="988"/>
      <c r="AV259" s="988"/>
      <c r="AW259" s="988"/>
      <c r="AX259" s="988"/>
      <c r="AY259" s="988"/>
      <c r="AZ259" s="988"/>
      <c r="BA259" s="988"/>
      <c r="BC259" s="988"/>
      <c r="BE259" s="988"/>
      <c r="BF259" s="988"/>
      <c r="BG259" s="988"/>
    </row>
    <row r="260" spans="18:59" x14ac:dyDescent="0.3">
      <c r="R260" s="988"/>
      <c r="S260" s="988"/>
      <c r="W260" s="988"/>
      <c r="X260" s="988"/>
      <c r="AE260" s="988"/>
      <c r="AF260" s="988"/>
      <c r="AV260" s="988"/>
      <c r="AW260" s="988"/>
      <c r="AX260" s="988"/>
      <c r="AY260" s="988"/>
      <c r="AZ260" s="988"/>
      <c r="BA260" s="988"/>
      <c r="BC260" s="988"/>
      <c r="BE260" s="988"/>
      <c r="BF260" s="988"/>
      <c r="BG260" s="988"/>
    </row>
    <row r="261" spans="18:59" x14ac:dyDescent="0.3">
      <c r="R261" s="988"/>
      <c r="S261" s="988"/>
      <c r="W261" s="988"/>
      <c r="X261" s="988"/>
      <c r="AE261" s="988"/>
      <c r="AF261" s="988"/>
      <c r="AV261" s="988"/>
      <c r="AW261" s="988"/>
      <c r="AX261" s="988"/>
      <c r="AY261" s="988"/>
      <c r="AZ261" s="988"/>
      <c r="BA261" s="988"/>
      <c r="BC261" s="988"/>
      <c r="BE261" s="988"/>
      <c r="BF261" s="988"/>
      <c r="BG261" s="988"/>
    </row>
    <row r="262" spans="18:59" x14ac:dyDescent="0.3">
      <c r="R262" s="988"/>
      <c r="S262" s="988"/>
      <c r="W262" s="988"/>
      <c r="X262" s="988"/>
      <c r="AE262" s="988"/>
      <c r="AF262" s="988"/>
      <c r="AV262" s="988"/>
      <c r="AW262" s="988"/>
      <c r="AX262" s="988"/>
      <c r="AY262" s="988"/>
      <c r="AZ262" s="988"/>
      <c r="BA262" s="988"/>
      <c r="BC262" s="988"/>
      <c r="BE262" s="988"/>
      <c r="BF262" s="988"/>
      <c r="BG262" s="988"/>
    </row>
    <row r="263" spans="18:59" x14ac:dyDescent="0.3">
      <c r="R263" s="988"/>
      <c r="S263" s="988"/>
      <c r="W263" s="988"/>
      <c r="X263" s="988"/>
      <c r="AE263" s="988"/>
      <c r="AF263" s="988"/>
      <c r="AV263" s="988"/>
      <c r="AW263" s="988"/>
      <c r="AX263" s="988"/>
      <c r="AY263" s="988"/>
      <c r="AZ263" s="988"/>
      <c r="BA263" s="988"/>
      <c r="BC263" s="988"/>
      <c r="BE263" s="988"/>
      <c r="BF263" s="988"/>
      <c r="BG263" s="988"/>
    </row>
    <row r="264" spans="18:59" x14ac:dyDescent="0.3">
      <c r="R264" s="988"/>
      <c r="S264" s="988"/>
      <c r="W264" s="988"/>
      <c r="X264" s="988"/>
      <c r="AE264" s="988"/>
      <c r="AF264" s="988"/>
      <c r="AV264" s="988"/>
      <c r="AW264" s="988"/>
      <c r="AX264" s="988"/>
      <c r="AY264" s="988"/>
      <c r="AZ264" s="988"/>
      <c r="BA264" s="988"/>
      <c r="BC264" s="988"/>
      <c r="BE264" s="988"/>
      <c r="BF264" s="988"/>
      <c r="BG264" s="988"/>
    </row>
    <row r="265" spans="18:59" x14ac:dyDescent="0.3">
      <c r="R265" s="988"/>
      <c r="S265" s="988"/>
      <c r="W265" s="988"/>
      <c r="X265" s="988"/>
      <c r="AE265" s="988"/>
      <c r="AF265" s="988"/>
      <c r="AV265" s="988"/>
      <c r="AW265" s="988"/>
      <c r="AX265" s="988"/>
      <c r="AY265" s="988"/>
      <c r="AZ265" s="988"/>
      <c r="BA265" s="988"/>
      <c r="BC265" s="988"/>
      <c r="BE265" s="988"/>
      <c r="BF265" s="988"/>
      <c r="BG265" s="988"/>
    </row>
    <row r="266" spans="18:59" x14ac:dyDescent="0.3">
      <c r="R266" s="988"/>
      <c r="S266" s="988"/>
      <c r="W266" s="988"/>
      <c r="X266" s="988"/>
      <c r="AE266" s="988"/>
      <c r="AF266" s="988"/>
      <c r="AV266" s="988"/>
      <c r="AW266" s="988"/>
      <c r="AX266" s="988"/>
      <c r="AY266" s="988"/>
      <c r="AZ266" s="988"/>
      <c r="BA266" s="988"/>
      <c r="BC266" s="988"/>
      <c r="BE266" s="988"/>
      <c r="BF266" s="988"/>
      <c r="BG266" s="988"/>
    </row>
    <row r="267" spans="18:59" x14ac:dyDescent="0.3">
      <c r="R267" s="988"/>
      <c r="S267" s="988"/>
      <c r="W267" s="988"/>
      <c r="X267" s="988"/>
      <c r="AE267" s="988"/>
      <c r="AF267" s="988"/>
      <c r="AV267" s="988"/>
      <c r="AW267" s="988"/>
      <c r="AX267" s="988"/>
      <c r="AY267" s="988"/>
      <c r="AZ267" s="988"/>
      <c r="BA267" s="988"/>
      <c r="BC267" s="988"/>
      <c r="BE267" s="988"/>
      <c r="BF267" s="988"/>
      <c r="BG267" s="988"/>
    </row>
    <row r="268" spans="18:59" x14ac:dyDescent="0.3">
      <c r="R268" s="988"/>
      <c r="S268" s="988"/>
      <c r="W268" s="988"/>
      <c r="X268" s="988"/>
      <c r="AE268" s="988"/>
      <c r="AF268" s="988"/>
      <c r="AV268" s="988"/>
      <c r="AW268" s="988"/>
      <c r="AX268" s="988"/>
      <c r="AY268" s="988"/>
      <c r="AZ268" s="988"/>
      <c r="BA268" s="988"/>
      <c r="BC268" s="988"/>
      <c r="BE268" s="988"/>
      <c r="BF268" s="988"/>
      <c r="BG268" s="988"/>
    </row>
    <row r="269" spans="18:59" x14ac:dyDescent="0.3">
      <c r="R269" s="988"/>
      <c r="S269" s="988"/>
      <c r="W269" s="988"/>
      <c r="X269" s="988"/>
      <c r="AE269" s="988"/>
      <c r="AF269" s="988"/>
      <c r="AV269" s="988"/>
      <c r="AW269" s="988"/>
      <c r="AX269" s="988"/>
      <c r="AY269" s="988"/>
      <c r="AZ269" s="988"/>
      <c r="BA269" s="988"/>
      <c r="BC269" s="988"/>
      <c r="BE269" s="988"/>
      <c r="BF269" s="988"/>
      <c r="BG269" s="988"/>
    </row>
    <row r="270" spans="18:59" x14ac:dyDescent="0.3">
      <c r="R270" s="988"/>
      <c r="S270" s="988"/>
      <c r="W270" s="988"/>
      <c r="X270" s="988"/>
      <c r="AE270" s="988"/>
      <c r="AF270" s="988"/>
      <c r="AV270" s="988"/>
      <c r="AW270" s="988"/>
      <c r="AX270" s="988"/>
      <c r="AY270" s="988"/>
      <c r="AZ270" s="988"/>
      <c r="BA270" s="988"/>
      <c r="BC270" s="988"/>
      <c r="BE270" s="988"/>
      <c r="BF270" s="988"/>
      <c r="BG270" s="988"/>
    </row>
    <row r="271" spans="18:59" x14ac:dyDescent="0.3">
      <c r="R271" s="988"/>
      <c r="S271" s="988"/>
      <c r="W271" s="988"/>
      <c r="X271" s="988"/>
      <c r="AE271" s="988"/>
      <c r="AF271" s="988"/>
      <c r="AV271" s="988"/>
      <c r="AW271" s="988"/>
      <c r="AX271" s="988"/>
      <c r="AY271" s="988"/>
      <c r="AZ271" s="988"/>
      <c r="BA271" s="988"/>
      <c r="BC271" s="988"/>
      <c r="BE271" s="988"/>
      <c r="BF271" s="988"/>
      <c r="BG271" s="988"/>
    </row>
    <row r="272" spans="18:59" x14ac:dyDescent="0.3">
      <c r="R272" s="988"/>
      <c r="S272" s="988"/>
      <c r="W272" s="988"/>
      <c r="X272" s="988"/>
      <c r="AE272" s="988"/>
      <c r="AF272" s="988"/>
      <c r="AV272" s="988"/>
      <c r="AW272" s="988"/>
      <c r="AX272" s="988"/>
      <c r="AY272" s="988"/>
      <c r="AZ272" s="988"/>
      <c r="BA272" s="988"/>
      <c r="BC272" s="988"/>
      <c r="BE272" s="988"/>
      <c r="BF272" s="988"/>
      <c r="BG272" s="988"/>
    </row>
    <row r="273" spans="18:59" x14ac:dyDescent="0.3">
      <c r="R273" s="988"/>
      <c r="S273" s="988"/>
      <c r="W273" s="988"/>
      <c r="X273" s="988"/>
      <c r="AE273" s="988"/>
      <c r="AF273" s="988"/>
      <c r="AV273" s="988"/>
      <c r="AW273" s="988"/>
      <c r="AX273" s="988"/>
      <c r="AY273" s="988"/>
      <c r="AZ273" s="988"/>
      <c r="BA273" s="988"/>
      <c r="BC273" s="988"/>
      <c r="BE273" s="988"/>
      <c r="BF273" s="988"/>
      <c r="BG273" s="988"/>
    </row>
    <row r="274" spans="18:59" x14ac:dyDescent="0.3">
      <c r="R274" s="988"/>
      <c r="S274" s="988"/>
      <c r="W274" s="988"/>
      <c r="X274" s="988"/>
      <c r="AE274" s="988"/>
      <c r="AF274" s="988"/>
      <c r="AV274" s="988"/>
      <c r="AW274" s="988"/>
      <c r="AX274" s="988"/>
      <c r="AY274" s="988"/>
      <c r="AZ274" s="988"/>
      <c r="BA274" s="988"/>
      <c r="BC274" s="988"/>
      <c r="BE274" s="988"/>
      <c r="BF274" s="988"/>
      <c r="BG274" s="988"/>
    </row>
    <row r="275" spans="18:59" x14ac:dyDescent="0.3">
      <c r="R275" s="988"/>
      <c r="S275" s="988"/>
      <c r="W275" s="988"/>
      <c r="X275" s="988"/>
      <c r="AE275" s="988"/>
      <c r="AF275" s="988"/>
      <c r="AV275" s="988"/>
      <c r="AW275" s="988"/>
      <c r="AX275" s="988"/>
      <c r="AY275" s="988"/>
      <c r="AZ275" s="988"/>
      <c r="BA275" s="988"/>
      <c r="BC275" s="988"/>
      <c r="BE275" s="988"/>
      <c r="BF275" s="988"/>
      <c r="BG275" s="988"/>
    </row>
    <row r="276" spans="18:59" x14ac:dyDescent="0.3">
      <c r="R276" s="988"/>
      <c r="S276" s="988"/>
      <c r="W276" s="988"/>
      <c r="X276" s="988"/>
      <c r="AE276" s="988"/>
      <c r="AF276" s="988"/>
      <c r="AV276" s="988"/>
      <c r="AW276" s="988"/>
      <c r="AX276" s="988"/>
      <c r="AY276" s="988"/>
      <c r="AZ276" s="988"/>
      <c r="BA276" s="988"/>
      <c r="BC276" s="988"/>
      <c r="BE276" s="988"/>
      <c r="BF276" s="988"/>
      <c r="BG276" s="988"/>
    </row>
    <row r="277" spans="18:59" x14ac:dyDescent="0.3">
      <c r="R277" s="988"/>
      <c r="S277" s="988"/>
      <c r="W277" s="988"/>
      <c r="X277" s="988"/>
      <c r="AE277" s="988"/>
      <c r="AF277" s="988"/>
      <c r="AV277" s="988"/>
      <c r="AW277" s="988"/>
      <c r="AX277" s="988"/>
      <c r="AY277" s="988"/>
      <c r="AZ277" s="988"/>
      <c r="BA277" s="988"/>
      <c r="BC277" s="988"/>
      <c r="BE277" s="988"/>
      <c r="BF277" s="988"/>
      <c r="BG277" s="988"/>
    </row>
    <row r="278" spans="18:59" x14ac:dyDescent="0.3">
      <c r="R278" s="988"/>
      <c r="S278" s="988"/>
      <c r="W278" s="988"/>
      <c r="X278" s="988"/>
      <c r="AE278" s="988"/>
      <c r="AF278" s="988"/>
      <c r="AV278" s="988"/>
      <c r="AW278" s="988"/>
      <c r="AX278" s="988"/>
      <c r="AY278" s="988"/>
      <c r="AZ278" s="988"/>
      <c r="BA278" s="988"/>
      <c r="BC278" s="988"/>
      <c r="BE278" s="988"/>
      <c r="BF278" s="988"/>
      <c r="BG278" s="988"/>
    </row>
    <row r="279" spans="18:59" x14ac:dyDescent="0.3">
      <c r="R279" s="988"/>
      <c r="S279" s="988"/>
      <c r="W279" s="988"/>
      <c r="X279" s="988"/>
      <c r="AE279" s="988"/>
      <c r="AF279" s="988"/>
      <c r="AV279" s="988"/>
      <c r="AW279" s="988"/>
      <c r="AX279" s="988"/>
      <c r="AY279" s="988"/>
      <c r="AZ279" s="988"/>
      <c r="BA279" s="988"/>
      <c r="BC279" s="988"/>
      <c r="BE279" s="988"/>
      <c r="BF279" s="988"/>
      <c r="BG279" s="988"/>
    </row>
    <row r="280" spans="18:59" x14ac:dyDescent="0.3">
      <c r="R280" s="988"/>
      <c r="S280" s="988"/>
      <c r="W280" s="988"/>
      <c r="X280" s="988"/>
      <c r="AE280" s="988"/>
      <c r="AF280" s="988"/>
      <c r="AV280" s="988"/>
      <c r="AW280" s="988"/>
      <c r="AX280" s="988"/>
      <c r="AY280" s="988"/>
      <c r="AZ280" s="988"/>
      <c r="BA280" s="988"/>
      <c r="BC280" s="988"/>
      <c r="BE280" s="988"/>
      <c r="BF280" s="988"/>
      <c r="BG280" s="988"/>
    </row>
    <row r="281" spans="18:59" x14ac:dyDescent="0.3">
      <c r="R281" s="988"/>
      <c r="S281" s="988"/>
      <c r="W281" s="988"/>
      <c r="X281" s="988"/>
      <c r="AE281" s="988"/>
      <c r="AF281" s="988"/>
      <c r="AV281" s="988"/>
      <c r="AW281" s="988"/>
      <c r="AX281" s="988"/>
      <c r="AY281" s="988"/>
      <c r="AZ281" s="988"/>
      <c r="BA281" s="988"/>
      <c r="BC281" s="988"/>
      <c r="BE281" s="988"/>
      <c r="BF281" s="988"/>
      <c r="BG281" s="988"/>
    </row>
    <row r="282" spans="18:59" x14ac:dyDescent="0.3">
      <c r="R282" s="988"/>
      <c r="S282" s="988"/>
      <c r="W282" s="988"/>
      <c r="X282" s="988"/>
      <c r="AE282" s="988"/>
      <c r="AF282" s="988"/>
      <c r="AV282" s="988"/>
      <c r="AW282" s="988"/>
      <c r="AX282" s="988"/>
      <c r="AY282" s="988"/>
      <c r="AZ282" s="988"/>
      <c r="BA282" s="988"/>
      <c r="BC282" s="988"/>
      <c r="BE282" s="988"/>
      <c r="BF282" s="988"/>
      <c r="BG282" s="988"/>
    </row>
    <row r="283" spans="18:59" x14ac:dyDescent="0.3">
      <c r="R283" s="988"/>
      <c r="S283" s="988"/>
      <c r="W283" s="988"/>
      <c r="X283" s="988"/>
      <c r="AE283" s="988"/>
      <c r="AF283" s="988"/>
      <c r="AV283" s="988"/>
      <c r="AW283" s="988"/>
      <c r="AX283" s="988"/>
      <c r="AY283" s="988"/>
      <c r="AZ283" s="988"/>
      <c r="BA283" s="988"/>
      <c r="BC283" s="988"/>
      <c r="BE283" s="988"/>
      <c r="BF283" s="988"/>
      <c r="BG283" s="988"/>
    </row>
    <row r="284" spans="18:59" x14ac:dyDescent="0.3">
      <c r="R284" s="988"/>
      <c r="S284" s="988"/>
      <c r="W284" s="988"/>
      <c r="X284" s="988"/>
      <c r="AE284" s="988"/>
      <c r="AF284" s="988"/>
      <c r="AV284" s="988"/>
      <c r="AW284" s="988"/>
      <c r="AX284" s="988"/>
      <c r="AY284" s="988"/>
      <c r="AZ284" s="988"/>
      <c r="BA284" s="988"/>
      <c r="BC284" s="988"/>
      <c r="BE284" s="988"/>
      <c r="BF284" s="988"/>
      <c r="BG284" s="988"/>
    </row>
    <row r="285" spans="18:59" x14ac:dyDescent="0.3">
      <c r="R285" s="988"/>
      <c r="S285" s="988"/>
      <c r="W285" s="988"/>
      <c r="X285" s="988"/>
      <c r="AE285" s="988"/>
      <c r="AF285" s="988"/>
      <c r="AV285" s="988"/>
      <c r="AW285" s="988"/>
      <c r="AX285" s="988"/>
      <c r="AY285" s="988"/>
      <c r="AZ285" s="988"/>
      <c r="BA285" s="988"/>
      <c r="BC285" s="988"/>
      <c r="BE285" s="988"/>
      <c r="BF285" s="988"/>
      <c r="BG285" s="988"/>
    </row>
    <row r="286" spans="18:59" x14ac:dyDescent="0.3">
      <c r="R286" s="988"/>
      <c r="S286" s="988"/>
      <c r="W286" s="988"/>
      <c r="X286" s="988"/>
      <c r="AE286" s="988"/>
      <c r="AF286" s="988"/>
      <c r="AV286" s="988"/>
      <c r="AW286" s="988"/>
      <c r="AX286" s="988"/>
      <c r="AY286" s="988"/>
      <c r="AZ286" s="988"/>
      <c r="BA286" s="988"/>
      <c r="BC286" s="988"/>
      <c r="BE286" s="988"/>
      <c r="BF286" s="988"/>
      <c r="BG286" s="988"/>
    </row>
    <row r="287" spans="18:59" x14ac:dyDescent="0.3">
      <c r="R287" s="988"/>
      <c r="S287" s="988"/>
      <c r="W287" s="988"/>
      <c r="X287" s="988"/>
      <c r="AE287" s="988"/>
      <c r="AF287" s="988"/>
      <c r="AV287" s="988"/>
      <c r="AW287" s="988"/>
      <c r="AX287" s="988"/>
      <c r="AY287" s="988"/>
      <c r="AZ287" s="988"/>
      <c r="BA287" s="988"/>
      <c r="BC287" s="988"/>
      <c r="BE287" s="988"/>
      <c r="BF287" s="988"/>
      <c r="BG287" s="988"/>
    </row>
    <row r="288" spans="18:59" x14ac:dyDescent="0.3">
      <c r="R288" s="988"/>
      <c r="S288" s="988"/>
      <c r="W288" s="988"/>
      <c r="X288" s="988"/>
      <c r="AE288" s="988"/>
      <c r="AF288" s="988"/>
      <c r="AV288" s="988"/>
      <c r="AW288" s="988"/>
      <c r="AX288" s="988"/>
      <c r="AY288" s="988"/>
      <c r="AZ288" s="988"/>
      <c r="BA288" s="988"/>
      <c r="BC288" s="988"/>
      <c r="BE288" s="988"/>
      <c r="BF288" s="988"/>
      <c r="BG288" s="988"/>
    </row>
    <row r="289" spans="18:59" x14ac:dyDescent="0.3">
      <c r="R289" s="988"/>
      <c r="S289" s="988"/>
      <c r="W289" s="988"/>
      <c r="X289" s="988"/>
      <c r="AE289" s="988"/>
      <c r="AF289" s="988"/>
      <c r="AV289" s="988"/>
      <c r="AW289" s="988"/>
      <c r="AX289" s="988"/>
      <c r="AY289" s="988"/>
      <c r="AZ289" s="988"/>
      <c r="BA289" s="988"/>
      <c r="BC289" s="988"/>
      <c r="BE289" s="988"/>
      <c r="BF289" s="988"/>
      <c r="BG289" s="988"/>
    </row>
    <row r="290" spans="18:59" x14ac:dyDescent="0.3">
      <c r="R290" s="988"/>
      <c r="S290" s="988"/>
      <c r="W290" s="988"/>
      <c r="X290" s="988"/>
      <c r="AE290" s="988"/>
      <c r="AF290" s="988"/>
      <c r="AV290" s="988"/>
      <c r="AW290" s="988"/>
      <c r="AX290" s="988"/>
      <c r="AY290" s="988"/>
      <c r="AZ290" s="988"/>
      <c r="BA290" s="988"/>
      <c r="BC290" s="988"/>
      <c r="BE290" s="988"/>
      <c r="BF290" s="988"/>
      <c r="BG290" s="988"/>
    </row>
    <row r="291" spans="18:59" x14ac:dyDescent="0.3">
      <c r="R291" s="988"/>
      <c r="S291" s="988"/>
      <c r="W291" s="988"/>
      <c r="X291" s="988"/>
      <c r="AE291" s="988"/>
      <c r="AF291" s="988"/>
      <c r="AV291" s="988"/>
      <c r="AW291" s="988"/>
      <c r="AX291" s="988"/>
      <c r="AY291" s="988"/>
      <c r="AZ291" s="988"/>
      <c r="BA291" s="988"/>
      <c r="BC291" s="988"/>
      <c r="BE291" s="988"/>
      <c r="BF291" s="988"/>
      <c r="BG291" s="988"/>
    </row>
    <row r="292" spans="18:59" x14ac:dyDescent="0.3">
      <c r="R292" s="988"/>
      <c r="S292" s="988"/>
      <c r="W292" s="988"/>
      <c r="X292" s="988"/>
      <c r="AE292" s="988"/>
      <c r="AF292" s="988"/>
      <c r="AV292" s="988"/>
      <c r="AW292" s="988"/>
      <c r="AX292" s="988"/>
      <c r="AY292" s="988"/>
      <c r="AZ292" s="988"/>
      <c r="BA292" s="988"/>
      <c r="BC292" s="988"/>
      <c r="BE292" s="988"/>
      <c r="BF292" s="988"/>
      <c r="BG292" s="988"/>
    </row>
    <row r="293" spans="18:59" x14ac:dyDescent="0.3">
      <c r="R293" s="988"/>
      <c r="S293" s="988"/>
      <c r="W293" s="988"/>
      <c r="X293" s="988"/>
      <c r="AE293" s="988"/>
      <c r="AF293" s="988"/>
      <c r="AV293" s="988"/>
      <c r="AW293" s="988"/>
      <c r="AX293" s="988"/>
      <c r="AY293" s="988"/>
      <c r="AZ293" s="988"/>
      <c r="BA293" s="988"/>
      <c r="BC293" s="988"/>
      <c r="BE293" s="988"/>
      <c r="BF293" s="988"/>
      <c r="BG293" s="988"/>
    </row>
    <row r="294" spans="18:59" x14ac:dyDescent="0.3">
      <c r="R294" s="988"/>
      <c r="S294" s="988"/>
      <c r="W294" s="988"/>
      <c r="X294" s="988"/>
      <c r="AE294" s="988"/>
      <c r="AF294" s="988"/>
      <c r="AV294" s="988"/>
      <c r="AW294" s="988"/>
      <c r="AX294" s="988"/>
      <c r="AY294" s="988"/>
      <c r="AZ294" s="988"/>
      <c r="BA294" s="988"/>
      <c r="BC294" s="988"/>
      <c r="BE294" s="988"/>
      <c r="BF294" s="988"/>
      <c r="BG294" s="988"/>
    </row>
    <row r="295" spans="18:59" x14ac:dyDescent="0.3">
      <c r="R295" s="988"/>
      <c r="S295" s="988"/>
      <c r="W295" s="988"/>
      <c r="X295" s="988"/>
      <c r="AE295" s="988"/>
      <c r="AF295" s="988"/>
      <c r="AV295" s="988"/>
      <c r="AW295" s="988"/>
      <c r="AX295" s="988"/>
      <c r="AY295" s="988"/>
      <c r="AZ295" s="988"/>
      <c r="BA295" s="988"/>
      <c r="BC295" s="988"/>
      <c r="BE295" s="988"/>
      <c r="BF295" s="988"/>
      <c r="BG295" s="988"/>
    </row>
    <row r="296" spans="18:59" x14ac:dyDescent="0.3">
      <c r="R296" s="988"/>
      <c r="S296" s="988"/>
      <c r="W296" s="988"/>
      <c r="X296" s="988"/>
      <c r="AE296" s="988"/>
      <c r="AF296" s="988"/>
      <c r="AV296" s="988"/>
      <c r="AW296" s="988"/>
      <c r="AX296" s="988"/>
      <c r="AY296" s="988"/>
      <c r="AZ296" s="988"/>
      <c r="BA296" s="988"/>
      <c r="BC296" s="988"/>
      <c r="BE296" s="988"/>
      <c r="BF296" s="988"/>
      <c r="BG296" s="988"/>
    </row>
    <row r="297" spans="18:59" x14ac:dyDescent="0.3">
      <c r="R297" s="988"/>
      <c r="S297" s="988"/>
      <c r="W297" s="988"/>
      <c r="X297" s="988"/>
      <c r="AE297" s="988"/>
      <c r="AF297" s="988"/>
      <c r="AV297" s="988"/>
      <c r="AW297" s="988"/>
      <c r="AX297" s="988"/>
      <c r="AY297" s="988"/>
      <c r="AZ297" s="988"/>
      <c r="BA297" s="988"/>
      <c r="BC297" s="988"/>
      <c r="BE297" s="988"/>
      <c r="BF297" s="988"/>
      <c r="BG297" s="988"/>
    </row>
    <row r="298" spans="18:59" x14ac:dyDescent="0.3">
      <c r="R298" s="988"/>
      <c r="S298" s="988"/>
      <c r="W298" s="988"/>
      <c r="X298" s="988"/>
      <c r="AE298" s="988"/>
      <c r="AF298" s="988"/>
      <c r="AV298" s="988"/>
      <c r="AW298" s="988"/>
      <c r="AX298" s="988"/>
      <c r="AY298" s="988"/>
      <c r="AZ298" s="988"/>
      <c r="BA298" s="988"/>
      <c r="BC298" s="988"/>
      <c r="BE298" s="988"/>
      <c r="BF298" s="988"/>
      <c r="BG298" s="988"/>
    </row>
    <row r="299" spans="18:59" x14ac:dyDescent="0.3">
      <c r="R299" s="988"/>
      <c r="S299" s="988"/>
      <c r="W299" s="988"/>
      <c r="X299" s="988"/>
      <c r="AE299" s="988"/>
      <c r="AF299" s="988"/>
      <c r="AV299" s="988"/>
      <c r="AW299" s="988"/>
      <c r="AX299" s="988"/>
      <c r="AY299" s="988"/>
      <c r="AZ299" s="988"/>
      <c r="BA299" s="988"/>
      <c r="BC299" s="988"/>
      <c r="BE299" s="988"/>
      <c r="BF299" s="988"/>
      <c r="BG299" s="988"/>
    </row>
    <row r="300" spans="18:59" x14ac:dyDescent="0.3">
      <c r="R300" s="988"/>
      <c r="S300" s="988"/>
      <c r="W300" s="988"/>
      <c r="X300" s="988"/>
      <c r="AE300" s="988"/>
      <c r="AF300" s="988"/>
      <c r="AV300" s="988"/>
      <c r="AW300" s="988"/>
      <c r="AX300" s="988"/>
      <c r="AY300" s="988"/>
      <c r="AZ300" s="988"/>
      <c r="BA300" s="988"/>
      <c r="BC300" s="988"/>
      <c r="BE300" s="988"/>
      <c r="BF300" s="988"/>
      <c r="BG300" s="988"/>
    </row>
    <row r="301" spans="18:59" x14ac:dyDescent="0.3">
      <c r="R301" s="988"/>
      <c r="S301" s="988"/>
      <c r="W301" s="988"/>
      <c r="X301" s="988"/>
      <c r="AE301" s="988"/>
      <c r="AF301" s="988"/>
      <c r="AV301" s="988"/>
      <c r="AW301" s="988"/>
      <c r="AX301" s="988"/>
      <c r="AY301" s="988"/>
      <c r="AZ301" s="988"/>
      <c r="BA301" s="988"/>
      <c r="BC301" s="988"/>
      <c r="BE301" s="988"/>
      <c r="BF301" s="988"/>
      <c r="BG301" s="988"/>
    </row>
    <row r="302" spans="18:59" x14ac:dyDescent="0.3">
      <c r="R302" s="988"/>
      <c r="S302" s="988"/>
      <c r="W302" s="988"/>
      <c r="X302" s="988"/>
      <c r="AE302" s="988"/>
      <c r="AF302" s="988"/>
      <c r="AV302" s="988"/>
      <c r="AW302" s="988"/>
      <c r="AX302" s="988"/>
      <c r="AY302" s="988"/>
      <c r="AZ302" s="988"/>
      <c r="BA302" s="988"/>
      <c r="BC302" s="988"/>
      <c r="BE302" s="988"/>
      <c r="BF302" s="988"/>
      <c r="BG302" s="988"/>
    </row>
    <row r="303" spans="18:59" x14ac:dyDescent="0.3">
      <c r="R303" s="988"/>
      <c r="S303" s="988"/>
      <c r="W303" s="988"/>
      <c r="X303" s="988"/>
      <c r="AE303" s="988"/>
      <c r="AF303" s="988"/>
      <c r="AV303" s="988"/>
      <c r="AW303" s="988"/>
      <c r="AX303" s="988"/>
      <c r="AY303" s="988"/>
      <c r="AZ303" s="988"/>
      <c r="BA303" s="988"/>
      <c r="BC303" s="988"/>
      <c r="BE303" s="988"/>
      <c r="BF303" s="988"/>
      <c r="BG303" s="988"/>
    </row>
    <row r="304" spans="18:59" x14ac:dyDescent="0.3">
      <c r="R304" s="988"/>
      <c r="S304" s="988"/>
      <c r="W304" s="988"/>
      <c r="X304" s="988"/>
      <c r="AE304" s="988"/>
      <c r="AF304" s="988"/>
      <c r="AV304" s="988"/>
      <c r="AW304" s="988"/>
      <c r="AX304" s="988"/>
      <c r="AY304" s="988"/>
      <c r="AZ304" s="988"/>
      <c r="BA304" s="988"/>
      <c r="BC304" s="988"/>
      <c r="BE304" s="988"/>
      <c r="BF304" s="988"/>
      <c r="BG304" s="988"/>
    </row>
    <row r="305" spans="18:59" x14ac:dyDescent="0.3">
      <c r="R305" s="988"/>
      <c r="S305" s="988"/>
      <c r="W305" s="988"/>
      <c r="X305" s="988"/>
      <c r="AE305" s="988"/>
      <c r="AF305" s="988"/>
      <c r="AV305" s="988"/>
      <c r="AW305" s="988"/>
      <c r="AX305" s="988"/>
      <c r="AY305" s="988"/>
      <c r="AZ305" s="988"/>
      <c r="BA305" s="988"/>
      <c r="BC305" s="988"/>
      <c r="BE305" s="988"/>
      <c r="BF305" s="988"/>
      <c r="BG305" s="988"/>
    </row>
    <row r="306" spans="18:59" x14ac:dyDescent="0.3">
      <c r="R306" s="988"/>
      <c r="S306" s="988"/>
      <c r="W306" s="988"/>
      <c r="X306" s="988"/>
      <c r="AE306" s="988"/>
      <c r="AF306" s="988"/>
      <c r="AV306" s="988"/>
      <c r="AW306" s="988"/>
      <c r="AX306" s="988"/>
      <c r="AY306" s="988"/>
      <c r="AZ306" s="988"/>
      <c r="BA306" s="988"/>
      <c r="BC306" s="988"/>
      <c r="BE306" s="988"/>
      <c r="BF306" s="988"/>
      <c r="BG306" s="988"/>
    </row>
    <row r="307" spans="18:59" x14ac:dyDescent="0.3">
      <c r="R307" s="988"/>
      <c r="S307" s="988"/>
      <c r="W307" s="988"/>
      <c r="X307" s="988"/>
      <c r="AE307" s="988"/>
      <c r="AF307" s="988"/>
      <c r="AV307" s="988"/>
      <c r="AW307" s="988"/>
      <c r="AX307" s="988"/>
      <c r="AY307" s="988"/>
      <c r="AZ307" s="988"/>
      <c r="BA307" s="988"/>
      <c r="BC307" s="988"/>
      <c r="BE307" s="988"/>
      <c r="BF307" s="988"/>
      <c r="BG307" s="988"/>
    </row>
    <row r="308" spans="18:59" x14ac:dyDescent="0.3">
      <c r="R308" s="988"/>
      <c r="S308" s="988"/>
      <c r="W308" s="988"/>
      <c r="X308" s="988"/>
      <c r="AE308" s="988"/>
      <c r="AF308" s="988"/>
      <c r="AV308" s="988"/>
      <c r="AW308" s="988"/>
      <c r="AX308" s="988"/>
      <c r="AY308" s="988"/>
      <c r="AZ308" s="988"/>
      <c r="BA308" s="988"/>
      <c r="BC308" s="988"/>
      <c r="BE308" s="988"/>
      <c r="BF308" s="988"/>
      <c r="BG308" s="988"/>
    </row>
    <row r="309" spans="18:59" x14ac:dyDescent="0.3">
      <c r="R309" s="988"/>
      <c r="S309" s="988"/>
      <c r="W309" s="988"/>
      <c r="X309" s="988"/>
      <c r="AE309" s="988"/>
      <c r="AF309" s="988"/>
      <c r="AV309" s="988"/>
      <c r="AW309" s="988"/>
      <c r="AX309" s="988"/>
      <c r="AY309" s="988"/>
      <c r="AZ309" s="988"/>
      <c r="BA309" s="988"/>
      <c r="BC309" s="988"/>
      <c r="BE309" s="988"/>
      <c r="BF309" s="988"/>
      <c r="BG309" s="988"/>
    </row>
    <row r="310" spans="18:59" x14ac:dyDescent="0.3">
      <c r="R310" s="988"/>
      <c r="S310" s="988"/>
      <c r="W310" s="988"/>
      <c r="X310" s="988"/>
      <c r="AE310" s="988"/>
      <c r="AF310" s="988"/>
      <c r="AV310" s="988"/>
      <c r="AW310" s="988"/>
      <c r="AX310" s="988"/>
      <c r="AY310" s="988"/>
      <c r="AZ310" s="988"/>
      <c r="BA310" s="988"/>
      <c r="BC310" s="988"/>
      <c r="BE310" s="988"/>
      <c r="BF310" s="988"/>
      <c r="BG310" s="988"/>
    </row>
    <row r="311" spans="18:59" x14ac:dyDescent="0.3">
      <c r="R311" s="988"/>
      <c r="S311" s="988"/>
      <c r="W311" s="988"/>
      <c r="X311" s="988"/>
      <c r="AE311" s="988"/>
      <c r="AF311" s="988"/>
      <c r="AV311" s="988"/>
      <c r="AW311" s="988"/>
      <c r="AX311" s="988"/>
      <c r="AY311" s="988"/>
      <c r="AZ311" s="988"/>
      <c r="BA311" s="988"/>
      <c r="BC311" s="988"/>
      <c r="BE311" s="988"/>
      <c r="BF311" s="988"/>
      <c r="BG311" s="988"/>
    </row>
    <row r="312" spans="18:59" x14ac:dyDescent="0.3">
      <c r="R312" s="988"/>
      <c r="S312" s="988"/>
      <c r="W312" s="988"/>
      <c r="X312" s="988"/>
      <c r="AE312" s="988"/>
      <c r="AF312" s="988"/>
      <c r="AV312" s="988"/>
      <c r="AW312" s="988"/>
      <c r="AX312" s="988"/>
      <c r="AY312" s="988"/>
      <c r="AZ312" s="988"/>
      <c r="BA312" s="988"/>
      <c r="BC312" s="988"/>
      <c r="BE312" s="988"/>
      <c r="BF312" s="988"/>
      <c r="BG312" s="988"/>
    </row>
    <row r="313" spans="18:59" x14ac:dyDescent="0.3">
      <c r="R313" s="988"/>
      <c r="S313" s="988"/>
      <c r="W313" s="988"/>
      <c r="X313" s="988"/>
      <c r="AE313" s="988"/>
      <c r="AF313" s="988"/>
      <c r="AV313" s="988"/>
      <c r="AW313" s="988"/>
      <c r="AX313" s="988"/>
      <c r="AY313" s="988"/>
      <c r="AZ313" s="988"/>
      <c r="BA313" s="988"/>
      <c r="BC313" s="988"/>
      <c r="BE313" s="988"/>
      <c r="BF313" s="988"/>
      <c r="BG313" s="988"/>
    </row>
    <row r="314" spans="18:59" x14ac:dyDescent="0.3">
      <c r="R314" s="988"/>
      <c r="S314" s="988"/>
      <c r="W314" s="988"/>
      <c r="X314" s="988"/>
      <c r="AE314" s="988"/>
      <c r="AF314" s="988"/>
      <c r="AV314" s="988"/>
      <c r="AW314" s="988"/>
      <c r="AX314" s="988"/>
      <c r="AY314" s="988"/>
      <c r="AZ314" s="988"/>
      <c r="BA314" s="988"/>
      <c r="BC314" s="988"/>
      <c r="BE314" s="988"/>
      <c r="BF314" s="988"/>
      <c r="BG314" s="988"/>
    </row>
    <row r="315" spans="18:59" x14ac:dyDescent="0.3">
      <c r="R315" s="988"/>
      <c r="S315" s="988"/>
      <c r="W315" s="988"/>
      <c r="X315" s="988"/>
      <c r="AE315" s="988"/>
      <c r="AF315" s="988"/>
      <c r="AV315" s="988"/>
      <c r="AW315" s="988"/>
      <c r="AX315" s="988"/>
      <c r="AY315" s="988"/>
      <c r="AZ315" s="988"/>
      <c r="BA315" s="988"/>
      <c r="BC315" s="988"/>
      <c r="BE315" s="988"/>
      <c r="BF315" s="988"/>
      <c r="BG315" s="988"/>
    </row>
    <row r="316" spans="18:59" x14ac:dyDescent="0.3">
      <c r="R316" s="988"/>
      <c r="S316" s="988"/>
      <c r="W316" s="988"/>
      <c r="X316" s="988"/>
      <c r="AE316" s="988"/>
      <c r="AF316" s="988"/>
      <c r="AV316" s="988"/>
      <c r="AW316" s="988"/>
      <c r="AX316" s="988"/>
      <c r="AY316" s="988"/>
      <c r="AZ316" s="988"/>
      <c r="BA316" s="988"/>
      <c r="BC316" s="988"/>
      <c r="BE316" s="988"/>
      <c r="BF316" s="988"/>
      <c r="BG316" s="988"/>
    </row>
    <row r="317" spans="18:59" x14ac:dyDescent="0.3">
      <c r="R317" s="988"/>
      <c r="S317" s="988"/>
      <c r="W317" s="988"/>
      <c r="X317" s="988"/>
      <c r="AE317" s="988"/>
      <c r="AF317" s="988"/>
      <c r="AV317" s="988"/>
      <c r="AW317" s="988"/>
      <c r="AX317" s="988"/>
      <c r="AY317" s="988"/>
      <c r="AZ317" s="988"/>
      <c r="BA317" s="988"/>
      <c r="BC317" s="988"/>
      <c r="BE317" s="988"/>
      <c r="BF317" s="988"/>
      <c r="BG317" s="988"/>
    </row>
    <row r="318" spans="18:59" x14ac:dyDescent="0.3">
      <c r="R318" s="988"/>
      <c r="S318" s="988"/>
      <c r="W318" s="988"/>
      <c r="X318" s="988"/>
      <c r="AE318" s="988"/>
      <c r="AF318" s="988"/>
      <c r="AV318" s="988"/>
      <c r="AW318" s="988"/>
      <c r="AX318" s="988"/>
      <c r="AY318" s="988"/>
      <c r="AZ318" s="988"/>
      <c r="BA318" s="988"/>
      <c r="BC318" s="988"/>
      <c r="BE318" s="988"/>
      <c r="BF318" s="988"/>
      <c r="BG318" s="988"/>
    </row>
    <row r="319" spans="18:59" x14ac:dyDescent="0.3">
      <c r="R319" s="988"/>
      <c r="S319" s="988"/>
      <c r="W319" s="988"/>
      <c r="X319" s="988"/>
      <c r="AE319" s="988"/>
      <c r="AF319" s="988"/>
      <c r="AV319" s="988"/>
      <c r="AW319" s="988"/>
      <c r="AX319" s="988"/>
      <c r="AY319" s="988"/>
      <c r="AZ319" s="988"/>
      <c r="BA319" s="988"/>
      <c r="BC319" s="988"/>
      <c r="BE319" s="988"/>
      <c r="BF319" s="988"/>
      <c r="BG319" s="988"/>
    </row>
    <row r="320" spans="18:59" x14ac:dyDescent="0.3">
      <c r="R320" s="988"/>
      <c r="S320" s="988"/>
      <c r="W320" s="988"/>
      <c r="X320" s="988"/>
      <c r="AE320" s="988"/>
      <c r="AF320" s="988"/>
      <c r="AV320" s="988"/>
      <c r="AW320" s="988"/>
      <c r="AX320" s="988"/>
      <c r="AY320" s="988"/>
      <c r="AZ320" s="988"/>
      <c r="BA320" s="988"/>
      <c r="BC320" s="988"/>
      <c r="BE320" s="988"/>
      <c r="BF320" s="988"/>
      <c r="BG320" s="988"/>
    </row>
    <row r="321" spans="18:59" x14ac:dyDescent="0.3">
      <c r="R321" s="988"/>
      <c r="S321" s="988"/>
      <c r="W321" s="988"/>
      <c r="X321" s="988"/>
      <c r="AE321" s="988"/>
      <c r="AF321" s="988"/>
      <c r="AV321" s="988"/>
      <c r="AW321" s="988"/>
      <c r="AX321" s="988"/>
      <c r="AY321" s="988"/>
      <c r="AZ321" s="988"/>
      <c r="BA321" s="988"/>
      <c r="BC321" s="988"/>
      <c r="BE321" s="988"/>
      <c r="BF321" s="988"/>
      <c r="BG321" s="988"/>
    </row>
    <row r="322" spans="18:59" x14ac:dyDescent="0.3">
      <c r="R322" s="988"/>
      <c r="S322" s="988"/>
      <c r="W322" s="988"/>
      <c r="X322" s="988"/>
      <c r="AE322" s="988"/>
      <c r="AF322" s="988"/>
      <c r="AV322" s="988"/>
      <c r="AW322" s="988"/>
      <c r="AX322" s="988"/>
      <c r="AY322" s="988"/>
      <c r="AZ322" s="988"/>
      <c r="BA322" s="988"/>
      <c r="BC322" s="988"/>
      <c r="BE322" s="988"/>
      <c r="BF322" s="988"/>
      <c r="BG322" s="988"/>
    </row>
    <row r="323" spans="18:59" x14ac:dyDescent="0.3">
      <c r="R323" s="988"/>
      <c r="S323" s="988"/>
      <c r="W323" s="988"/>
      <c r="X323" s="988"/>
      <c r="AE323" s="988"/>
      <c r="AF323" s="988"/>
      <c r="AV323" s="988"/>
      <c r="AW323" s="988"/>
      <c r="AX323" s="988"/>
      <c r="AY323" s="988"/>
      <c r="AZ323" s="988"/>
      <c r="BA323" s="988"/>
      <c r="BC323" s="988"/>
      <c r="BE323" s="988"/>
      <c r="BF323" s="988"/>
      <c r="BG323" s="988"/>
    </row>
    <row r="324" spans="18:59" x14ac:dyDescent="0.3">
      <c r="R324" s="988"/>
      <c r="S324" s="988"/>
      <c r="W324" s="988"/>
      <c r="X324" s="988"/>
      <c r="AE324" s="988"/>
      <c r="AF324" s="988"/>
      <c r="AV324" s="988"/>
      <c r="AW324" s="988"/>
      <c r="AX324" s="988"/>
      <c r="AY324" s="988"/>
      <c r="AZ324" s="988"/>
      <c r="BA324" s="988"/>
      <c r="BC324" s="988"/>
      <c r="BE324" s="988"/>
      <c r="BF324" s="988"/>
      <c r="BG324" s="988"/>
    </row>
    <row r="325" spans="18:59" x14ac:dyDescent="0.3">
      <c r="R325" s="988"/>
      <c r="S325" s="988"/>
      <c r="W325" s="988"/>
      <c r="X325" s="988"/>
      <c r="AE325" s="988"/>
      <c r="AF325" s="988"/>
      <c r="AV325" s="988"/>
      <c r="AW325" s="988"/>
      <c r="AX325" s="988"/>
      <c r="AY325" s="988"/>
      <c r="AZ325" s="988"/>
      <c r="BA325" s="988"/>
      <c r="BC325" s="988"/>
      <c r="BE325" s="988"/>
      <c r="BF325" s="988"/>
      <c r="BG325" s="988"/>
    </row>
    <row r="326" spans="18:59" x14ac:dyDescent="0.3">
      <c r="R326" s="988"/>
      <c r="S326" s="988"/>
      <c r="W326" s="988"/>
      <c r="X326" s="988"/>
      <c r="AE326" s="988"/>
      <c r="AF326" s="988"/>
      <c r="AV326" s="988"/>
      <c r="AW326" s="988"/>
      <c r="AX326" s="988"/>
      <c r="AY326" s="988"/>
      <c r="AZ326" s="988"/>
      <c r="BA326" s="988"/>
      <c r="BC326" s="988"/>
      <c r="BE326" s="988"/>
      <c r="BF326" s="988"/>
      <c r="BG326" s="988"/>
    </row>
    <row r="327" spans="18:59" x14ac:dyDescent="0.3">
      <c r="R327" s="988"/>
      <c r="S327" s="988"/>
      <c r="W327" s="988"/>
      <c r="X327" s="988"/>
      <c r="AE327" s="988"/>
      <c r="AF327" s="988"/>
      <c r="AV327" s="988"/>
      <c r="AW327" s="988"/>
      <c r="AX327" s="988"/>
      <c r="AY327" s="988"/>
      <c r="AZ327" s="988"/>
      <c r="BA327" s="988"/>
      <c r="BC327" s="988"/>
      <c r="BE327" s="988"/>
      <c r="BF327" s="988"/>
      <c r="BG327" s="988"/>
    </row>
    <row r="328" spans="18:59" x14ac:dyDescent="0.3">
      <c r="R328" s="988"/>
      <c r="S328" s="988"/>
      <c r="W328" s="988"/>
      <c r="X328" s="988"/>
      <c r="AE328" s="988"/>
      <c r="AF328" s="988"/>
      <c r="AV328" s="988"/>
      <c r="AW328" s="988"/>
      <c r="AX328" s="988"/>
      <c r="AY328" s="988"/>
      <c r="AZ328" s="988"/>
      <c r="BA328" s="988"/>
      <c r="BC328" s="988"/>
      <c r="BE328" s="988"/>
      <c r="BF328" s="988"/>
      <c r="BG328" s="988"/>
    </row>
    <row r="329" spans="18:59" x14ac:dyDescent="0.3">
      <c r="R329" s="988"/>
      <c r="S329" s="988"/>
      <c r="W329" s="988"/>
      <c r="X329" s="988"/>
      <c r="AE329" s="988"/>
      <c r="AF329" s="988"/>
      <c r="AV329" s="988"/>
      <c r="AW329" s="988"/>
      <c r="AX329" s="988"/>
      <c r="AY329" s="988"/>
      <c r="AZ329" s="988"/>
      <c r="BA329" s="988"/>
      <c r="BC329" s="988"/>
      <c r="BE329" s="988"/>
      <c r="BF329" s="988"/>
      <c r="BG329" s="988"/>
    </row>
    <row r="330" spans="18:59" x14ac:dyDescent="0.3">
      <c r="R330" s="988"/>
      <c r="S330" s="988"/>
      <c r="W330" s="988"/>
      <c r="X330" s="988"/>
      <c r="AE330" s="988"/>
      <c r="AF330" s="988"/>
      <c r="AV330" s="988"/>
      <c r="AW330" s="988"/>
      <c r="AX330" s="988"/>
      <c r="AY330" s="988"/>
      <c r="AZ330" s="988"/>
      <c r="BA330" s="988"/>
      <c r="BC330" s="988"/>
      <c r="BE330" s="988"/>
      <c r="BF330" s="988"/>
      <c r="BG330" s="988"/>
    </row>
    <row r="331" spans="18:59" x14ac:dyDescent="0.3">
      <c r="R331" s="988"/>
      <c r="S331" s="988"/>
      <c r="W331" s="988"/>
      <c r="X331" s="988"/>
      <c r="AE331" s="988"/>
      <c r="AF331" s="988"/>
      <c r="AV331" s="988"/>
      <c r="AW331" s="988"/>
      <c r="AX331" s="988"/>
      <c r="AY331" s="988"/>
      <c r="AZ331" s="988"/>
      <c r="BA331" s="988"/>
      <c r="BC331" s="988"/>
      <c r="BE331" s="988"/>
      <c r="BF331" s="988"/>
      <c r="BG331" s="988"/>
    </row>
    <row r="332" spans="18:59" x14ac:dyDescent="0.3">
      <c r="R332" s="988"/>
      <c r="S332" s="988"/>
      <c r="W332" s="988"/>
      <c r="X332" s="988"/>
      <c r="AE332" s="988"/>
      <c r="AF332" s="988"/>
      <c r="AV332" s="988"/>
      <c r="AW332" s="988"/>
      <c r="AX332" s="988"/>
      <c r="AY332" s="988"/>
      <c r="AZ332" s="988"/>
      <c r="BA332" s="988"/>
      <c r="BC332" s="988"/>
      <c r="BE332" s="988"/>
      <c r="BF332" s="988"/>
      <c r="BG332" s="988"/>
    </row>
    <row r="333" spans="18:59" x14ac:dyDescent="0.3">
      <c r="R333" s="988"/>
      <c r="S333" s="988"/>
      <c r="W333" s="988"/>
      <c r="X333" s="988"/>
      <c r="AE333" s="988"/>
      <c r="AF333" s="988"/>
      <c r="AV333" s="988"/>
      <c r="AW333" s="988"/>
      <c r="AX333" s="988"/>
      <c r="AY333" s="988"/>
      <c r="AZ333" s="988"/>
      <c r="BA333" s="988"/>
      <c r="BC333" s="988"/>
      <c r="BE333" s="988"/>
      <c r="BF333" s="988"/>
      <c r="BG333" s="988"/>
    </row>
    <row r="334" spans="18:59" x14ac:dyDescent="0.3">
      <c r="R334" s="988"/>
      <c r="S334" s="988"/>
      <c r="W334" s="988"/>
      <c r="X334" s="988"/>
      <c r="AE334" s="988"/>
      <c r="AF334" s="988"/>
      <c r="AV334" s="988"/>
      <c r="AW334" s="988"/>
      <c r="AX334" s="988"/>
      <c r="AY334" s="988"/>
      <c r="AZ334" s="988"/>
      <c r="BA334" s="988"/>
      <c r="BC334" s="988"/>
      <c r="BE334" s="988"/>
      <c r="BF334" s="988"/>
      <c r="BG334" s="988"/>
    </row>
    <row r="335" spans="18:59" x14ac:dyDescent="0.3">
      <c r="R335" s="988"/>
      <c r="S335" s="988"/>
      <c r="W335" s="988"/>
      <c r="X335" s="988"/>
      <c r="AE335" s="988"/>
      <c r="AF335" s="988"/>
      <c r="AV335" s="988"/>
      <c r="AW335" s="988"/>
      <c r="AX335" s="988"/>
      <c r="AY335" s="988"/>
      <c r="AZ335" s="988"/>
      <c r="BA335" s="988"/>
      <c r="BC335" s="988"/>
      <c r="BE335" s="988"/>
      <c r="BF335" s="988"/>
      <c r="BG335" s="988"/>
    </row>
    <row r="336" spans="18:59" x14ac:dyDescent="0.3">
      <c r="R336" s="988"/>
      <c r="S336" s="988"/>
      <c r="W336" s="988"/>
      <c r="X336" s="988"/>
      <c r="AE336" s="988"/>
      <c r="AF336" s="988"/>
      <c r="AV336" s="988"/>
      <c r="AW336" s="988"/>
      <c r="AX336" s="988"/>
      <c r="AY336" s="988"/>
      <c r="AZ336" s="988"/>
      <c r="BA336" s="988"/>
      <c r="BC336" s="988"/>
      <c r="BE336" s="988"/>
      <c r="BF336" s="988"/>
      <c r="BG336" s="988"/>
    </row>
    <row r="337" spans="18:59" x14ac:dyDescent="0.3">
      <c r="R337" s="988"/>
      <c r="S337" s="988"/>
      <c r="W337" s="988"/>
      <c r="X337" s="988"/>
      <c r="AE337" s="988"/>
      <c r="AF337" s="988"/>
      <c r="AV337" s="988"/>
      <c r="AW337" s="988"/>
      <c r="AX337" s="988"/>
      <c r="AY337" s="988"/>
      <c r="AZ337" s="988"/>
      <c r="BA337" s="988"/>
      <c r="BC337" s="988"/>
      <c r="BE337" s="988"/>
      <c r="BF337" s="988"/>
      <c r="BG337" s="988"/>
    </row>
    <row r="338" spans="18:59" x14ac:dyDescent="0.3">
      <c r="R338" s="988"/>
      <c r="S338" s="988"/>
      <c r="W338" s="988"/>
      <c r="X338" s="988"/>
      <c r="AE338" s="988"/>
      <c r="AF338" s="988"/>
      <c r="AV338" s="988"/>
      <c r="AW338" s="988"/>
      <c r="AX338" s="988"/>
      <c r="AY338" s="988"/>
      <c r="AZ338" s="988"/>
      <c r="BA338" s="988"/>
      <c r="BC338" s="988"/>
      <c r="BE338" s="988"/>
      <c r="BF338" s="988"/>
      <c r="BG338" s="988"/>
    </row>
    <row r="339" spans="18:59" x14ac:dyDescent="0.3">
      <c r="R339" s="988"/>
      <c r="S339" s="988"/>
      <c r="W339" s="988"/>
      <c r="X339" s="988"/>
      <c r="AE339" s="988"/>
      <c r="AF339" s="988"/>
      <c r="AV339" s="988"/>
      <c r="AW339" s="988"/>
      <c r="AX339" s="988"/>
      <c r="AY339" s="988"/>
      <c r="AZ339" s="988"/>
      <c r="BA339" s="988"/>
      <c r="BC339" s="988"/>
      <c r="BE339" s="988"/>
      <c r="BF339" s="988"/>
      <c r="BG339" s="988"/>
    </row>
    <row r="340" spans="18:59" x14ac:dyDescent="0.3">
      <c r="R340" s="988"/>
      <c r="S340" s="988"/>
      <c r="W340" s="988"/>
      <c r="X340" s="988"/>
      <c r="AE340" s="988"/>
      <c r="AF340" s="988"/>
      <c r="AV340" s="988"/>
      <c r="AW340" s="988"/>
      <c r="AX340" s="988"/>
      <c r="AY340" s="988"/>
      <c r="AZ340" s="988"/>
      <c r="BA340" s="988"/>
      <c r="BC340" s="988"/>
      <c r="BE340" s="988"/>
      <c r="BF340" s="988"/>
      <c r="BG340" s="988"/>
    </row>
    <row r="341" spans="18:59" x14ac:dyDescent="0.3">
      <c r="R341" s="988"/>
      <c r="S341" s="988"/>
      <c r="W341" s="988"/>
      <c r="X341" s="988"/>
      <c r="AE341" s="988"/>
      <c r="AF341" s="988"/>
      <c r="AV341" s="988"/>
      <c r="AW341" s="988"/>
      <c r="AX341" s="988"/>
      <c r="AY341" s="988"/>
      <c r="AZ341" s="988"/>
      <c r="BA341" s="988"/>
      <c r="BC341" s="988"/>
      <c r="BE341" s="988"/>
      <c r="BF341" s="988"/>
      <c r="BG341" s="988"/>
    </row>
    <row r="342" spans="18:59" x14ac:dyDescent="0.3">
      <c r="R342" s="988"/>
      <c r="S342" s="988"/>
      <c r="W342" s="988"/>
      <c r="X342" s="988"/>
      <c r="AE342" s="988"/>
      <c r="AF342" s="988"/>
      <c r="AV342" s="988"/>
      <c r="AW342" s="988"/>
      <c r="AX342" s="988"/>
      <c r="AY342" s="988"/>
      <c r="AZ342" s="988"/>
      <c r="BA342" s="988"/>
      <c r="BC342" s="988"/>
      <c r="BE342" s="988"/>
      <c r="BF342" s="988"/>
      <c r="BG342" s="988"/>
    </row>
    <row r="343" spans="18:59" x14ac:dyDescent="0.3">
      <c r="R343" s="988"/>
      <c r="S343" s="988"/>
      <c r="W343" s="988"/>
      <c r="X343" s="988"/>
      <c r="AE343" s="988"/>
      <c r="AF343" s="988"/>
      <c r="AV343" s="988"/>
      <c r="AW343" s="988"/>
      <c r="AX343" s="988"/>
      <c r="AY343" s="988"/>
      <c r="AZ343" s="988"/>
      <c r="BA343" s="988"/>
      <c r="BC343" s="988"/>
      <c r="BE343" s="988"/>
      <c r="BF343" s="988"/>
      <c r="BG343" s="988"/>
    </row>
    <row r="344" spans="18:59" x14ac:dyDescent="0.3">
      <c r="R344" s="988"/>
      <c r="S344" s="988"/>
      <c r="W344" s="988"/>
      <c r="X344" s="988"/>
      <c r="AE344" s="988"/>
      <c r="AF344" s="988"/>
      <c r="AV344" s="988"/>
      <c r="AW344" s="988"/>
      <c r="AX344" s="988"/>
      <c r="AY344" s="988"/>
      <c r="AZ344" s="988"/>
      <c r="BA344" s="988"/>
      <c r="BC344" s="988"/>
      <c r="BE344" s="988"/>
      <c r="BF344" s="988"/>
      <c r="BG344" s="988"/>
    </row>
    <row r="345" spans="18:59" x14ac:dyDescent="0.3">
      <c r="R345" s="988"/>
      <c r="S345" s="988"/>
      <c r="W345" s="988"/>
      <c r="X345" s="988"/>
      <c r="AE345" s="988"/>
      <c r="AF345" s="988"/>
      <c r="AV345" s="988"/>
      <c r="AW345" s="988"/>
      <c r="AX345" s="988"/>
      <c r="AY345" s="988"/>
      <c r="AZ345" s="988"/>
      <c r="BA345" s="988"/>
      <c r="BC345" s="988"/>
      <c r="BE345" s="988"/>
      <c r="BF345" s="988"/>
      <c r="BG345" s="988"/>
    </row>
    <row r="346" spans="18:59" x14ac:dyDescent="0.3">
      <c r="R346" s="988"/>
      <c r="S346" s="988"/>
      <c r="W346" s="988"/>
      <c r="X346" s="988"/>
      <c r="AE346" s="988"/>
      <c r="AF346" s="988"/>
      <c r="AV346" s="988"/>
      <c r="AW346" s="988"/>
      <c r="AX346" s="988"/>
      <c r="AY346" s="988"/>
      <c r="AZ346" s="988"/>
      <c r="BA346" s="988"/>
      <c r="BC346" s="988"/>
      <c r="BE346" s="988"/>
      <c r="BF346" s="988"/>
      <c r="BG346" s="988"/>
    </row>
    <row r="347" spans="18:59" x14ac:dyDescent="0.3">
      <c r="R347" s="988"/>
      <c r="S347" s="988"/>
      <c r="W347" s="988"/>
      <c r="X347" s="988"/>
      <c r="AE347" s="988"/>
      <c r="AF347" s="988"/>
      <c r="AV347" s="988"/>
      <c r="AW347" s="988"/>
      <c r="AX347" s="988"/>
      <c r="AY347" s="988"/>
      <c r="AZ347" s="988"/>
      <c r="BA347" s="988"/>
      <c r="BC347" s="988"/>
      <c r="BE347" s="988"/>
      <c r="BF347" s="988"/>
      <c r="BG347" s="988"/>
    </row>
    <row r="348" spans="18:59" x14ac:dyDescent="0.3">
      <c r="R348" s="988"/>
      <c r="S348" s="988"/>
      <c r="W348" s="988"/>
      <c r="X348" s="988"/>
      <c r="AE348" s="988"/>
      <c r="AF348" s="988"/>
      <c r="AV348" s="988"/>
      <c r="AW348" s="988"/>
      <c r="AX348" s="988"/>
      <c r="AY348" s="988"/>
      <c r="AZ348" s="988"/>
      <c r="BA348" s="988"/>
      <c r="BC348" s="988"/>
      <c r="BE348" s="988"/>
      <c r="BF348" s="988"/>
      <c r="BG348" s="988"/>
    </row>
    <row r="349" spans="18:59" x14ac:dyDescent="0.3">
      <c r="R349" s="988"/>
      <c r="S349" s="988"/>
      <c r="W349" s="988"/>
      <c r="X349" s="988"/>
      <c r="AE349" s="988"/>
      <c r="AF349" s="988"/>
      <c r="AV349" s="988"/>
      <c r="AW349" s="988"/>
      <c r="AX349" s="988"/>
      <c r="AY349" s="988"/>
      <c r="AZ349" s="988"/>
      <c r="BA349" s="988"/>
      <c r="BC349" s="988"/>
      <c r="BE349" s="988"/>
      <c r="BF349" s="988"/>
      <c r="BG349" s="988"/>
    </row>
    <row r="350" spans="18:59" x14ac:dyDescent="0.3">
      <c r="R350" s="988"/>
      <c r="S350" s="988"/>
      <c r="W350" s="988"/>
      <c r="X350" s="988"/>
      <c r="AE350" s="988"/>
      <c r="AF350" s="988"/>
      <c r="AV350" s="988"/>
      <c r="AW350" s="988"/>
      <c r="AX350" s="988"/>
      <c r="AY350" s="988"/>
      <c r="AZ350" s="988"/>
      <c r="BA350" s="988"/>
      <c r="BC350" s="988"/>
      <c r="BE350" s="988"/>
      <c r="BF350" s="988"/>
      <c r="BG350" s="988"/>
    </row>
    <row r="351" spans="18:59" x14ac:dyDescent="0.3">
      <c r="R351" s="988"/>
      <c r="S351" s="988"/>
      <c r="W351" s="988"/>
      <c r="X351" s="988"/>
      <c r="AE351" s="988"/>
      <c r="AF351" s="988"/>
      <c r="AV351" s="988"/>
      <c r="AW351" s="988"/>
      <c r="AX351" s="988"/>
      <c r="AY351" s="988"/>
      <c r="AZ351" s="988"/>
      <c r="BA351" s="988"/>
      <c r="BC351" s="988"/>
      <c r="BE351" s="988"/>
      <c r="BF351" s="988"/>
      <c r="BG351" s="988"/>
    </row>
    <row r="352" spans="18:59" x14ac:dyDescent="0.3">
      <c r="R352" s="988"/>
      <c r="S352" s="988"/>
      <c r="W352" s="988"/>
      <c r="X352" s="988"/>
      <c r="AE352" s="988"/>
      <c r="AF352" s="988"/>
      <c r="AV352" s="988"/>
      <c r="AW352" s="988"/>
      <c r="AX352" s="988"/>
      <c r="AY352" s="988"/>
      <c r="AZ352" s="988"/>
      <c r="BA352" s="988"/>
      <c r="BC352" s="988"/>
      <c r="BE352" s="988"/>
      <c r="BF352" s="988"/>
      <c r="BG352" s="988"/>
    </row>
    <row r="353" spans="18:59" x14ac:dyDescent="0.3">
      <c r="R353" s="988"/>
      <c r="S353" s="988"/>
      <c r="W353" s="988"/>
      <c r="X353" s="988"/>
      <c r="AE353" s="988"/>
      <c r="AF353" s="988"/>
      <c r="AV353" s="988"/>
      <c r="AW353" s="988"/>
      <c r="AX353" s="988"/>
      <c r="AY353" s="988"/>
      <c r="AZ353" s="988"/>
      <c r="BA353" s="988"/>
      <c r="BC353" s="988"/>
      <c r="BE353" s="988"/>
      <c r="BF353" s="988"/>
      <c r="BG353" s="988"/>
    </row>
    <row r="354" spans="18:59" x14ac:dyDescent="0.3">
      <c r="R354" s="988"/>
      <c r="S354" s="988"/>
      <c r="W354" s="988"/>
      <c r="X354" s="988"/>
      <c r="AE354" s="988"/>
      <c r="AF354" s="988"/>
      <c r="AV354" s="988"/>
      <c r="AW354" s="988"/>
      <c r="AX354" s="988"/>
      <c r="AY354" s="988"/>
      <c r="AZ354" s="988"/>
      <c r="BA354" s="988"/>
      <c r="BC354" s="988"/>
      <c r="BE354" s="988"/>
      <c r="BF354" s="988"/>
      <c r="BG354" s="988"/>
    </row>
    <row r="355" spans="18:59" x14ac:dyDescent="0.3">
      <c r="R355" s="988"/>
      <c r="S355" s="988"/>
      <c r="W355" s="988"/>
      <c r="X355" s="988"/>
      <c r="AE355" s="988"/>
      <c r="AF355" s="988"/>
      <c r="AV355" s="988"/>
      <c r="AW355" s="988"/>
      <c r="AX355" s="988"/>
      <c r="AY355" s="988"/>
      <c r="AZ355" s="988"/>
      <c r="BA355" s="988"/>
      <c r="BC355" s="988"/>
      <c r="BE355" s="988"/>
      <c r="BF355" s="988"/>
      <c r="BG355" s="988"/>
    </row>
    <row r="356" spans="18:59" x14ac:dyDescent="0.3">
      <c r="R356" s="988"/>
      <c r="S356" s="988"/>
      <c r="W356" s="988"/>
      <c r="X356" s="988"/>
      <c r="AE356" s="988"/>
      <c r="AF356" s="988"/>
      <c r="AV356" s="988"/>
      <c r="AW356" s="988"/>
      <c r="AX356" s="988"/>
      <c r="AY356" s="988"/>
      <c r="AZ356" s="988"/>
      <c r="BA356" s="988"/>
      <c r="BC356" s="988"/>
      <c r="BE356" s="988"/>
      <c r="BF356" s="988"/>
      <c r="BG356" s="988"/>
    </row>
    <row r="357" spans="18:59" x14ac:dyDescent="0.3">
      <c r="R357" s="988"/>
      <c r="S357" s="988"/>
      <c r="W357" s="988"/>
      <c r="X357" s="988"/>
      <c r="AE357" s="988"/>
      <c r="AF357" s="988"/>
      <c r="AV357" s="988"/>
      <c r="AW357" s="988"/>
      <c r="AX357" s="988"/>
      <c r="AY357" s="988"/>
      <c r="AZ357" s="988"/>
      <c r="BA357" s="988"/>
      <c r="BC357" s="988"/>
      <c r="BE357" s="988"/>
      <c r="BF357" s="988"/>
      <c r="BG357" s="988"/>
    </row>
    <row r="358" spans="18:59" x14ac:dyDescent="0.3">
      <c r="R358" s="988"/>
      <c r="S358" s="988"/>
      <c r="W358" s="988"/>
      <c r="X358" s="988"/>
      <c r="AE358" s="988"/>
      <c r="AF358" s="988"/>
      <c r="AV358" s="988"/>
      <c r="AW358" s="988"/>
      <c r="AX358" s="988"/>
      <c r="AY358" s="988"/>
      <c r="AZ358" s="988"/>
      <c r="BA358" s="988"/>
      <c r="BC358" s="988"/>
      <c r="BE358" s="988"/>
      <c r="BF358" s="988"/>
      <c r="BG358" s="988"/>
    </row>
    <row r="359" spans="18:59" x14ac:dyDescent="0.3">
      <c r="R359" s="988"/>
      <c r="S359" s="988"/>
      <c r="W359" s="988"/>
      <c r="X359" s="988"/>
      <c r="AE359" s="988"/>
      <c r="AF359" s="988"/>
      <c r="AV359" s="988"/>
      <c r="AW359" s="988"/>
      <c r="AX359" s="988"/>
      <c r="AY359" s="988"/>
      <c r="AZ359" s="988"/>
      <c r="BA359" s="988"/>
      <c r="BC359" s="988"/>
      <c r="BE359" s="988"/>
      <c r="BF359" s="988"/>
      <c r="BG359" s="988"/>
    </row>
    <row r="360" spans="18:59" x14ac:dyDescent="0.3">
      <c r="R360" s="988"/>
      <c r="S360" s="988"/>
      <c r="W360" s="988"/>
      <c r="X360" s="988"/>
      <c r="AE360" s="988"/>
      <c r="AF360" s="988"/>
      <c r="AV360" s="988"/>
      <c r="AW360" s="988"/>
      <c r="AX360" s="988"/>
      <c r="AY360" s="988"/>
      <c r="AZ360" s="988"/>
      <c r="BA360" s="988"/>
      <c r="BC360" s="988"/>
      <c r="BE360" s="988"/>
      <c r="BF360" s="988"/>
      <c r="BG360" s="988"/>
    </row>
    <row r="361" spans="18:59" x14ac:dyDescent="0.3">
      <c r="R361" s="988"/>
      <c r="S361" s="988"/>
      <c r="W361" s="988"/>
      <c r="X361" s="988"/>
      <c r="AE361" s="988"/>
      <c r="AF361" s="988"/>
      <c r="AV361" s="988"/>
      <c r="AW361" s="988"/>
      <c r="AX361" s="988"/>
      <c r="AY361" s="988"/>
      <c r="AZ361" s="988"/>
      <c r="BA361" s="988"/>
      <c r="BC361" s="988"/>
      <c r="BE361" s="988"/>
      <c r="BF361" s="988"/>
      <c r="BG361" s="988"/>
    </row>
    <row r="362" spans="18:59" x14ac:dyDescent="0.3">
      <c r="R362" s="988"/>
      <c r="S362" s="988"/>
      <c r="W362" s="988"/>
      <c r="X362" s="988"/>
      <c r="AE362" s="988"/>
      <c r="AF362" s="988"/>
      <c r="AV362" s="988"/>
      <c r="AW362" s="988"/>
      <c r="AX362" s="988"/>
      <c r="AY362" s="988"/>
      <c r="AZ362" s="988"/>
      <c r="BA362" s="988"/>
      <c r="BC362" s="988"/>
      <c r="BE362" s="988"/>
      <c r="BF362" s="988"/>
      <c r="BG362" s="988"/>
    </row>
    <row r="363" spans="18:59" x14ac:dyDescent="0.3">
      <c r="R363" s="988"/>
      <c r="S363" s="988"/>
      <c r="W363" s="988"/>
      <c r="X363" s="988"/>
      <c r="AE363" s="988"/>
      <c r="AF363" s="988"/>
      <c r="AV363" s="988"/>
      <c r="AW363" s="988"/>
      <c r="AX363" s="988"/>
      <c r="AY363" s="988"/>
      <c r="AZ363" s="988"/>
      <c r="BA363" s="988"/>
      <c r="BC363" s="988"/>
      <c r="BE363" s="988"/>
      <c r="BF363" s="988"/>
      <c r="BG363" s="988"/>
    </row>
    <row r="364" spans="18:59" x14ac:dyDescent="0.3">
      <c r="R364" s="988"/>
      <c r="S364" s="988"/>
      <c r="W364" s="988"/>
      <c r="X364" s="988"/>
      <c r="AE364" s="988"/>
      <c r="AF364" s="988"/>
      <c r="AV364" s="988"/>
      <c r="AW364" s="988"/>
      <c r="AX364" s="988"/>
      <c r="AY364" s="988"/>
      <c r="AZ364" s="988"/>
      <c r="BA364" s="988"/>
      <c r="BC364" s="988"/>
      <c r="BE364" s="988"/>
      <c r="BF364" s="988"/>
      <c r="BG364" s="988"/>
    </row>
    <row r="365" spans="18:59" x14ac:dyDescent="0.3">
      <c r="R365" s="988"/>
      <c r="S365" s="988"/>
      <c r="W365" s="988"/>
      <c r="X365" s="988"/>
      <c r="AE365" s="988"/>
      <c r="AF365" s="988"/>
      <c r="AV365" s="988"/>
      <c r="AW365" s="988"/>
      <c r="AX365" s="988"/>
      <c r="AY365" s="988"/>
      <c r="AZ365" s="988"/>
      <c r="BA365" s="988"/>
      <c r="BC365" s="988"/>
      <c r="BE365" s="988"/>
      <c r="BF365" s="988"/>
      <c r="BG365" s="988"/>
    </row>
    <row r="366" spans="18:59" x14ac:dyDescent="0.3">
      <c r="R366" s="988"/>
      <c r="S366" s="988"/>
      <c r="W366" s="988"/>
      <c r="X366" s="988"/>
      <c r="AE366" s="988"/>
      <c r="AF366" s="988"/>
      <c r="AV366" s="988"/>
      <c r="AW366" s="988"/>
      <c r="AX366" s="988"/>
      <c r="AY366" s="988"/>
      <c r="AZ366" s="988"/>
      <c r="BA366" s="988"/>
      <c r="BC366" s="988"/>
      <c r="BE366" s="988"/>
      <c r="BF366" s="988"/>
      <c r="BG366" s="988"/>
    </row>
    <row r="367" spans="18:59" x14ac:dyDescent="0.3">
      <c r="R367" s="988"/>
      <c r="S367" s="988"/>
      <c r="W367" s="988"/>
      <c r="X367" s="988"/>
      <c r="AE367" s="988"/>
      <c r="AF367" s="988"/>
      <c r="AV367" s="988"/>
      <c r="AW367" s="988"/>
      <c r="AX367" s="988"/>
      <c r="AY367" s="988"/>
      <c r="AZ367" s="988"/>
      <c r="BA367" s="988"/>
      <c r="BC367" s="988"/>
      <c r="BE367" s="988"/>
      <c r="BF367" s="988"/>
      <c r="BG367" s="988"/>
    </row>
    <row r="368" spans="18:59" x14ac:dyDescent="0.3">
      <c r="R368" s="988"/>
      <c r="S368" s="988"/>
      <c r="W368" s="988"/>
      <c r="X368" s="988"/>
      <c r="AE368" s="988"/>
      <c r="AF368" s="988"/>
      <c r="AV368" s="988"/>
      <c r="AW368" s="988"/>
      <c r="AX368" s="988"/>
      <c r="AY368" s="988"/>
      <c r="AZ368" s="988"/>
      <c r="BA368" s="988"/>
      <c r="BC368" s="988"/>
      <c r="BE368" s="988"/>
      <c r="BF368" s="988"/>
      <c r="BG368" s="988"/>
    </row>
    <row r="369" spans="18:59" x14ac:dyDescent="0.3">
      <c r="R369" s="988"/>
      <c r="S369" s="988"/>
      <c r="W369" s="988"/>
      <c r="X369" s="988"/>
      <c r="AE369" s="988"/>
      <c r="AF369" s="988"/>
      <c r="AV369" s="988"/>
      <c r="AW369" s="988"/>
      <c r="AX369" s="988"/>
      <c r="AY369" s="988"/>
      <c r="AZ369" s="988"/>
      <c r="BA369" s="988"/>
      <c r="BC369" s="988"/>
      <c r="BE369" s="988"/>
      <c r="BF369" s="988"/>
      <c r="BG369" s="988"/>
    </row>
    <row r="370" spans="18:59" x14ac:dyDescent="0.3">
      <c r="R370" s="988"/>
      <c r="S370" s="988"/>
      <c r="W370" s="988"/>
      <c r="X370" s="988"/>
      <c r="AE370" s="988"/>
      <c r="AF370" s="988"/>
      <c r="AV370" s="988"/>
      <c r="AW370" s="988"/>
      <c r="AX370" s="988"/>
      <c r="AY370" s="988"/>
      <c r="AZ370" s="988"/>
      <c r="BA370" s="988"/>
      <c r="BC370" s="988"/>
      <c r="BE370" s="988"/>
      <c r="BF370" s="988"/>
      <c r="BG370" s="988"/>
    </row>
    <row r="371" spans="18:59" x14ac:dyDescent="0.3">
      <c r="R371" s="988"/>
      <c r="S371" s="988"/>
      <c r="W371" s="988"/>
      <c r="X371" s="988"/>
      <c r="AE371" s="988"/>
      <c r="AF371" s="988"/>
      <c r="AV371" s="988"/>
      <c r="AW371" s="988"/>
      <c r="AX371" s="988"/>
      <c r="AY371" s="988"/>
      <c r="AZ371" s="988"/>
      <c r="BA371" s="988"/>
      <c r="BC371" s="988"/>
      <c r="BE371" s="988"/>
      <c r="BF371" s="988"/>
      <c r="BG371" s="988"/>
    </row>
    <row r="372" spans="18:59" x14ac:dyDescent="0.3">
      <c r="R372" s="988"/>
      <c r="S372" s="988"/>
      <c r="W372" s="988"/>
      <c r="X372" s="988"/>
      <c r="AE372" s="988"/>
      <c r="AF372" s="988"/>
      <c r="AV372" s="988"/>
      <c r="AW372" s="988"/>
      <c r="AX372" s="988"/>
      <c r="AY372" s="988"/>
      <c r="AZ372" s="988"/>
      <c r="BA372" s="988"/>
      <c r="BC372" s="988"/>
      <c r="BE372" s="988"/>
      <c r="BF372" s="988"/>
      <c r="BG372" s="988"/>
    </row>
    <row r="373" spans="18:59" x14ac:dyDescent="0.3">
      <c r="R373" s="988"/>
      <c r="S373" s="988"/>
      <c r="W373" s="988"/>
      <c r="X373" s="988"/>
      <c r="AE373" s="988"/>
      <c r="AF373" s="988"/>
      <c r="AV373" s="988"/>
      <c r="AW373" s="988"/>
      <c r="AX373" s="988"/>
      <c r="AY373" s="988"/>
      <c r="AZ373" s="988"/>
      <c r="BA373" s="988"/>
      <c r="BC373" s="988"/>
      <c r="BE373" s="988"/>
      <c r="BF373" s="988"/>
      <c r="BG373" s="988"/>
    </row>
    <row r="374" spans="18:59" x14ac:dyDescent="0.3">
      <c r="R374" s="988"/>
      <c r="S374" s="988"/>
      <c r="W374" s="988"/>
      <c r="X374" s="988"/>
      <c r="AE374" s="988"/>
      <c r="AF374" s="988"/>
      <c r="AV374" s="988"/>
      <c r="AW374" s="988"/>
      <c r="AX374" s="988"/>
      <c r="AY374" s="988"/>
      <c r="AZ374" s="988"/>
      <c r="BA374" s="988"/>
      <c r="BC374" s="988"/>
      <c r="BE374" s="988"/>
      <c r="BF374" s="988"/>
      <c r="BG374" s="988"/>
    </row>
    <row r="375" spans="18:59" x14ac:dyDescent="0.3">
      <c r="R375" s="988"/>
      <c r="S375" s="988"/>
      <c r="W375" s="988"/>
      <c r="X375" s="988"/>
      <c r="AE375" s="988"/>
      <c r="AF375" s="988"/>
      <c r="AV375" s="988"/>
      <c r="AW375" s="988"/>
      <c r="AX375" s="988"/>
      <c r="AY375" s="988"/>
      <c r="AZ375" s="988"/>
      <c r="BA375" s="988"/>
      <c r="BC375" s="988"/>
      <c r="BE375" s="988"/>
      <c r="BF375" s="988"/>
      <c r="BG375" s="988"/>
    </row>
    <row r="376" spans="18:59" x14ac:dyDescent="0.3">
      <c r="R376" s="988"/>
      <c r="S376" s="988"/>
      <c r="W376" s="988"/>
      <c r="X376" s="988"/>
      <c r="AE376" s="988"/>
      <c r="AF376" s="988"/>
      <c r="AV376" s="988"/>
      <c r="AW376" s="988"/>
      <c r="AX376" s="988"/>
      <c r="AY376" s="988"/>
      <c r="AZ376" s="988"/>
      <c r="BA376" s="988"/>
      <c r="BC376" s="988"/>
      <c r="BE376" s="988"/>
      <c r="BF376" s="988"/>
      <c r="BG376" s="988"/>
    </row>
    <row r="377" spans="18:59" x14ac:dyDescent="0.3">
      <c r="R377" s="988"/>
      <c r="S377" s="988"/>
      <c r="W377" s="988"/>
      <c r="X377" s="988"/>
      <c r="AE377" s="988"/>
      <c r="AF377" s="988"/>
      <c r="AV377" s="988"/>
      <c r="AW377" s="988"/>
      <c r="AX377" s="988"/>
      <c r="AY377" s="988"/>
      <c r="AZ377" s="988"/>
      <c r="BA377" s="988"/>
      <c r="BC377" s="988"/>
      <c r="BE377" s="988"/>
      <c r="BF377" s="988"/>
      <c r="BG377" s="988"/>
    </row>
    <row r="378" spans="18:59" x14ac:dyDescent="0.3">
      <c r="R378" s="988"/>
      <c r="S378" s="988"/>
      <c r="W378" s="988"/>
      <c r="X378" s="988"/>
      <c r="AE378" s="988"/>
      <c r="AF378" s="988"/>
      <c r="AV378" s="988"/>
      <c r="AW378" s="988"/>
      <c r="AX378" s="988"/>
      <c r="AY378" s="988"/>
      <c r="AZ378" s="988"/>
      <c r="BA378" s="988"/>
      <c r="BC378" s="988"/>
      <c r="BE378" s="988"/>
      <c r="BF378" s="988"/>
      <c r="BG378" s="988"/>
    </row>
    <row r="379" spans="18:59" x14ac:dyDescent="0.3">
      <c r="R379" s="988"/>
      <c r="S379" s="988"/>
      <c r="W379" s="988"/>
      <c r="X379" s="988"/>
      <c r="AE379" s="988"/>
      <c r="AF379" s="988"/>
      <c r="AV379" s="988"/>
      <c r="AW379" s="988"/>
      <c r="AX379" s="988"/>
      <c r="AY379" s="988"/>
      <c r="AZ379" s="988"/>
      <c r="BA379" s="988"/>
      <c r="BC379" s="988"/>
      <c r="BE379" s="988"/>
      <c r="BF379" s="988"/>
      <c r="BG379" s="988"/>
    </row>
    <row r="380" spans="18:59" x14ac:dyDescent="0.3">
      <c r="R380" s="988"/>
      <c r="S380" s="988"/>
      <c r="W380" s="988"/>
      <c r="X380" s="988"/>
      <c r="AE380" s="988"/>
      <c r="AF380" s="988"/>
      <c r="AV380" s="988"/>
      <c r="AW380" s="988"/>
      <c r="AX380" s="988"/>
      <c r="AY380" s="988"/>
      <c r="AZ380" s="988"/>
      <c r="BA380" s="988"/>
      <c r="BC380" s="988"/>
      <c r="BE380" s="988"/>
      <c r="BF380" s="988"/>
      <c r="BG380" s="988"/>
    </row>
    <row r="381" spans="18:59" x14ac:dyDescent="0.3">
      <c r="R381" s="988"/>
      <c r="S381" s="988"/>
      <c r="W381" s="988"/>
      <c r="X381" s="988"/>
      <c r="AE381" s="988"/>
      <c r="AF381" s="988"/>
      <c r="AV381" s="988"/>
      <c r="AW381" s="988"/>
      <c r="AX381" s="988"/>
      <c r="AY381" s="988"/>
      <c r="AZ381" s="988"/>
      <c r="BA381" s="988"/>
      <c r="BC381" s="988"/>
      <c r="BE381" s="988"/>
      <c r="BF381" s="988"/>
      <c r="BG381" s="988"/>
    </row>
    <row r="382" spans="18:59" x14ac:dyDescent="0.3">
      <c r="R382" s="988"/>
      <c r="S382" s="988"/>
      <c r="W382" s="988"/>
      <c r="X382" s="988"/>
      <c r="AE382" s="988"/>
      <c r="AF382" s="988"/>
      <c r="AV382" s="988"/>
      <c r="AW382" s="988"/>
      <c r="AX382" s="988"/>
      <c r="AY382" s="988"/>
      <c r="AZ382" s="988"/>
      <c r="BA382" s="988"/>
      <c r="BC382" s="988"/>
      <c r="BE382" s="988"/>
      <c r="BF382" s="988"/>
      <c r="BG382" s="988"/>
    </row>
    <row r="383" spans="18:59" x14ac:dyDescent="0.3">
      <c r="R383" s="988"/>
      <c r="S383" s="988"/>
      <c r="W383" s="988"/>
      <c r="X383" s="988"/>
      <c r="AE383" s="988"/>
      <c r="AF383" s="988"/>
      <c r="AV383" s="988"/>
      <c r="AW383" s="988"/>
      <c r="AX383" s="988"/>
      <c r="AY383" s="988"/>
      <c r="AZ383" s="988"/>
      <c r="BA383" s="988"/>
      <c r="BC383" s="988"/>
      <c r="BE383" s="988"/>
      <c r="BF383" s="988"/>
      <c r="BG383" s="988"/>
    </row>
    <row r="384" spans="18:59" x14ac:dyDescent="0.3">
      <c r="R384" s="988"/>
      <c r="S384" s="988"/>
      <c r="W384" s="988"/>
      <c r="X384" s="988"/>
      <c r="AE384" s="988"/>
      <c r="AF384" s="988"/>
      <c r="AV384" s="988"/>
      <c r="AW384" s="988"/>
      <c r="AX384" s="988"/>
      <c r="AY384" s="988"/>
      <c r="AZ384" s="988"/>
      <c r="BA384" s="988"/>
      <c r="BC384" s="988"/>
      <c r="BE384" s="988"/>
      <c r="BF384" s="988"/>
      <c r="BG384" s="988"/>
    </row>
    <row r="385" spans="18:59" x14ac:dyDescent="0.3">
      <c r="R385" s="988"/>
      <c r="S385" s="988"/>
      <c r="W385" s="988"/>
      <c r="X385" s="988"/>
      <c r="AE385" s="988"/>
      <c r="AF385" s="988"/>
      <c r="AV385" s="988"/>
      <c r="AW385" s="988"/>
      <c r="AX385" s="988"/>
      <c r="AY385" s="988"/>
      <c r="AZ385" s="988"/>
      <c r="BA385" s="988"/>
      <c r="BC385" s="988"/>
      <c r="BE385" s="988"/>
      <c r="BF385" s="988"/>
      <c r="BG385" s="988"/>
    </row>
    <row r="386" spans="18:59" x14ac:dyDescent="0.3">
      <c r="R386" s="988"/>
      <c r="S386" s="988"/>
      <c r="W386" s="988"/>
      <c r="X386" s="988"/>
      <c r="AE386" s="988"/>
      <c r="AF386" s="988"/>
      <c r="AV386" s="988"/>
      <c r="AW386" s="988"/>
      <c r="AX386" s="988"/>
      <c r="AY386" s="988"/>
      <c r="AZ386" s="988"/>
      <c r="BA386" s="988"/>
      <c r="BC386" s="988"/>
      <c r="BE386" s="988"/>
      <c r="BF386" s="988"/>
      <c r="BG386" s="988"/>
    </row>
    <row r="387" spans="18:59" x14ac:dyDescent="0.3">
      <c r="R387" s="988"/>
      <c r="S387" s="988"/>
      <c r="W387" s="988"/>
      <c r="X387" s="988"/>
      <c r="AE387" s="988"/>
      <c r="AF387" s="988"/>
      <c r="AV387" s="988"/>
      <c r="AW387" s="988"/>
      <c r="AX387" s="988"/>
      <c r="AY387" s="988"/>
      <c r="AZ387" s="988"/>
      <c r="BA387" s="988"/>
      <c r="BC387" s="988"/>
      <c r="BE387" s="988"/>
      <c r="BF387" s="988"/>
      <c r="BG387" s="988"/>
    </row>
    <row r="388" spans="18:59" x14ac:dyDescent="0.3">
      <c r="R388" s="988"/>
      <c r="S388" s="988"/>
      <c r="W388" s="988"/>
      <c r="X388" s="988"/>
      <c r="AE388" s="988"/>
      <c r="AF388" s="988"/>
      <c r="AV388" s="988"/>
      <c r="AW388" s="988"/>
      <c r="AX388" s="988"/>
      <c r="AY388" s="988"/>
      <c r="AZ388" s="988"/>
      <c r="BA388" s="988"/>
      <c r="BC388" s="988"/>
      <c r="BE388" s="988"/>
      <c r="BF388" s="988"/>
      <c r="BG388" s="988"/>
    </row>
    <row r="389" spans="18:59" x14ac:dyDescent="0.3">
      <c r="R389" s="988"/>
      <c r="S389" s="988"/>
      <c r="W389" s="988"/>
      <c r="X389" s="988"/>
      <c r="AE389" s="988"/>
      <c r="AF389" s="988"/>
      <c r="AV389" s="988"/>
      <c r="AW389" s="988"/>
      <c r="AX389" s="988"/>
      <c r="AY389" s="988"/>
      <c r="AZ389" s="988"/>
      <c r="BA389" s="988"/>
      <c r="BC389" s="988"/>
      <c r="BE389" s="988"/>
      <c r="BF389" s="988"/>
      <c r="BG389" s="988"/>
    </row>
    <row r="390" spans="18:59" x14ac:dyDescent="0.3">
      <c r="R390" s="988"/>
      <c r="S390" s="988"/>
      <c r="W390" s="988"/>
      <c r="X390" s="988"/>
      <c r="AE390" s="988"/>
      <c r="AF390" s="988"/>
      <c r="AV390" s="988"/>
      <c r="AW390" s="988"/>
      <c r="AX390" s="988"/>
      <c r="AY390" s="988"/>
      <c r="AZ390" s="988"/>
      <c r="BA390" s="988"/>
      <c r="BC390" s="988"/>
      <c r="BE390" s="988"/>
      <c r="BF390" s="988"/>
      <c r="BG390" s="988"/>
    </row>
    <row r="391" spans="18:59" x14ac:dyDescent="0.3">
      <c r="R391" s="988"/>
      <c r="S391" s="988"/>
      <c r="W391" s="988"/>
      <c r="X391" s="988"/>
      <c r="AE391" s="988"/>
      <c r="AF391" s="988"/>
      <c r="AV391" s="988"/>
      <c r="AW391" s="988"/>
      <c r="AX391" s="988"/>
      <c r="AY391" s="988"/>
      <c r="AZ391" s="988"/>
      <c r="BA391" s="988"/>
      <c r="BC391" s="988"/>
      <c r="BE391" s="988"/>
      <c r="BF391" s="988"/>
      <c r="BG391" s="988"/>
    </row>
    <row r="392" spans="18:59" x14ac:dyDescent="0.3">
      <c r="R392" s="988"/>
      <c r="S392" s="988"/>
      <c r="W392" s="988"/>
      <c r="X392" s="988"/>
      <c r="AE392" s="988"/>
      <c r="AF392" s="988"/>
      <c r="AV392" s="988"/>
      <c r="AW392" s="988"/>
      <c r="AX392" s="988"/>
      <c r="AY392" s="988"/>
      <c r="AZ392" s="988"/>
      <c r="BA392" s="988"/>
      <c r="BC392" s="988"/>
      <c r="BE392" s="988"/>
      <c r="BF392" s="988"/>
      <c r="BG392" s="988"/>
    </row>
    <row r="393" spans="18:59" x14ac:dyDescent="0.3">
      <c r="R393" s="988"/>
      <c r="S393" s="988"/>
      <c r="W393" s="988"/>
      <c r="X393" s="988"/>
      <c r="AE393" s="988"/>
      <c r="AF393" s="988"/>
      <c r="AV393" s="988"/>
      <c r="AW393" s="988"/>
      <c r="AX393" s="988"/>
      <c r="AY393" s="988"/>
      <c r="AZ393" s="988"/>
      <c r="BA393" s="988"/>
      <c r="BC393" s="988"/>
      <c r="BE393" s="988"/>
      <c r="BF393" s="988"/>
      <c r="BG393" s="988"/>
    </row>
    <row r="394" spans="18:59" x14ac:dyDescent="0.3">
      <c r="R394" s="988"/>
      <c r="S394" s="988"/>
      <c r="W394" s="988"/>
      <c r="X394" s="988"/>
      <c r="AE394" s="988"/>
      <c r="AF394" s="988"/>
      <c r="AV394" s="988"/>
      <c r="AW394" s="988"/>
      <c r="AX394" s="988"/>
      <c r="AY394" s="988"/>
      <c r="AZ394" s="988"/>
      <c r="BA394" s="988"/>
      <c r="BC394" s="988"/>
      <c r="BE394" s="988"/>
      <c r="BF394" s="988"/>
      <c r="BG394" s="988"/>
    </row>
    <row r="395" spans="18:59" x14ac:dyDescent="0.3">
      <c r="R395" s="988"/>
      <c r="S395" s="988"/>
      <c r="W395" s="988"/>
      <c r="X395" s="988"/>
      <c r="AE395" s="988"/>
      <c r="AF395" s="988"/>
      <c r="AV395" s="988"/>
      <c r="AW395" s="988"/>
      <c r="AX395" s="988"/>
      <c r="AY395" s="988"/>
      <c r="AZ395" s="988"/>
      <c r="BA395" s="988"/>
      <c r="BC395" s="988"/>
      <c r="BE395" s="988"/>
      <c r="BF395" s="988"/>
      <c r="BG395" s="988"/>
    </row>
    <row r="396" spans="18:59" x14ac:dyDescent="0.3">
      <c r="R396" s="988"/>
      <c r="S396" s="988"/>
      <c r="W396" s="988"/>
      <c r="X396" s="988"/>
      <c r="AE396" s="988"/>
      <c r="AF396" s="988"/>
      <c r="AV396" s="988"/>
      <c r="AW396" s="988"/>
      <c r="AX396" s="988"/>
      <c r="AY396" s="988"/>
      <c r="AZ396" s="988"/>
      <c r="BA396" s="988"/>
      <c r="BC396" s="988"/>
      <c r="BE396" s="988"/>
      <c r="BF396" s="988"/>
      <c r="BG396" s="988"/>
    </row>
    <row r="397" spans="18:59" x14ac:dyDescent="0.3">
      <c r="R397" s="988"/>
      <c r="S397" s="988"/>
      <c r="W397" s="988"/>
      <c r="X397" s="988"/>
      <c r="AE397" s="988"/>
      <c r="AF397" s="988"/>
      <c r="AV397" s="988"/>
      <c r="AW397" s="988"/>
      <c r="AX397" s="988"/>
      <c r="AY397" s="988"/>
      <c r="AZ397" s="988"/>
      <c r="BA397" s="988"/>
      <c r="BC397" s="988"/>
      <c r="BE397" s="988"/>
      <c r="BF397" s="988"/>
      <c r="BG397" s="988"/>
    </row>
    <row r="398" spans="18:59" x14ac:dyDescent="0.3">
      <c r="R398" s="988"/>
      <c r="S398" s="988"/>
      <c r="W398" s="988"/>
      <c r="X398" s="988"/>
      <c r="AE398" s="988"/>
      <c r="AF398" s="988"/>
      <c r="AV398" s="988"/>
      <c r="AW398" s="988"/>
      <c r="AX398" s="988"/>
      <c r="AY398" s="988"/>
      <c r="AZ398" s="988"/>
      <c r="BA398" s="988"/>
      <c r="BC398" s="988"/>
      <c r="BE398" s="988"/>
      <c r="BF398" s="988"/>
      <c r="BG398" s="988"/>
    </row>
    <row r="399" spans="18:59" x14ac:dyDescent="0.3">
      <c r="R399" s="988"/>
      <c r="S399" s="988"/>
      <c r="W399" s="988"/>
      <c r="X399" s="988"/>
      <c r="AE399" s="988"/>
      <c r="AF399" s="988"/>
      <c r="AV399" s="988"/>
      <c r="AW399" s="988"/>
      <c r="AX399" s="988"/>
      <c r="AY399" s="988"/>
      <c r="AZ399" s="988"/>
      <c r="BA399" s="988"/>
      <c r="BC399" s="988"/>
      <c r="BE399" s="988"/>
      <c r="BF399" s="988"/>
      <c r="BG399" s="988"/>
    </row>
    <row r="400" spans="18:59" x14ac:dyDescent="0.3">
      <c r="R400" s="988"/>
      <c r="S400" s="988"/>
      <c r="W400" s="988"/>
      <c r="X400" s="988"/>
      <c r="AE400" s="988"/>
      <c r="AF400" s="988"/>
      <c r="AV400" s="988"/>
      <c r="AW400" s="988"/>
      <c r="AX400" s="988"/>
      <c r="AY400" s="988"/>
      <c r="AZ400" s="988"/>
      <c r="BA400" s="988"/>
      <c r="BC400" s="988"/>
      <c r="BE400" s="988"/>
      <c r="BF400" s="988"/>
      <c r="BG400" s="988"/>
    </row>
    <row r="401" spans="18:59" x14ac:dyDescent="0.3">
      <c r="R401" s="988"/>
      <c r="S401" s="988"/>
      <c r="W401" s="988"/>
      <c r="X401" s="988"/>
      <c r="AE401" s="988"/>
      <c r="AF401" s="988"/>
      <c r="AV401" s="988"/>
      <c r="AW401" s="988"/>
      <c r="AX401" s="988"/>
      <c r="AY401" s="988"/>
      <c r="AZ401" s="988"/>
      <c r="BA401" s="988"/>
      <c r="BC401" s="988"/>
      <c r="BE401" s="988"/>
      <c r="BF401" s="988"/>
      <c r="BG401" s="988"/>
    </row>
    <row r="402" spans="18:59" x14ac:dyDescent="0.3">
      <c r="R402" s="988"/>
      <c r="S402" s="988"/>
      <c r="W402" s="988"/>
      <c r="X402" s="988"/>
      <c r="AE402" s="988"/>
      <c r="AF402" s="988"/>
      <c r="AV402" s="988"/>
      <c r="AW402" s="988"/>
      <c r="AX402" s="988"/>
      <c r="AY402" s="988"/>
      <c r="AZ402" s="988"/>
      <c r="BA402" s="988"/>
      <c r="BC402" s="988"/>
      <c r="BE402" s="988"/>
      <c r="BF402" s="988"/>
      <c r="BG402" s="988"/>
    </row>
    <row r="403" spans="18:59" x14ac:dyDescent="0.3">
      <c r="R403" s="988"/>
      <c r="S403" s="988"/>
      <c r="W403" s="988"/>
      <c r="X403" s="988"/>
      <c r="AE403" s="988"/>
      <c r="AF403" s="988"/>
      <c r="AV403" s="988"/>
      <c r="AW403" s="988"/>
      <c r="AX403" s="988"/>
      <c r="AY403" s="988"/>
      <c r="AZ403" s="988"/>
      <c r="BA403" s="988"/>
      <c r="BC403" s="988"/>
      <c r="BE403" s="988"/>
      <c r="BF403" s="988"/>
      <c r="BG403" s="988"/>
    </row>
    <row r="404" spans="18:59" x14ac:dyDescent="0.3">
      <c r="R404" s="988"/>
      <c r="S404" s="988"/>
      <c r="W404" s="988"/>
      <c r="X404" s="988"/>
      <c r="AE404" s="988"/>
      <c r="AF404" s="988"/>
      <c r="AV404" s="988"/>
      <c r="AW404" s="988"/>
      <c r="AX404" s="988"/>
      <c r="AY404" s="988"/>
      <c r="AZ404" s="988"/>
      <c r="BA404" s="988"/>
      <c r="BC404" s="988"/>
      <c r="BE404" s="988"/>
      <c r="BF404" s="988"/>
      <c r="BG404" s="988"/>
    </row>
    <row r="405" spans="18:59" x14ac:dyDescent="0.3">
      <c r="R405" s="988"/>
      <c r="S405" s="988"/>
      <c r="W405" s="988"/>
      <c r="X405" s="988"/>
      <c r="AE405" s="988"/>
      <c r="AF405" s="988"/>
      <c r="AV405" s="988"/>
      <c r="AW405" s="988"/>
      <c r="AX405" s="988"/>
      <c r="AY405" s="988"/>
      <c r="AZ405" s="988"/>
      <c r="BA405" s="988"/>
      <c r="BC405" s="988"/>
      <c r="BE405" s="988"/>
      <c r="BF405" s="988"/>
      <c r="BG405" s="988"/>
    </row>
    <row r="406" spans="18:59" x14ac:dyDescent="0.3">
      <c r="R406" s="988"/>
      <c r="S406" s="988"/>
      <c r="W406" s="988"/>
      <c r="X406" s="988"/>
      <c r="AE406" s="988"/>
      <c r="AF406" s="988"/>
      <c r="AV406" s="988"/>
      <c r="AW406" s="988"/>
      <c r="AX406" s="988"/>
      <c r="AY406" s="988"/>
      <c r="AZ406" s="988"/>
      <c r="BA406" s="988"/>
      <c r="BC406" s="988"/>
      <c r="BE406" s="988"/>
      <c r="BF406" s="988"/>
      <c r="BG406" s="988"/>
    </row>
    <row r="407" spans="18:59" x14ac:dyDescent="0.3">
      <c r="R407" s="988"/>
      <c r="S407" s="988"/>
      <c r="W407" s="988"/>
      <c r="X407" s="988"/>
      <c r="AE407" s="988"/>
      <c r="AF407" s="988"/>
      <c r="AV407" s="988"/>
      <c r="AW407" s="988"/>
      <c r="AX407" s="988"/>
      <c r="AY407" s="988"/>
      <c r="AZ407" s="988"/>
      <c r="BA407" s="988"/>
      <c r="BC407" s="988"/>
      <c r="BE407" s="988"/>
      <c r="BF407" s="988"/>
      <c r="BG407" s="988"/>
    </row>
    <row r="408" spans="18:59" x14ac:dyDescent="0.3">
      <c r="R408" s="988"/>
      <c r="S408" s="988"/>
      <c r="W408" s="988"/>
      <c r="X408" s="988"/>
      <c r="AE408" s="988"/>
      <c r="AF408" s="988"/>
      <c r="AV408" s="988"/>
      <c r="AW408" s="988"/>
      <c r="AX408" s="988"/>
      <c r="AY408" s="988"/>
      <c r="AZ408" s="988"/>
      <c r="BA408" s="988"/>
      <c r="BC408" s="988"/>
      <c r="BE408" s="988"/>
      <c r="BF408" s="988"/>
      <c r="BG408" s="988"/>
    </row>
    <row r="409" spans="18:59" x14ac:dyDescent="0.3">
      <c r="R409" s="988"/>
      <c r="S409" s="988"/>
      <c r="W409" s="988"/>
      <c r="X409" s="988"/>
      <c r="AE409" s="988"/>
      <c r="AF409" s="988"/>
      <c r="AV409" s="988"/>
      <c r="AW409" s="988"/>
      <c r="AX409" s="988"/>
      <c r="AY409" s="988"/>
      <c r="AZ409" s="988"/>
      <c r="BA409" s="988"/>
      <c r="BC409" s="988"/>
      <c r="BE409" s="988"/>
      <c r="BF409" s="988"/>
      <c r="BG409" s="988"/>
    </row>
    <row r="410" spans="18:59" x14ac:dyDescent="0.3">
      <c r="R410" s="988"/>
      <c r="S410" s="988"/>
      <c r="W410" s="988"/>
      <c r="X410" s="988"/>
      <c r="AE410" s="988"/>
      <c r="AF410" s="988"/>
      <c r="AV410" s="988"/>
      <c r="AW410" s="988"/>
      <c r="AX410" s="988"/>
      <c r="AY410" s="988"/>
      <c r="AZ410" s="988"/>
      <c r="BA410" s="988"/>
      <c r="BC410" s="988"/>
      <c r="BE410" s="988"/>
      <c r="BF410" s="988"/>
      <c r="BG410" s="988"/>
    </row>
    <row r="411" spans="18:59" x14ac:dyDescent="0.3">
      <c r="R411" s="988"/>
      <c r="S411" s="988"/>
      <c r="W411" s="988"/>
      <c r="X411" s="988"/>
      <c r="AE411" s="988"/>
      <c r="AF411" s="988"/>
      <c r="AV411" s="988"/>
      <c r="AW411" s="988"/>
      <c r="AX411" s="988"/>
      <c r="AY411" s="988"/>
      <c r="AZ411" s="988"/>
      <c r="BA411" s="988"/>
      <c r="BC411" s="988"/>
      <c r="BE411" s="988"/>
      <c r="BF411" s="988"/>
      <c r="BG411" s="988"/>
    </row>
    <row r="412" spans="18:59" x14ac:dyDescent="0.3">
      <c r="R412" s="988"/>
      <c r="S412" s="988"/>
      <c r="W412" s="988"/>
      <c r="X412" s="988"/>
      <c r="AE412" s="988"/>
      <c r="AF412" s="988"/>
      <c r="AV412" s="988"/>
      <c r="AW412" s="988"/>
      <c r="AX412" s="988"/>
      <c r="AY412" s="988"/>
      <c r="AZ412" s="988"/>
      <c r="BA412" s="988"/>
      <c r="BC412" s="988"/>
      <c r="BE412" s="988"/>
      <c r="BF412" s="988"/>
      <c r="BG412" s="988"/>
    </row>
    <row r="413" spans="18:59" x14ac:dyDescent="0.3">
      <c r="R413" s="988"/>
      <c r="S413" s="988"/>
      <c r="W413" s="988"/>
      <c r="X413" s="988"/>
      <c r="AE413" s="988"/>
      <c r="AF413" s="988"/>
      <c r="AV413" s="988"/>
      <c r="AW413" s="988"/>
      <c r="AX413" s="988"/>
      <c r="AY413" s="988"/>
      <c r="AZ413" s="988"/>
      <c r="BA413" s="988"/>
      <c r="BC413" s="988"/>
      <c r="BE413" s="988"/>
      <c r="BF413" s="988"/>
      <c r="BG413" s="988"/>
    </row>
    <row r="414" spans="18:59" x14ac:dyDescent="0.3">
      <c r="R414" s="988"/>
      <c r="S414" s="988"/>
      <c r="W414" s="988"/>
      <c r="X414" s="988"/>
      <c r="AE414" s="988"/>
      <c r="AF414" s="988"/>
      <c r="AV414" s="988"/>
      <c r="AW414" s="988"/>
      <c r="AX414" s="988"/>
      <c r="AY414" s="988"/>
      <c r="AZ414" s="988"/>
      <c r="BA414" s="988"/>
      <c r="BC414" s="988"/>
      <c r="BE414" s="988"/>
      <c r="BF414" s="988"/>
      <c r="BG414" s="988"/>
    </row>
    <row r="415" spans="18:59" x14ac:dyDescent="0.3">
      <c r="R415" s="988"/>
      <c r="S415" s="988"/>
      <c r="W415" s="988"/>
      <c r="X415" s="988"/>
      <c r="AE415" s="988"/>
      <c r="AF415" s="988"/>
      <c r="AV415" s="988"/>
      <c r="AW415" s="988"/>
      <c r="AX415" s="988"/>
      <c r="AY415" s="988"/>
      <c r="AZ415" s="988"/>
      <c r="BA415" s="988"/>
      <c r="BC415" s="988"/>
      <c r="BE415" s="988"/>
      <c r="BF415" s="988"/>
      <c r="BG415" s="988"/>
    </row>
    <row r="416" spans="18:59" x14ac:dyDescent="0.3">
      <c r="R416" s="988"/>
      <c r="S416" s="988"/>
      <c r="W416" s="988"/>
      <c r="X416" s="988"/>
      <c r="AE416" s="988"/>
      <c r="AF416" s="988"/>
      <c r="AV416" s="988"/>
      <c r="AW416" s="988"/>
      <c r="AX416" s="988"/>
      <c r="AY416" s="988"/>
      <c r="AZ416" s="988"/>
      <c r="BA416" s="988"/>
      <c r="BC416" s="988"/>
      <c r="BE416" s="988"/>
      <c r="BF416" s="988"/>
      <c r="BG416" s="988"/>
    </row>
    <row r="417" spans="18:59" x14ac:dyDescent="0.3">
      <c r="R417" s="988"/>
      <c r="S417" s="988"/>
      <c r="W417" s="988"/>
      <c r="X417" s="988"/>
      <c r="AE417" s="988"/>
      <c r="AF417" s="988"/>
      <c r="AV417" s="988"/>
      <c r="AW417" s="988"/>
      <c r="AX417" s="988"/>
      <c r="AY417" s="988"/>
      <c r="AZ417" s="988"/>
      <c r="BA417" s="988"/>
      <c r="BC417" s="988"/>
      <c r="BE417" s="988"/>
      <c r="BF417" s="988"/>
      <c r="BG417" s="988"/>
    </row>
    <row r="418" spans="18:59" x14ac:dyDescent="0.3">
      <c r="R418" s="988"/>
      <c r="S418" s="988"/>
      <c r="W418" s="988"/>
      <c r="X418" s="988"/>
      <c r="AE418" s="988"/>
      <c r="AF418" s="988"/>
      <c r="AV418" s="988"/>
      <c r="AW418" s="988"/>
      <c r="AX418" s="988"/>
      <c r="AY418" s="988"/>
      <c r="AZ418" s="988"/>
      <c r="BA418" s="988"/>
      <c r="BC418" s="988"/>
      <c r="BE418" s="988"/>
      <c r="BF418" s="988"/>
      <c r="BG418" s="988"/>
    </row>
    <row r="419" spans="18:59" x14ac:dyDescent="0.3">
      <c r="R419" s="988"/>
      <c r="S419" s="988"/>
      <c r="W419" s="988"/>
      <c r="X419" s="988"/>
      <c r="AE419" s="988"/>
      <c r="AF419" s="988"/>
      <c r="AV419" s="988"/>
      <c r="AW419" s="988"/>
      <c r="AX419" s="988"/>
      <c r="AY419" s="988"/>
      <c r="AZ419" s="988"/>
      <c r="BA419" s="988"/>
      <c r="BC419" s="988"/>
      <c r="BE419" s="988"/>
      <c r="BF419" s="988"/>
      <c r="BG419" s="988"/>
    </row>
    <row r="420" spans="18:59" x14ac:dyDescent="0.3">
      <c r="R420" s="988"/>
      <c r="S420" s="988"/>
      <c r="W420" s="988"/>
      <c r="X420" s="988"/>
      <c r="AE420" s="988"/>
      <c r="AF420" s="988"/>
      <c r="AV420" s="988"/>
      <c r="AW420" s="988"/>
      <c r="AX420" s="988"/>
      <c r="AY420" s="988"/>
      <c r="AZ420" s="988"/>
      <c r="BA420" s="988"/>
      <c r="BC420" s="988"/>
      <c r="BE420" s="988"/>
      <c r="BF420" s="988"/>
      <c r="BG420" s="988"/>
    </row>
    <row r="421" spans="18:59" x14ac:dyDescent="0.3">
      <c r="R421" s="988"/>
      <c r="S421" s="988"/>
      <c r="W421" s="988"/>
      <c r="X421" s="988"/>
      <c r="AE421" s="988"/>
      <c r="AF421" s="988"/>
      <c r="AV421" s="988"/>
      <c r="AW421" s="988"/>
      <c r="AX421" s="988"/>
      <c r="AY421" s="988"/>
      <c r="AZ421" s="988"/>
      <c r="BA421" s="988"/>
      <c r="BC421" s="988"/>
      <c r="BE421" s="988"/>
      <c r="BF421" s="988"/>
      <c r="BG421" s="988"/>
    </row>
    <row r="422" spans="18:59" x14ac:dyDescent="0.3">
      <c r="R422" s="988"/>
      <c r="S422" s="988"/>
      <c r="W422" s="988"/>
      <c r="X422" s="988"/>
      <c r="AE422" s="988"/>
      <c r="AF422" s="988"/>
      <c r="AV422" s="988"/>
      <c r="AW422" s="988"/>
      <c r="AX422" s="988"/>
      <c r="AY422" s="988"/>
      <c r="AZ422" s="988"/>
      <c r="BA422" s="988"/>
      <c r="BC422" s="988"/>
      <c r="BE422" s="988"/>
      <c r="BF422" s="988"/>
      <c r="BG422" s="988"/>
    </row>
    <row r="423" spans="18:59" x14ac:dyDescent="0.3">
      <c r="R423" s="988"/>
      <c r="S423" s="988"/>
      <c r="W423" s="988"/>
      <c r="X423" s="988"/>
      <c r="AE423" s="988"/>
      <c r="AF423" s="988"/>
      <c r="AV423" s="988"/>
      <c r="AW423" s="988"/>
      <c r="AX423" s="988"/>
      <c r="AY423" s="988"/>
      <c r="AZ423" s="988"/>
      <c r="BA423" s="988"/>
      <c r="BC423" s="988"/>
      <c r="BE423" s="988"/>
      <c r="BF423" s="988"/>
      <c r="BG423" s="988"/>
    </row>
    <row r="424" spans="18:59" x14ac:dyDescent="0.3">
      <c r="R424" s="988"/>
      <c r="S424" s="988"/>
      <c r="W424" s="988"/>
      <c r="X424" s="988"/>
      <c r="AE424" s="988"/>
      <c r="AF424" s="988"/>
      <c r="AV424" s="988"/>
      <c r="AW424" s="988"/>
      <c r="AX424" s="988"/>
      <c r="AY424" s="988"/>
      <c r="AZ424" s="988"/>
      <c r="BA424" s="988"/>
      <c r="BC424" s="988"/>
      <c r="BE424" s="988"/>
      <c r="BF424" s="988"/>
      <c r="BG424" s="988"/>
    </row>
    <row r="425" spans="18:59" x14ac:dyDescent="0.3">
      <c r="R425" s="988"/>
      <c r="S425" s="988"/>
      <c r="W425" s="988"/>
      <c r="X425" s="988"/>
      <c r="AE425" s="988"/>
      <c r="AF425" s="988"/>
      <c r="AV425" s="988"/>
      <c r="AW425" s="988"/>
      <c r="AX425" s="988"/>
      <c r="AY425" s="988"/>
      <c r="AZ425" s="988"/>
      <c r="BA425" s="988"/>
      <c r="BC425" s="988"/>
      <c r="BE425" s="988"/>
      <c r="BF425" s="988"/>
      <c r="BG425" s="988"/>
    </row>
    <row r="426" spans="18:59" x14ac:dyDescent="0.3">
      <c r="R426" s="988"/>
      <c r="S426" s="988"/>
      <c r="W426" s="988"/>
      <c r="X426" s="988"/>
      <c r="AE426" s="988"/>
      <c r="AF426" s="988"/>
      <c r="AV426" s="988"/>
      <c r="AW426" s="988"/>
      <c r="AX426" s="988"/>
      <c r="AY426" s="988"/>
      <c r="AZ426" s="988"/>
      <c r="BA426" s="988"/>
      <c r="BC426" s="988"/>
      <c r="BE426" s="988"/>
      <c r="BF426" s="988"/>
      <c r="BG426" s="988"/>
    </row>
    <row r="427" spans="18:59" x14ac:dyDescent="0.3">
      <c r="R427" s="988"/>
      <c r="S427" s="988"/>
      <c r="W427" s="988"/>
      <c r="X427" s="988"/>
      <c r="AE427" s="988"/>
      <c r="AF427" s="988"/>
      <c r="AV427" s="988"/>
      <c r="AW427" s="988"/>
      <c r="AX427" s="988"/>
      <c r="AY427" s="988"/>
      <c r="AZ427" s="988"/>
      <c r="BA427" s="988"/>
      <c r="BC427" s="988"/>
      <c r="BE427" s="988"/>
      <c r="BF427" s="988"/>
      <c r="BG427" s="988"/>
    </row>
    <row r="428" spans="18:59" x14ac:dyDescent="0.3">
      <c r="R428" s="988"/>
      <c r="S428" s="988"/>
      <c r="W428" s="988"/>
      <c r="X428" s="988"/>
      <c r="AE428" s="988"/>
      <c r="AF428" s="988"/>
      <c r="AV428" s="988"/>
      <c r="AW428" s="988"/>
      <c r="AX428" s="988"/>
      <c r="AY428" s="988"/>
      <c r="AZ428" s="988"/>
      <c r="BA428" s="988"/>
      <c r="BC428" s="988"/>
      <c r="BE428" s="988"/>
      <c r="BF428" s="988"/>
      <c r="BG428" s="988"/>
    </row>
    <row r="429" spans="18:59" x14ac:dyDescent="0.3">
      <c r="R429" s="988"/>
      <c r="S429" s="988"/>
      <c r="W429" s="988"/>
      <c r="X429" s="988"/>
      <c r="AE429" s="988"/>
      <c r="AF429" s="988"/>
      <c r="AV429" s="988"/>
      <c r="AW429" s="988"/>
      <c r="AX429" s="988"/>
      <c r="AY429" s="988"/>
      <c r="AZ429" s="988"/>
      <c r="BA429" s="988"/>
      <c r="BC429" s="988"/>
      <c r="BE429" s="988"/>
      <c r="BF429" s="988"/>
      <c r="BG429" s="988"/>
    </row>
    <row r="430" spans="18:59" x14ac:dyDescent="0.3">
      <c r="R430" s="988"/>
      <c r="S430" s="988"/>
      <c r="W430" s="988"/>
      <c r="X430" s="988"/>
      <c r="AE430" s="988"/>
      <c r="AF430" s="988"/>
      <c r="AV430" s="988"/>
      <c r="AW430" s="988"/>
      <c r="AX430" s="988"/>
      <c r="AY430" s="988"/>
      <c r="AZ430" s="988"/>
      <c r="BA430" s="988"/>
      <c r="BC430" s="988"/>
      <c r="BE430" s="988"/>
      <c r="BF430" s="988"/>
      <c r="BG430" s="988"/>
    </row>
    <row r="431" spans="18:59" x14ac:dyDescent="0.3">
      <c r="R431" s="988"/>
      <c r="S431" s="988"/>
      <c r="W431" s="988"/>
      <c r="X431" s="988"/>
      <c r="AE431" s="988"/>
      <c r="AF431" s="988"/>
      <c r="AV431" s="988"/>
      <c r="AW431" s="988"/>
      <c r="AX431" s="988"/>
      <c r="AY431" s="988"/>
      <c r="AZ431" s="988"/>
      <c r="BA431" s="988"/>
      <c r="BC431" s="988"/>
      <c r="BE431" s="988"/>
      <c r="BF431" s="988"/>
      <c r="BG431" s="988"/>
    </row>
    <row r="432" spans="18:59" x14ac:dyDescent="0.3">
      <c r="R432" s="988"/>
      <c r="S432" s="988"/>
      <c r="W432" s="988"/>
      <c r="X432" s="988"/>
      <c r="AE432" s="988"/>
      <c r="AF432" s="988"/>
      <c r="AV432" s="988"/>
      <c r="AW432" s="988"/>
      <c r="AX432" s="988"/>
      <c r="AY432" s="988"/>
      <c r="AZ432" s="988"/>
      <c r="BA432" s="988"/>
      <c r="BC432" s="988"/>
      <c r="BE432" s="988"/>
      <c r="BF432" s="988"/>
      <c r="BG432" s="988"/>
    </row>
    <row r="433" spans="18:59" x14ac:dyDescent="0.3">
      <c r="R433" s="988"/>
      <c r="S433" s="988"/>
      <c r="W433" s="988"/>
      <c r="X433" s="988"/>
      <c r="AE433" s="988"/>
      <c r="AF433" s="988"/>
      <c r="AV433" s="988"/>
      <c r="AW433" s="988"/>
      <c r="AX433" s="988"/>
      <c r="AY433" s="988"/>
      <c r="AZ433" s="988"/>
      <c r="BA433" s="988"/>
      <c r="BC433" s="988"/>
      <c r="BE433" s="988"/>
      <c r="BF433" s="988"/>
      <c r="BG433" s="988"/>
    </row>
    <row r="434" spans="18:59" x14ac:dyDescent="0.3">
      <c r="R434" s="988"/>
      <c r="S434" s="988"/>
      <c r="W434" s="988"/>
      <c r="X434" s="988"/>
      <c r="AE434" s="988"/>
      <c r="AF434" s="988"/>
      <c r="AV434" s="988"/>
      <c r="AW434" s="988"/>
      <c r="AX434" s="988"/>
      <c r="AY434" s="988"/>
      <c r="AZ434" s="988"/>
      <c r="BA434" s="988"/>
      <c r="BC434" s="988"/>
      <c r="BE434" s="988"/>
      <c r="BF434" s="988"/>
      <c r="BG434" s="988"/>
    </row>
    <row r="435" spans="18:59" x14ac:dyDescent="0.3">
      <c r="R435" s="988"/>
      <c r="S435" s="988"/>
      <c r="W435" s="988"/>
      <c r="X435" s="988"/>
      <c r="AE435" s="988"/>
      <c r="AF435" s="988"/>
      <c r="AV435" s="988"/>
      <c r="AW435" s="988"/>
      <c r="AX435" s="988"/>
      <c r="AY435" s="988"/>
      <c r="AZ435" s="988"/>
      <c r="BA435" s="988"/>
      <c r="BC435" s="988"/>
      <c r="BE435" s="988"/>
      <c r="BF435" s="988"/>
      <c r="BG435" s="988"/>
    </row>
    <row r="436" spans="18:59" x14ac:dyDescent="0.3">
      <c r="R436" s="988"/>
      <c r="S436" s="988"/>
      <c r="W436" s="988"/>
      <c r="X436" s="988"/>
      <c r="AE436" s="988"/>
      <c r="AF436" s="988"/>
      <c r="AV436" s="988"/>
      <c r="AW436" s="988"/>
      <c r="AX436" s="988"/>
      <c r="AY436" s="988"/>
      <c r="AZ436" s="988"/>
      <c r="BA436" s="988"/>
      <c r="BC436" s="988"/>
      <c r="BE436" s="988"/>
      <c r="BF436" s="988"/>
      <c r="BG436" s="988"/>
    </row>
    <row r="437" spans="18:59" x14ac:dyDescent="0.3">
      <c r="R437" s="988"/>
      <c r="S437" s="988"/>
      <c r="W437" s="988"/>
      <c r="X437" s="988"/>
      <c r="AE437" s="988"/>
      <c r="AF437" s="988"/>
      <c r="AV437" s="988"/>
      <c r="AW437" s="988"/>
      <c r="AX437" s="988"/>
      <c r="AY437" s="988"/>
      <c r="AZ437" s="988"/>
      <c r="BA437" s="988"/>
      <c r="BC437" s="988"/>
      <c r="BE437" s="988"/>
      <c r="BF437" s="988"/>
      <c r="BG437" s="988"/>
    </row>
    <row r="438" spans="18:59" x14ac:dyDescent="0.3">
      <c r="R438" s="988"/>
      <c r="S438" s="988"/>
      <c r="W438" s="988"/>
      <c r="X438" s="988"/>
      <c r="AE438" s="988"/>
      <c r="AF438" s="988"/>
      <c r="AV438" s="988"/>
      <c r="AW438" s="988"/>
      <c r="AX438" s="988"/>
      <c r="AY438" s="988"/>
      <c r="AZ438" s="988"/>
      <c r="BA438" s="988"/>
      <c r="BC438" s="988"/>
      <c r="BE438" s="988"/>
      <c r="BF438" s="988"/>
      <c r="BG438" s="988"/>
    </row>
    <row r="439" spans="18:59" x14ac:dyDescent="0.3">
      <c r="R439" s="988"/>
      <c r="S439" s="988"/>
      <c r="W439" s="988"/>
      <c r="X439" s="988"/>
      <c r="AE439" s="988"/>
      <c r="AF439" s="988"/>
      <c r="AV439" s="988"/>
      <c r="AW439" s="988"/>
      <c r="AX439" s="988"/>
      <c r="AY439" s="988"/>
      <c r="AZ439" s="988"/>
      <c r="BA439" s="988"/>
      <c r="BC439" s="988"/>
      <c r="BE439" s="988"/>
      <c r="BF439" s="988"/>
      <c r="BG439" s="988"/>
    </row>
    <row r="440" spans="18:59" x14ac:dyDescent="0.3">
      <c r="R440" s="988"/>
      <c r="S440" s="988"/>
      <c r="W440" s="988"/>
      <c r="X440" s="988"/>
      <c r="AE440" s="988"/>
      <c r="AF440" s="988"/>
      <c r="AV440" s="988"/>
      <c r="AW440" s="988"/>
      <c r="AX440" s="988"/>
      <c r="AY440" s="988"/>
      <c r="AZ440" s="988"/>
      <c r="BA440" s="988"/>
      <c r="BC440" s="988"/>
      <c r="BE440" s="988"/>
      <c r="BF440" s="988"/>
      <c r="BG440" s="988"/>
    </row>
    <row r="441" spans="18:59" x14ac:dyDescent="0.3">
      <c r="R441" s="988"/>
      <c r="S441" s="988"/>
      <c r="W441" s="988"/>
      <c r="X441" s="988"/>
      <c r="AE441" s="988"/>
      <c r="AF441" s="988"/>
      <c r="AV441" s="988"/>
      <c r="AW441" s="988"/>
      <c r="AX441" s="988"/>
      <c r="AY441" s="988"/>
      <c r="AZ441" s="988"/>
      <c r="BA441" s="988"/>
      <c r="BC441" s="988"/>
      <c r="BE441" s="988"/>
      <c r="BF441" s="988"/>
      <c r="BG441" s="988"/>
    </row>
    <row r="442" spans="18:59" x14ac:dyDescent="0.3">
      <c r="R442" s="988"/>
      <c r="S442" s="988"/>
      <c r="W442" s="988"/>
      <c r="X442" s="988"/>
      <c r="AE442" s="988"/>
      <c r="AF442" s="988"/>
      <c r="AV442" s="988"/>
      <c r="AW442" s="988"/>
      <c r="AX442" s="988"/>
      <c r="AY442" s="988"/>
      <c r="AZ442" s="988"/>
      <c r="BA442" s="988"/>
      <c r="BC442" s="988"/>
      <c r="BE442" s="988"/>
      <c r="BF442" s="988"/>
      <c r="BG442" s="988"/>
    </row>
    <row r="443" spans="18:59" x14ac:dyDescent="0.3">
      <c r="R443" s="988"/>
      <c r="S443" s="988"/>
      <c r="W443" s="988"/>
      <c r="X443" s="988"/>
      <c r="AE443" s="988"/>
      <c r="AF443" s="988"/>
      <c r="AV443" s="988"/>
      <c r="AW443" s="988"/>
      <c r="AX443" s="988"/>
      <c r="AY443" s="988"/>
      <c r="AZ443" s="988"/>
      <c r="BA443" s="988"/>
      <c r="BC443" s="988"/>
      <c r="BE443" s="988"/>
      <c r="BF443" s="988"/>
      <c r="BG443" s="988"/>
    </row>
    <row r="444" spans="18:59" x14ac:dyDescent="0.3">
      <c r="R444" s="988"/>
      <c r="S444" s="988"/>
      <c r="W444" s="988"/>
      <c r="X444" s="988"/>
      <c r="AE444" s="988"/>
      <c r="AF444" s="988"/>
      <c r="AV444" s="988"/>
      <c r="AW444" s="988"/>
      <c r="AX444" s="988"/>
      <c r="AY444" s="988"/>
      <c r="AZ444" s="988"/>
      <c r="BA444" s="988"/>
      <c r="BC444" s="988"/>
      <c r="BE444" s="988"/>
      <c r="BF444" s="988"/>
      <c r="BG444" s="988"/>
    </row>
    <row r="445" spans="18:59" x14ac:dyDescent="0.3">
      <c r="R445" s="988"/>
      <c r="S445" s="988"/>
      <c r="W445" s="988"/>
      <c r="X445" s="988"/>
      <c r="AE445" s="988"/>
      <c r="AF445" s="988"/>
      <c r="AV445" s="988"/>
      <c r="AW445" s="988"/>
      <c r="AX445" s="988"/>
      <c r="AY445" s="988"/>
      <c r="AZ445" s="988"/>
      <c r="BA445" s="988"/>
      <c r="BC445" s="988"/>
      <c r="BE445" s="988"/>
      <c r="BF445" s="988"/>
      <c r="BG445" s="988"/>
    </row>
    <row r="446" spans="18:59" x14ac:dyDescent="0.3">
      <c r="R446" s="988"/>
      <c r="S446" s="988"/>
      <c r="W446" s="988"/>
      <c r="X446" s="988"/>
      <c r="AE446" s="988"/>
      <c r="AF446" s="988"/>
      <c r="AV446" s="988"/>
      <c r="AW446" s="988"/>
      <c r="AX446" s="988"/>
      <c r="AY446" s="988"/>
      <c r="AZ446" s="988"/>
      <c r="BA446" s="988"/>
      <c r="BC446" s="988"/>
      <c r="BE446" s="988"/>
      <c r="BF446" s="988"/>
      <c r="BG446" s="988"/>
    </row>
    <row r="447" spans="18:59" x14ac:dyDescent="0.3">
      <c r="R447" s="988"/>
      <c r="S447" s="988"/>
      <c r="W447" s="988"/>
      <c r="X447" s="988"/>
      <c r="AE447" s="988"/>
      <c r="AF447" s="988"/>
      <c r="AV447" s="988"/>
      <c r="AW447" s="988"/>
      <c r="AX447" s="988"/>
      <c r="AY447" s="988"/>
      <c r="AZ447" s="988"/>
      <c r="BA447" s="988"/>
      <c r="BC447" s="988"/>
      <c r="BE447" s="988"/>
      <c r="BF447" s="988"/>
      <c r="BG447" s="988"/>
    </row>
    <row r="448" spans="18:59" x14ac:dyDescent="0.3">
      <c r="R448" s="988"/>
      <c r="S448" s="988"/>
      <c r="W448" s="988"/>
      <c r="X448" s="988"/>
      <c r="AE448" s="988"/>
      <c r="AF448" s="988"/>
      <c r="AV448" s="988"/>
      <c r="AW448" s="988"/>
      <c r="AX448" s="988"/>
      <c r="AY448" s="988"/>
      <c r="AZ448" s="988"/>
      <c r="BA448" s="988"/>
      <c r="BC448" s="988"/>
      <c r="BE448" s="988"/>
      <c r="BF448" s="988"/>
      <c r="BG448" s="988"/>
    </row>
    <row r="449" spans="18:59" x14ac:dyDescent="0.3">
      <c r="R449" s="988"/>
      <c r="S449" s="988"/>
      <c r="W449" s="988"/>
      <c r="X449" s="988"/>
      <c r="AE449" s="988"/>
      <c r="AF449" s="988"/>
      <c r="AV449" s="988"/>
      <c r="AW449" s="988"/>
      <c r="AX449" s="988"/>
      <c r="AY449" s="988"/>
      <c r="AZ449" s="988"/>
      <c r="BA449" s="988"/>
      <c r="BC449" s="988"/>
      <c r="BE449" s="988"/>
      <c r="BF449" s="988"/>
      <c r="BG449" s="988"/>
    </row>
    <row r="450" spans="18:59" x14ac:dyDescent="0.3">
      <c r="R450" s="988"/>
      <c r="S450" s="988"/>
      <c r="W450" s="988"/>
      <c r="X450" s="988"/>
      <c r="AE450" s="988"/>
      <c r="AF450" s="988"/>
      <c r="AV450" s="988"/>
      <c r="AW450" s="988"/>
      <c r="AX450" s="988"/>
      <c r="AY450" s="988"/>
      <c r="AZ450" s="988"/>
      <c r="BA450" s="988"/>
      <c r="BC450" s="988"/>
      <c r="BE450" s="988"/>
      <c r="BF450" s="988"/>
      <c r="BG450" s="988"/>
    </row>
    <row r="451" spans="18:59" x14ac:dyDescent="0.3">
      <c r="R451" s="988"/>
      <c r="S451" s="988"/>
      <c r="W451" s="988"/>
      <c r="X451" s="988"/>
      <c r="AE451" s="988"/>
      <c r="AF451" s="988"/>
      <c r="AV451" s="988"/>
      <c r="AW451" s="988"/>
      <c r="AX451" s="988"/>
      <c r="AY451" s="988"/>
      <c r="AZ451" s="988"/>
      <c r="BA451" s="988"/>
      <c r="BC451" s="988"/>
      <c r="BE451" s="988"/>
      <c r="BF451" s="988"/>
      <c r="BG451" s="988"/>
    </row>
    <row r="452" spans="18:59" x14ac:dyDescent="0.3">
      <c r="R452" s="988"/>
      <c r="S452" s="988"/>
      <c r="W452" s="988"/>
      <c r="X452" s="988"/>
      <c r="AE452" s="988"/>
      <c r="AF452" s="988"/>
      <c r="AV452" s="988"/>
      <c r="AW452" s="988"/>
      <c r="AX452" s="988"/>
      <c r="AY452" s="988"/>
      <c r="AZ452" s="988"/>
      <c r="BA452" s="988"/>
      <c r="BC452" s="988"/>
      <c r="BE452" s="988"/>
      <c r="BF452" s="988"/>
      <c r="BG452" s="988"/>
    </row>
    <row r="453" spans="18:59" x14ac:dyDescent="0.3">
      <c r="R453" s="988"/>
      <c r="S453" s="988"/>
      <c r="W453" s="988"/>
      <c r="X453" s="988"/>
      <c r="AE453" s="988"/>
      <c r="AF453" s="988"/>
      <c r="AV453" s="988"/>
      <c r="AW453" s="988"/>
      <c r="AX453" s="988"/>
      <c r="AY453" s="988"/>
      <c r="AZ453" s="988"/>
      <c r="BA453" s="988"/>
      <c r="BC453" s="988"/>
      <c r="BE453" s="988"/>
      <c r="BF453" s="988"/>
      <c r="BG453" s="988"/>
    </row>
    <row r="454" spans="18:59" x14ac:dyDescent="0.3">
      <c r="R454" s="988"/>
      <c r="S454" s="988"/>
      <c r="W454" s="988"/>
      <c r="X454" s="988"/>
      <c r="AE454" s="988"/>
      <c r="AF454" s="988"/>
      <c r="AV454" s="988"/>
      <c r="AW454" s="988"/>
      <c r="AX454" s="988"/>
      <c r="AY454" s="988"/>
      <c r="AZ454" s="988"/>
      <c r="BA454" s="988"/>
      <c r="BC454" s="988"/>
      <c r="BE454" s="988"/>
      <c r="BF454" s="988"/>
      <c r="BG454" s="988"/>
    </row>
    <row r="455" spans="18:59" x14ac:dyDescent="0.3">
      <c r="R455" s="988"/>
      <c r="S455" s="988"/>
      <c r="W455" s="988"/>
      <c r="X455" s="988"/>
      <c r="AE455" s="988"/>
      <c r="AF455" s="988"/>
      <c r="AV455" s="988"/>
      <c r="AW455" s="988"/>
      <c r="AX455" s="988"/>
      <c r="AY455" s="988"/>
      <c r="AZ455" s="988"/>
      <c r="BA455" s="988"/>
      <c r="BC455" s="988"/>
      <c r="BE455" s="988"/>
      <c r="BF455" s="988"/>
      <c r="BG455" s="988"/>
    </row>
    <row r="456" spans="18:59" x14ac:dyDescent="0.3">
      <c r="R456" s="988"/>
      <c r="S456" s="988"/>
      <c r="W456" s="988"/>
      <c r="X456" s="988"/>
      <c r="AE456" s="988"/>
      <c r="AF456" s="988"/>
      <c r="AV456" s="988"/>
      <c r="AW456" s="988"/>
      <c r="AX456" s="988"/>
      <c r="AY456" s="988"/>
      <c r="AZ456" s="988"/>
      <c r="BA456" s="988"/>
      <c r="BC456" s="988"/>
      <c r="BE456" s="988"/>
      <c r="BF456" s="988"/>
      <c r="BG456" s="988"/>
    </row>
    <row r="457" spans="18:59" x14ac:dyDescent="0.3">
      <c r="R457" s="988"/>
      <c r="S457" s="988"/>
      <c r="W457" s="988"/>
      <c r="X457" s="988"/>
      <c r="AE457" s="988"/>
      <c r="AF457" s="988"/>
      <c r="AV457" s="988"/>
      <c r="AW457" s="988"/>
      <c r="AX457" s="988"/>
      <c r="AY457" s="988"/>
      <c r="AZ457" s="988"/>
      <c r="BA457" s="988"/>
      <c r="BC457" s="988"/>
      <c r="BE457" s="988"/>
      <c r="BF457" s="988"/>
      <c r="BG457" s="988"/>
    </row>
    <row r="458" spans="18:59" x14ac:dyDescent="0.3">
      <c r="R458" s="988"/>
      <c r="S458" s="988"/>
      <c r="W458" s="988"/>
      <c r="X458" s="988"/>
      <c r="AE458" s="988"/>
      <c r="AF458" s="988"/>
      <c r="AV458" s="988"/>
      <c r="AW458" s="988"/>
      <c r="AX458" s="988"/>
      <c r="AY458" s="988"/>
      <c r="AZ458" s="988"/>
      <c r="BA458" s="988"/>
      <c r="BC458" s="988"/>
      <c r="BE458" s="988"/>
      <c r="BF458" s="988"/>
      <c r="BG458" s="988"/>
    </row>
    <row r="459" spans="18:59" x14ac:dyDescent="0.3">
      <c r="R459" s="988"/>
      <c r="S459" s="988"/>
      <c r="W459" s="988"/>
      <c r="X459" s="988"/>
      <c r="AE459" s="988"/>
      <c r="AF459" s="988"/>
      <c r="AV459" s="988"/>
      <c r="AW459" s="988"/>
      <c r="AX459" s="988"/>
      <c r="AY459" s="988"/>
      <c r="AZ459" s="988"/>
      <c r="BA459" s="988"/>
      <c r="BC459" s="988"/>
      <c r="BE459" s="988"/>
      <c r="BF459" s="988"/>
      <c r="BG459" s="988"/>
    </row>
    <row r="460" spans="18:59" x14ac:dyDescent="0.3">
      <c r="R460" s="988"/>
      <c r="S460" s="988"/>
      <c r="W460" s="988"/>
      <c r="X460" s="988"/>
      <c r="AE460" s="988"/>
      <c r="AF460" s="988"/>
      <c r="AV460" s="988"/>
      <c r="AW460" s="988"/>
      <c r="AX460" s="988"/>
      <c r="AY460" s="988"/>
      <c r="AZ460" s="988"/>
      <c r="BA460" s="988"/>
      <c r="BC460" s="988"/>
      <c r="BE460" s="988"/>
      <c r="BF460" s="988"/>
      <c r="BG460" s="988"/>
    </row>
    <row r="461" spans="18:59" x14ac:dyDescent="0.3">
      <c r="R461" s="988"/>
      <c r="S461" s="988"/>
      <c r="W461" s="988"/>
      <c r="X461" s="988"/>
      <c r="AE461" s="988"/>
      <c r="AF461" s="988"/>
      <c r="AV461" s="988"/>
      <c r="AW461" s="988"/>
      <c r="AX461" s="988"/>
      <c r="AY461" s="988"/>
      <c r="AZ461" s="988"/>
      <c r="BA461" s="988"/>
      <c r="BC461" s="988"/>
      <c r="BE461" s="988"/>
      <c r="BF461" s="988"/>
      <c r="BG461" s="988"/>
    </row>
    <row r="462" spans="18:59" x14ac:dyDescent="0.3">
      <c r="R462" s="988"/>
      <c r="S462" s="988"/>
      <c r="W462" s="988"/>
      <c r="X462" s="988"/>
      <c r="AE462" s="988"/>
      <c r="AF462" s="988"/>
      <c r="AV462" s="988"/>
      <c r="AW462" s="988"/>
      <c r="AX462" s="988"/>
      <c r="AY462" s="988"/>
      <c r="AZ462" s="988"/>
      <c r="BA462" s="988"/>
      <c r="BC462" s="988"/>
      <c r="BE462" s="988"/>
      <c r="BF462" s="988"/>
      <c r="BG462" s="988"/>
    </row>
    <row r="463" spans="18:59" x14ac:dyDescent="0.3">
      <c r="R463" s="988"/>
      <c r="S463" s="988"/>
      <c r="W463" s="988"/>
      <c r="X463" s="988"/>
      <c r="AE463" s="988"/>
      <c r="AF463" s="988"/>
      <c r="AV463" s="988"/>
      <c r="AW463" s="988"/>
      <c r="AX463" s="988"/>
      <c r="AY463" s="988"/>
      <c r="AZ463" s="988"/>
      <c r="BA463" s="988"/>
      <c r="BC463" s="988"/>
      <c r="BE463" s="988"/>
      <c r="BF463" s="988"/>
      <c r="BG463" s="988"/>
    </row>
    <row r="464" spans="18:59" x14ac:dyDescent="0.3">
      <c r="R464" s="988"/>
      <c r="S464" s="988"/>
      <c r="W464" s="988"/>
      <c r="X464" s="988"/>
      <c r="AE464" s="988"/>
      <c r="AF464" s="988"/>
      <c r="AV464" s="988"/>
      <c r="AW464" s="988"/>
      <c r="AX464" s="988"/>
      <c r="AY464" s="988"/>
      <c r="AZ464" s="988"/>
      <c r="BA464" s="988"/>
      <c r="BC464" s="988"/>
      <c r="BE464" s="988"/>
      <c r="BF464" s="988"/>
      <c r="BG464" s="988"/>
    </row>
    <row r="465" spans="18:59" x14ac:dyDescent="0.3">
      <c r="R465" s="988"/>
      <c r="S465" s="988"/>
      <c r="W465" s="988"/>
      <c r="X465" s="988"/>
      <c r="AE465" s="988"/>
      <c r="AF465" s="988"/>
      <c r="AV465" s="988"/>
      <c r="AW465" s="988"/>
      <c r="AX465" s="988"/>
      <c r="AY465" s="988"/>
      <c r="AZ465" s="988"/>
      <c r="BA465" s="988"/>
      <c r="BC465" s="988"/>
      <c r="BE465" s="988"/>
      <c r="BF465" s="988"/>
      <c r="BG465" s="988"/>
    </row>
    <row r="466" spans="18:59" x14ac:dyDescent="0.3">
      <c r="R466" s="988"/>
      <c r="S466" s="988"/>
      <c r="W466" s="988"/>
      <c r="X466" s="988"/>
      <c r="AE466" s="988"/>
      <c r="AF466" s="988"/>
      <c r="AV466" s="988"/>
      <c r="AW466" s="988"/>
      <c r="AX466" s="988"/>
      <c r="AY466" s="988"/>
      <c r="AZ466" s="988"/>
      <c r="BA466" s="988"/>
      <c r="BC466" s="988"/>
      <c r="BE466" s="988"/>
      <c r="BF466" s="988"/>
      <c r="BG466" s="988"/>
    </row>
    <row r="467" spans="18:59" x14ac:dyDescent="0.3">
      <c r="R467" s="988"/>
      <c r="S467" s="988"/>
      <c r="W467" s="988"/>
      <c r="X467" s="988"/>
      <c r="AE467" s="988"/>
      <c r="AF467" s="988"/>
      <c r="AV467" s="988"/>
      <c r="AW467" s="988"/>
      <c r="AX467" s="988"/>
      <c r="AY467" s="988"/>
      <c r="AZ467" s="988"/>
      <c r="BA467" s="988"/>
      <c r="BC467" s="988"/>
      <c r="BE467" s="988"/>
      <c r="BF467" s="988"/>
      <c r="BG467" s="988"/>
    </row>
    <row r="468" spans="18:59" x14ac:dyDescent="0.3">
      <c r="R468" s="988"/>
      <c r="S468" s="988"/>
      <c r="W468" s="988"/>
      <c r="X468" s="988"/>
      <c r="AE468" s="988"/>
      <c r="AF468" s="988"/>
      <c r="AV468" s="988"/>
      <c r="AW468" s="988"/>
      <c r="AX468" s="988"/>
      <c r="AY468" s="988"/>
      <c r="AZ468" s="988"/>
      <c r="BA468" s="988"/>
      <c r="BC468" s="988"/>
      <c r="BE468" s="988"/>
      <c r="BF468" s="988"/>
      <c r="BG468" s="988"/>
    </row>
    <row r="469" spans="18:59" x14ac:dyDescent="0.3">
      <c r="R469" s="988"/>
      <c r="S469" s="988"/>
      <c r="W469" s="988"/>
      <c r="X469" s="988"/>
      <c r="AE469" s="988"/>
      <c r="AF469" s="988"/>
      <c r="AV469" s="988"/>
      <c r="AW469" s="988"/>
      <c r="AX469" s="988"/>
      <c r="AY469" s="988"/>
      <c r="AZ469" s="988"/>
      <c r="BA469" s="988"/>
      <c r="BC469" s="988"/>
      <c r="BE469" s="988"/>
      <c r="BF469" s="988"/>
      <c r="BG469" s="988"/>
    </row>
    <row r="470" spans="18:59" x14ac:dyDescent="0.3">
      <c r="R470" s="988"/>
      <c r="S470" s="988"/>
      <c r="W470" s="988"/>
      <c r="X470" s="988"/>
      <c r="AE470" s="988"/>
      <c r="AF470" s="988"/>
      <c r="AV470" s="988"/>
      <c r="AW470" s="988"/>
      <c r="AX470" s="988"/>
      <c r="AY470" s="988"/>
      <c r="AZ470" s="988"/>
      <c r="BA470" s="988"/>
      <c r="BC470" s="988"/>
      <c r="BE470" s="988"/>
      <c r="BF470" s="988"/>
      <c r="BG470" s="988"/>
    </row>
    <row r="471" spans="18:59" x14ac:dyDescent="0.3">
      <c r="R471" s="988"/>
      <c r="S471" s="988"/>
      <c r="W471" s="988"/>
      <c r="X471" s="988"/>
      <c r="AE471" s="988"/>
      <c r="AF471" s="988"/>
      <c r="AV471" s="988"/>
      <c r="AW471" s="988"/>
      <c r="AX471" s="988"/>
      <c r="AY471" s="988"/>
      <c r="AZ471" s="988"/>
      <c r="BA471" s="988"/>
      <c r="BC471" s="988"/>
      <c r="BE471" s="988"/>
      <c r="BF471" s="988"/>
      <c r="BG471" s="988"/>
    </row>
    <row r="472" spans="18:59" x14ac:dyDescent="0.3">
      <c r="R472" s="988"/>
      <c r="S472" s="988"/>
      <c r="W472" s="988"/>
      <c r="X472" s="988"/>
      <c r="AE472" s="988"/>
      <c r="AF472" s="988"/>
      <c r="AV472" s="988"/>
      <c r="AW472" s="988"/>
      <c r="AX472" s="988"/>
      <c r="AY472" s="988"/>
      <c r="AZ472" s="988"/>
      <c r="BA472" s="988"/>
      <c r="BC472" s="988"/>
      <c r="BE472" s="988"/>
      <c r="BF472" s="988"/>
      <c r="BG472" s="988"/>
    </row>
    <row r="473" spans="18:59" x14ac:dyDescent="0.3">
      <c r="R473" s="988"/>
      <c r="S473" s="988"/>
      <c r="W473" s="988"/>
      <c r="X473" s="988"/>
      <c r="AE473" s="988"/>
      <c r="AF473" s="988"/>
      <c r="AV473" s="988"/>
      <c r="AW473" s="988"/>
      <c r="AX473" s="988"/>
      <c r="AY473" s="988"/>
      <c r="AZ473" s="988"/>
      <c r="BA473" s="988"/>
      <c r="BC473" s="988"/>
      <c r="BE473" s="988"/>
      <c r="BF473" s="988"/>
      <c r="BG473" s="988"/>
    </row>
    <row r="474" spans="18:59" x14ac:dyDescent="0.3">
      <c r="R474" s="988"/>
      <c r="S474" s="988"/>
      <c r="W474" s="988"/>
      <c r="X474" s="988"/>
      <c r="AE474" s="988"/>
      <c r="AF474" s="988"/>
      <c r="AV474" s="988"/>
      <c r="AW474" s="988"/>
      <c r="AX474" s="988"/>
      <c r="AY474" s="988"/>
      <c r="AZ474" s="988"/>
      <c r="BA474" s="988"/>
      <c r="BC474" s="988"/>
      <c r="BE474" s="988"/>
      <c r="BF474" s="988"/>
      <c r="BG474" s="988"/>
    </row>
    <row r="475" spans="18:59" x14ac:dyDescent="0.3">
      <c r="R475" s="988"/>
      <c r="S475" s="988"/>
      <c r="W475" s="988"/>
      <c r="X475" s="988"/>
      <c r="AE475" s="988"/>
      <c r="AF475" s="988"/>
      <c r="AV475" s="988"/>
      <c r="AW475" s="988"/>
      <c r="AX475" s="988"/>
      <c r="AY475" s="988"/>
      <c r="AZ475" s="988"/>
      <c r="BA475" s="988"/>
      <c r="BC475" s="988"/>
      <c r="BE475" s="988"/>
      <c r="BF475" s="988"/>
      <c r="BG475" s="988"/>
    </row>
    <row r="476" spans="18:59" x14ac:dyDescent="0.3">
      <c r="R476" s="988"/>
      <c r="S476" s="988"/>
      <c r="W476" s="988"/>
      <c r="X476" s="988"/>
      <c r="AE476" s="988"/>
      <c r="AF476" s="988"/>
      <c r="AV476" s="988"/>
      <c r="AW476" s="988"/>
      <c r="AX476" s="988"/>
      <c r="AY476" s="988"/>
      <c r="AZ476" s="988"/>
      <c r="BA476" s="988"/>
      <c r="BC476" s="988"/>
      <c r="BE476" s="988"/>
      <c r="BF476" s="988"/>
      <c r="BG476" s="988"/>
    </row>
    <row r="477" spans="18:59" x14ac:dyDescent="0.3">
      <c r="R477" s="988"/>
      <c r="S477" s="988"/>
      <c r="W477" s="988"/>
      <c r="X477" s="988"/>
      <c r="AE477" s="988"/>
      <c r="AF477" s="988"/>
      <c r="AV477" s="988"/>
      <c r="AW477" s="988"/>
      <c r="AX477" s="988"/>
      <c r="AY477" s="988"/>
      <c r="AZ477" s="988"/>
      <c r="BA477" s="988"/>
      <c r="BC477" s="988"/>
      <c r="BE477" s="988"/>
      <c r="BF477" s="988"/>
      <c r="BG477" s="988"/>
    </row>
    <row r="478" spans="18:59" x14ac:dyDescent="0.3">
      <c r="R478" s="988"/>
      <c r="S478" s="988"/>
      <c r="W478" s="988"/>
      <c r="X478" s="988"/>
      <c r="AE478" s="988"/>
      <c r="AF478" s="988"/>
      <c r="AV478" s="988"/>
      <c r="AW478" s="988"/>
      <c r="AX478" s="988"/>
      <c r="AY478" s="988"/>
      <c r="AZ478" s="988"/>
      <c r="BA478" s="988"/>
      <c r="BC478" s="988"/>
      <c r="BE478" s="988"/>
      <c r="BF478" s="988"/>
      <c r="BG478" s="988"/>
    </row>
    <row r="479" spans="18:59" x14ac:dyDescent="0.3">
      <c r="R479" s="988"/>
      <c r="S479" s="988"/>
      <c r="W479" s="988"/>
      <c r="X479" s="988"/>
      <c r="AE479" s="988"/>
      <c r="AF479" s="988"/>
      <c r="AV479" s="988"/>
      <c r="AW479" s="988"/>
      <c r="AX479" s="988"/>
      <c r="AY479" s="988"/>
      <c r="AZ479" s="988"/>
      <c r="BA479" s="988"/>
      <c r="BC479" s="988"/>
      <c r="BE479" s="988"/>
      <c r="BF479" s="988"/>
      <c r="BG479" s="988"/>
    </row>
    <row r="480" spans="18:59" x14ac:dyDescent="0.3">
      <c r="R480" s="988"/>
      <c r="S480" s="988"/>
      <c r="W480" s="988"/>
      <c r="X480" s="988"/>
      <c r="AE480" s="988"/>
      <c r="AF480" s="988"/>
      <c r="AV480" s="988"/>
      <c r="AW480" s="988"/>
      <c r="AX480" s="988"/>
      <c r="AY480" s="988"/>
      <c r="AZ480" s="988"/>
      <c r="BA480" s="988"/>
      <c r="BC480" s="988"/>
      <c r="BE480" s="988"/>
      <c r="BF480" s="988"/>
      <c r="BG480" s="988"/>
    </row>
    <row r="481" spans="18:59" x14ac:dyDescent="0.3">
      <c r="R481" s="988"/>
      <c r="S481" s="988"/>
      <c r="W481" s="988"/>
      <c r="X481" s="988"/>
      <c r="AE481" s="988"/>
      <c r="AF481" s="988"/>
      <c r="AV481" s="988"/>
      <c r="AW481" s="988"/>
      <c r="AX481" s="988"/>
      <c r="AY481" s="988"/>
      <c r="AZ481" s="988"/>
      <c r="BA481" s="988"/>
      <c r="BC481" s="988"/>
      <c r="BE481" s="988"/>
      <c r="BF481" s="988"/>
      <c r="BG481" s="988"/>
    </row>
    <row r="482" spans="18:59" x14ac:dyDescent="0.3">
      <c r="R482" s="988"/>
      <c r="S482" s="988"/>
      <c r="W482" s="988"/>
      <c r="X482" s="988"/>
      <c r="AE482" s="988"/>
      <c r="AF482" s="988"/>
      <c r="AV482" s="988"/>
      <c r="AW482" s="988"/>
      <c r="AX482" s="988"/>
      <c r="AY482" s="988"/>
      <c r="AZ482" s="988"/>
      <c r="BA482" s="988"/>
      <c r="BC482" s="988"/>
      <c r="BE482" s="988"/>
      <c r="BF482" s="988"/>
      <c r="BG482" s="988"/>
    </row>
    <row r="483" spans="18:59" x14ac:dyDescent="0.3">
      <c r="R483" s="988"/>
      <c r="S483" s="988"/>
      <c r="W483" s="988"/>
      <c r="X483" s="988"/>
      <c r="AE483" s="988"/>
      <c r="AF483" s="988"/>
      <c r="AV483" s="988"/>
      <c r="AW483" s="988"/>
      <c r="AX483" s="988"/>
      <c r="AY483" s="988"/>
      <c r="AZ483" s="988"/>
      <c r="BA483" s="988"/>
      <c r="BC483" s="988"/>
      <c r="BE483" s="988"/>
      <c r="BF483" s="988"/>
      <c r="BG483" s="988"/>
    </row>
    <row r="484" spans="18:59" x14ac:dyDescent="0.3">
      <c r="R484" s="988"/>
      <c r="S484" s="988"/>
      <c r="W484" s="988"/>
      <c r="X484" s="988"/>
      <c r="AE484" s="988"/>
      <c r="AF484" s="988"/>
      <c r="AV484" s="988"/>
      <c r="AW484" s="988"/>
      <c r="AX484" s="988"/>
      <c r="AY484" s="988"/>
      <c r="AZ484" s="988"/>
      <c r="BA484" s="988"/>
      <c r="BC484" s="988"/>
      <c r="BE484" s="988"/>
      <c r="BF484" s="988"/>
      <c r="BG484" s="988"/>
    </row>
    <row r="485" spans="18:59" x14ac:dyDescent="0.3">
      <c r="R485" s="988"/>
      <c r="S485" s="988"/>
      <c r="W485" s="988"/>
      <c r="X485" s="988"/>
      <c r="AE485" s="988"/>
      <c r="AF485" s="988"/>
      <c r="AV485" s="988"/>
      <c r="AW485" s="988"/>
      <c r="AX485" s="988"/>
      <c r="AY485" s="988"/>
      <c r="AZ485" s="988"/>
      <c r="BA485" s="988"/>
      <c r="BC485" s="988"/>
      <c r="BE485" s="988"/>
      <c r="BF485" s="988"/>
      <c r="BG485" s="988"/>
    </row>
    <row r="486" spans="18:59" x14ac:dyDescent="0.3">
      <c r="R486" s="988"/>
      <c r="S486" s="988"/>
      <c r="W486" s="988"/>
      <c r="X486" s="988"/>
      <c r="AE486" s="988"/>
      <c r="AF486" s="988"/>
      <c r="AV486" s="988"/>
      <c r="AW486" s="988"/>
      <c r="AX486" s="988"/>
      <c r="AY486" s="988"/>
      <c r="AZ486" s="988"/>
      <c r="BA486" s="988"/>
      <c r="BC486" s="988"/>
      <c r="BE486" s="988"/>
      <c r="BF486" s="988"/>
      <c r="BG486" s="988"/>
    </row>
    <row r="487" spans="18:59" x14ac:dyDescent="0.3">
      <c r="R487" s="988"/>
      <c r="S487" s="988"/>
      <c r="W487" s="988"/>
      <c r="X487" s="988"/>
      <c r="AE487" s="988"/>
      <c r="AF487" s="988"/>
      <c r="AV487" s="988"/>
      <c r="AW487" s="988"/>
      <c r="AX487" s="988"/>
      <c r="AY487" s="988"/>
      <c r="AZ487" s="988"/>
      <c r="BA487" s="988"/>
      <c r="BC487" s="988"/>
      <c r="BE487" s="988"/>
      <c r="BF487" s="988"/>
      <c r="BG487" s="988"/>
    </row>
    <row r="488" spans="18:59" x14ac:dyDescent="0.3">
      <c r="R488" s="988"/>
      <c r="S488" s="988"/>
      <c r="W488" s="988"/>
      <c r="X488" s="988"/>
      <c r="AE488" s="988"/>
      <c r="AF488" s="988"/>
      <c r="AV488" s="988"/>
      <c r="AW488" s="988"/>
      <c r="AX488" s="988"/>
      <c r="AY488" s="988"/>
      <c r="AZ488" s="988"/>
      <c r="BA488" s="988"/>
      <c r="BC488" s="988"/>
      <c r="BE488" s="988"/>
      <c r="BF488" s="988"/>
      <c r="BG488" s="988"/>
    </row>
    <row r="489" spans="18:59" x14ac:dyDescent="0.3">
      <c r="R489" s="988"/>
      <c r="S489" s="988"/>
      <c r="W489" s="988"/>
      <c r="X489" s="988"/>
      <c r="AE489" s="988"/>
      <c r="AF489" s="988"/>
      <c r="AV489" s="988"/>
      <c r="AW489" s="988"/>
      <c r="AX489" s="988"/>
      <c r="AY489" s="988"/>
      <c r="AZ489" s="988"/>
      <c r="BA489" s="988"/>
      <c r="BC489" s="988"/>
      <c r="BE489" s="988"/>
      <c r="BF489" s="988"/>
      <c r="BG489" s="988"/>
    </row>
    <row r="490" spans="18:59" x14ac:dyDescent="0.3">
      <c r="R490" s="988"/>
      <c r="S490" s="988"/>
      <c r="W490" s="988"/>
      <c r="X490" s="988"/>
      <c r="AE490" s="988"/>
      <c r="AF490" s="988"/>
      <c r="AV490" s="988"/>
      <c r="AW490" s="988"/>
      <c r="AX490" s="988"/>
      <c r="AY490" s="988"/>
      <c r="AZ490" s="988"/>
      <c r="BA490" s="988"/>
      <c r="BC490" s="988"/>
      <c r="BE490" s="988"/>
      <c r="BF490" s="988"/>
      <c r="BG490" s="988"/>
    </row>
    <row r="491" spans="18:59" x14ac:dyDescent="0.3">
      <c r="R491" s="988"/>
      <c r="S491" s="988"/>
      <c r="W491" s="988"/>
      <c r="X491" s="988"/>
      <c r="AE491" s="988"/>
      <c r="AF491" s="988"/>
      <c r="AV491" s="988"/>
      <c r="AW491" s="988"/>
      <c r="AX491" s="988"/>
      <c r="AY491" s="988"/>
      <c r="AZ491" s="988"/>
      <c r="BA491" s="988"/>
      <c r="BC491" s="988"/>
      <c r="BE491" s="988"/>
      <c r="BF491" s="988"/>
      <c r="BG491" s="988"/>
    </row>
    <row r="492" spans="18:59" x14ac:dyDescent="0.3">
      <c r="R492" s="988"/>
      <c r="S492" s="988"/>
      <c r="W492" s="988"/>
      <c r="X492" s="988"/>
      <c r="AE492" s="988"/>
      <c r="AF492" s="988"/>
      <c r="AV492" s="988"/>
      <c r="AW492" s="988"/>
      <c r="AX492" s="988"/>
      <c r="AY492" s="988"/>
      <c r="AZ492" s="988"/>
      <c r="BA492" s="988"/>
      <c r="BC492" s="988"/>
      <c r="BE492" s="988"/>
      <c r="BF492" s="988"/>
      <c r="BG492" s="988"/>
    </row>
    <row r="493" spans="18:59" x14ac:dyDescent="0.3">
      <c r="R493" s="988"/>
      <c r="S493" s="988"/>
      <c r="W493" s="988"/>
      <c r="X493" s="988"/>
      <c r="AE493" s="988"/>
      <c r="AF493" s="988"/>
      <c r="AV493" s="988"/>
      <c r="AW493" s="988"/>
      <c r="AX493" s="988"/>
      <c r="AY493" s="988"/>
      <c r="AZ493" s="988"/>
      <c r="BA493" s="988"/>
      <c r="BC493" s="988"/>
      <c r="BE493" s="988"/>
      <c r="BF493" s="988"/>
      <c r="BG493" s="988"/>
    </row>
    <row r="494" spans="18:59" x14ac:dyDescent="0.3">
      <c r="R494" s="988"/>
      <c r="S494" s="988"/>
      <c r="W494" s="988"/>
      <c r="X494" s="988"/>
      <c r="AE494" s="988"/>
      <c r="AF494" s="988"/>
      <c r="AV494" s="988"/>
      <c r="AW494" s="988"/>
      <c r="AX494" s="988"/>
      <c r="AY494" s="988"/>
      <c r="AZ494" s="988"/>
      <c r="BA494" s="988"/>
      <c r="BC494" s="988"/>
      <c r="BE494" s="988"/>
      <c r="BF494" s="988"/>
      <c r="BG494" s="988"/>
    </row>
    <row r="495" spans="18:59" x14ac:dyDescent="0.3">
      <c r="R495" s="988"/>
      <c r="S495" s="988"/>
      <c r="W495" s="988"/>
      <c r="X495" s="988"/>
      <c r="AE495" s="988"/>
      <c r="AF495" s="988"/>
      <c r="AV495" s="988"/>
      <c r="AW495" s="988"/>
      <c r="AX495" s="988"/>
      <c r="AY495" s="988"/>
      <c r="AZ495" s="988"/>
      <c r="BA495" s="988"/>
      <c r="BC495" s="988"/>
      <c r="BE495" s="988"/>
      <c r="BF495" s="988"/>
      <c r="BG495" s="988"/>
    </row>
    <row r="496" spans="18:59" x14ac:dyDescent="0.3">
      <c r="R496" s="988"/>
      <c r="S496" s="988"/>
      <c r="W496" s="988"/>
      <c r="X496" s="988"/>
      <c r="AE496" s="988"/>
      <c r="AF496" s="988"/>
      <c r="AV496" s="988"/>
      <c r="AW496" s="988"/>
      <c r="AX496" s="988"/>
      <c r="AY496" s="988"/>
      <c r="AZ496" s="988"/>
      <c r="BA496" s="988"/>
      <c r="BC496" s="988"/>
      <c r="BE496" s="988"/>
      <c r="BF496" s="988"/>
      <c r="BG496" s="988"/>
    </row>
    <row r="497" spans="18:59" x14ac:dyDescent="0.3">
      <c r="R497" s="988"/>
      <c r="S497" s="988"/>
      <c r="W497" s="988"/>
      <c r="X497" s="988"/>
      <c r="AE497" s="988"/>
      <c r="AF497" s="988"/>
      <c r="AV497" s="988"/>
      <c r="AW497" s="988"/>
      <c r="AX497" s="988"/>
      <c r="AY497" s="988"/>
      <c r="AZ497" s="988"/>
      <c r="BA497" s="988"/>
      <c r="BC497" s="988"/>
      <c r="BE497" s="988"/>
      <c r="BF497" s="988"/>
      <c r="BG497" s="988"/>
    </row>
    <row r="498" spans="18:59" x14ac:dyDescent="0.3">
      <c r="R498" s="988"/>
      <c r="S498" s="988"/>
      <c r="W498" s="988"/>
      <c r="X498" s="988"/>
      <c r="AE498" s="988"/>
      <c r="AF498" s="988"/>
      <c r="AV498" s="988"/>
      <c r="AW498" s="988"/>
      <c r="AX498" s="988"/>
      <c r="AY498" s="988"/>
      <c r="AZ498" s="988"/>
      <c r="BA498" s="988"/>
      <c r="BC498" s="988"/>
      <c r="BE498" s="988"/>
      <c r="BF498" s="988"/>
      <c r="BG498" s="988"/>
    </row>
    <row r="499" spans="18:59" x14ac:dyDescent="0.3">
      <c r="R499" s="988"/>
      <c r="S499" s="988"/>
      <c r="W499" s="988"/>
      <c r="X499" s="988"/>
      <c r="AE499" s="988"/>
      <c r="AF499" s="988"/>
      <c r="AV499" s="988"/>
      <c r="AW499" s="988"/>
      <c r="AX499" s="988"/>
      <c r="AY499" s="988"/>
      <c r="AZ499" s="988"/>
      <c r="BA499" s="988"/>
      <c r="BC499" s="988"/>
      <c r="BE499" s="988"/>
      <c r="BF499" s="988"/>
      <c r="BG499" s="988"/>
    </row>
    <row r="500" spans="18:59" x14ac:dyDescent="0.3">
      <c r="R500" s="988"/>
      <c r="S500" s="988"/>
      <c r="W500" s="988"/>
      <c r="X500" s="988"/>
      <c r="AE500" s="988"/>
      <c r="AF500" s="988"/>
      <c r="AV500" s="988"/>
      <c r="AW500" s="988"/>
      <c r="AX500" s="988"/>
      <c r="AY500" s="988"/>
      <c r="AZ500" s="988"/>
      <c r="BA500" s="988"/>
      <c r="BC500" s="988"/>
      <c r="BE500" s="988"/>
      <c r="BF500" s="988"/>
      <c r="BG500" s="988"/>
    </row>
    <row r="501" spans="18:59" x14ac:dyDescent="0.3">
      <c r="R501" s="988"/>
      <c r="S501" s="988"/>
      <c r="W501" s="988"/>
      <c r="X501" s="988"/>
      <c r="AE501" s="988"/>
      <c r="AF501" s="988"/>
      <c r="AV501" s="988"/>
      <c r="AW501" s="988"/>
      <c r="AX501" s="988"/>
      <c r="AY501" s="988"/>
      <c r="AZ501" s="988"/>
      <c r="BA501" s="988"/>
      <c r="BC501" s="988"/>
      <c r="BE501" s="988"/>
      <c r="BF501" s="988"/>
      <c r="BG501" s="988"/>
    </row>
    <row r="502" spans="18:59" x14ac:dyDescent="0.3">
      <c r="R502" s="988"/>
      <c r="S502" s="988"/>
      <c r="W502" s="988"/>
      <c r="X502" s="988"/>
      <c r="AE502" s="988"/>
      <c r="AF502" s="988"/>
      <c r="AV502" s="988"/>
      <c r="AW502" s="988"/>
      <c r="AX502" s="988"/>
      <c r="AY502" s="988"/>
      <c r="AZ502" s="988"/>
      <c r="BA502" s="988"/>
      <c r="BC502" s="988"/>
      <c r="BE502" s="988"/>
      <c r="BF502" s="988"/>
      <c r="BG502" s="988"/>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W19"/>
  <sheetViews>
    <sheetView zoomScale="94" workbookViewId="0">
      <selection activeCell="D8" sqref="D8"/>
    </sheetView>
  </sheetViews>
  <sheetFormatPr defaultColWidth="11.5546875" defaultRowHeight="14.4" x14ac:dyDescent="0.3"/>
  <cols>
    <col min="1" max="1" width="23.21875" customWidth="1"/>
  </cols>
  <sheetData>
    <row r="1" spans="1:22" x14ac:dyDescent="0.3">
      <c r="A1" s="1031" t="s">
        <v>793</v>
      </c>
      <c r="B1" s="1031"/>
      <c r="C1" s="1031"/>
      <c r="D1" s="1031"/>
    </row>
    <row r="2" spans="1:22" x14ac:dyDescent="0.3">
      <c r="A2" t="s">
        <v>794</v>
      </c>
      <c r="B2" s="108">
        <v>2021</v>
      </c>
      <c r="C2" s="108">
        <v>2021</v>
      </c>
      <c r="D2" s="108">
        <v>2021</v>
      </c>
      <c r="E2" s="108">
        <v>2022</v>
      </c>
      <c r="F2" s="108">
        <v>2022</v>
      </c>
      <c r="G2" s="108">
        <v>2022</v>
      </c>
      <c r="H2" s="108">
        <v>2022</v>
      </c>
      <c r="I2" s="108">
        <v>2023</v>
      </c>
      <c r="J2" s="108">
        <v>2023</v>
      </c>
      <c r="K2" s="108">
        <v>2023</v>
      </c>
      <c r="L2" s="108">
        <v>2023</v>
      </c>
      <c r="M2" s="108">
        <v>2024</v>
      </c>
      <c r="N2" s="108">
        <v>2024</v>
      </c>
      <c r="O2" s="108">
        <v>2024</v>
      </c>
      <c r="P2" s="108">
        <v>2024</v>
      </c>
      <c r="Q2" s="108">
        <v>2025</v>
      </c>
      <c r="R2" s="108">
        <v>2025</v>
      </c>
      <c r="S2" s="108">
        <v>2025</v>
      </c>
      <c r="T2" s="108">
        <v>2025</v>
      </c>
      <c r="U2" s="108">
        <v>2026</v>
      </c>
    </row>
    <row r="3" spans="1:22" x14ac:dyDescent="0.3">
      <c r="A3" s="1015" t="s">
        <v>795</v>
      </c>
      <c r="B3" s="1029" t="s">
        <v>796</v>
      </c>
      <c r="C3" s="1029" t="s">
        <v>797</v>
      </c>
      <c r="D3" s="1029" t="s">
        <v>798</v>
      </c>
      <c r="E3" s="1029" t="s">
        <v>799</v>
      </c>
      <c r="F3" s="1029" t="s">
        <v>800</v>
      </c>
      <c r="G3" s="1029" t="s">
        <v>801</v>
      </c>
      <c r="H3" s="1029" t="s">
        <v>802</v>
      </c>
      <c r="I3" s="1029" t="s">
        <v>803</v>
      </c>
      <c r="J3" s="1029" t="s">
        <v>804</v>
      </c>
      <c r="K3" s="1029" t="s">
        <v>805</v>
      </c>
      <c r="L3" s="1029" t="s">
        <v>806</v>
      </c>
      <c r="M3" s="1029" t="s">
        <v>807</v>
      </c>
      <c r="N3" s="1029" t="s">
        <v>808</v>
      </c>
      <c r="O3" s="1029" t="s">
        <v>809</v>
      </c>
      <c r="P3" s="1029" t="s">
        <v>810</v>
      </c>
      <c r="Q3" s="1029" t="s">
        <v>811</v>
      </c>
      <c r="R3" s="1029" t="s">
        <v>812</v>
      </c>
      <c r="S3" s="1029" t="s">
        <v>813</v>
      </c>
      <c r="T3" s="1029" t="s">
        <v>814</v>
      </c>
      <c r="U3" s="1029" t="s">
        <v>815</v>
      </c>
    </row>
    <row r="4" spans="1:22" x14ac:dyDescent="0.3">
      <c r="A4" s="1015" t="s">
        <v>816</v>
      </c>
      <c r="B4" s="1029"/>
      <c r="C4" s="1029"/>
      <c r="D4" s="1029">
        <v>0</v>
      </c>
      <c r="E4" s="1029">
        <v>0</v>
      </c>
      <c r="F4" s="1029">
        <v>0.5</v>
      </c>
      <c r="G4" s="1029">
        <v>0.5</v>
      </c>
      <c r="H4" s="1029">
        <v>0</v>
      </c>
      <c r="I4" s="1029">
        <v>0</v>
      </c>
      <c r="J4" s="1029">
        <v>0</v>
      </c>
      <c r="K4" s="1029">
        <v>0</v>
      </c>
      <c r="L4" s="1029">
        <v>0</v>
      </c>
      <c r="M4" s="1029">
        <v>0</v>
      </c>
      <c r="N4" s="1029">
        <v>0</v>
      </c>
      <c r="O4" s="1029">
        <v>0</v>
      </c>
      <c r="P4" s="1029">
        <v>0</v>
      </c>
      <c r="Q4" s="1029">
        <v>0</v>
      </c>
      <c r="R4" s="1029">
        <v>0</v>
      </c>
      <c r="S4" s="1029">
        <v>0</v>
      </c>
      <c r="T4" s="1029">
        <v>0</v>
      </c>
      <c r="U4" s="1029">
        <v>0</v>
      </c>
    </row>
    <row r="5" spans="1:22" x14ac:dyDescent="0.3">
      <c r="A5" s="1015" t="s">
        <v>817</v>
      </c>
      <c r="B5" s="1029">
        <v>0.04</v>
      </c>
      <c r="C5" s="1029">
        <v>0.48</v>
      </c>
      <c r="D5" s="1029">
        <v>0.48</v>
      </c>
      <c r="E5" s="1029">
        <v>0</v>
      </c>
      <c r="F5" s="1029">
        <v>0</v>
      </c>
      <c r="G5" s="1029">
        <v>0</v>
      </c>
      <c r="H5" s="1029">
        <v>0</v>
      </c>
      <c r="I5" s="1029">
        <v>0</v>
      </c>
      <c r="J5" s="1029">
        <v>0</v>
      </c>
      <c r="K5" s="1029">
        <v>0</v>
      </c>
      <c r="L5" s="1029">
        <v>0</v>
      </c>
      <c r="M5" s="1029">
        <v>0</v>
      </c>
      <c r="N5" s="1029">
        <v>0</v>
      </c>
      <c r="O5" s="1029">
        <v>0</v>
      </c>
      <c r="P5" s="1029">
        <v>0</v>
      </c>
      <c r="Q5" s="1029">
        <v>0</v>
      </c>
      <c r="R5" s="1029">
        <v>0</v>
      </c>
      <c r="S5" s="1029">
        <v>0</v>
      </c>
      <c r="T5" s="1029">
        <v>0</v>
      </c>
      <c r="U5" s="1029">
        <v>0</v>
      </c>
    </row>
    <row r="6" spans="1:22" x14ac:dyDescent="0.3">
      <c r="A6" s="1015" t="s">
        <v>818</v>
      </c>
      <c r="B6" s="1029">
        <f>B8</f>
        <v>0</v>
      </c>
      <c r="C6" s="1029">
        <f>C8</f>
        <v>0.43</v>
      </c>
      <c r="D6" s="1029">
        <f t="shared" ref="D6:U6" si="0">D8</f>
        <v>0.56999999999999995</v>
      </c>
      <c r="E6" s="1029">
        <f t="shared" si="0"/>
        <v>0.25</v>
      </c>
      <c r="F6" s="1029">
        <f t="shared" si="0"/>
        <v>0.25</v>
      </c>
      <c r="G6" s="1029">
        <f t="shared" si="0"/>
        <v>0.25</v>
      </c>
      <c r="H6" s="1029">
        <f t="shared" si="0"/>
        <v>0.25</v>
      </c>
      <c r="I6" s="1029">
        <f t="shared" si="0"/>
        <v>0.25</v>
      </c>
      <c r="J6" s="1029">
        <f t="shared" si="0"/>
        <v>0.25</v>
      </c>
      <c r="K6" s="1029">
        <f t="shared" si="0"/>
        <v>0.25</v>
      </c>
      <c r="L6" s="1029">
        <f t="shared" si="0"/>
        <v>0.25</v>
      </c>
      <c r="M6" s="1029">
        <f t="shared" si="0"/>
        <v>0.25</v>
      </c>
      <c r="N6" s="1029">
        <f t="shared" si="0"/>
        <v>0.25</v>
      </c>
      <c r="O6" s="1029">
        <f t="shared" si="0"/>
        <v>0.25</v>
      </c>
      <c r="P6" s="1029">
        <f t="shared" si="0"/>
        <v>0.25</v>
      </c>
      <c r="Q6" s="1029">
        <f t="shared" si="0"/>
        <v>0.25</v>
      </c>
      <c r="R6" s="1029">
        <f t="shared" si="0"/>
        <v>0.25</v>
      </c>
      <c r="S6" s="1029">
        <f t="shared" si="0"/>
        <v>0.25</v>
      </c>
      <c r="T6" s="1029">
        <f t="shared" si="0"/>
        <v>0.25</v>
      </c>
      <c r="U6" s="1029">
        <f t="shared" si="0"/>
        <v>0.25</v>
      </c>
    </row>
    <row r="7" spans="1:22" x14ac:dyDescent="0.3">
      <c r="A7" s="1015" t="s">
        <v>819</v>
      </c>
      <c r="B7" s="1029">
        <v>0</v>
      </c>
      <c r="C7" s="1029">
        <v>0</v>
      </c>
      <c r="D7" s="1029">
        <v>1</v>
      </c>
      <c r="E7" s="1029">
        <v>0.25</v>
      </c>
      <c r="F7" s="1029">
        <v>0.25</v>
      </c>
      <c r="G7" s="1029">
        <v>0.25</v>
      </c>
      <c r="H7" s="1029">
        <v>0.25</v>
      </c>
      <c r="I7" s="1029">
        <v>0.25</v>
      </c>
      <c r="J7" s="1029">
        <v>0.25</v>
      </c>
      <c r="K7" s="1029">
        <v>0.25</v>
      </c>
      <c r="L7" s="1029">
        <v>0.25</v>
      </c>
      <c r="M7" s="1029">
        <v>0.25</v>
      </c>
      <c r="N7" s="1029">
        <v>0.25</v>
      </c>
      <c r="O7" s="1029">
        <v>0.25</v>
      </c>
      <c r="P7" s="1029">
        <v>0.25</v>
      </c>
      <c r="Q7" s="1029">
        <v>0.25</v>
      </c>
      <c r="R7" s="1029">
        <v>0.25</v>
      </c>
      <c r="S7" s="1029">
        <v>0.25</v>
      </c>
      <c r="T7" s="1029">
        <v>0.25</v>
      </c>
      <c r="U7" s="1029">
        <v>0.25</v>
      </c>
    </row>
    <row r="8" spans="1:22" x14ac:dyDescent="0.3">
      <c r="A8" s="1015" t="s">
        <v>820</v>
      </c>
      <c r="B8" s="1029">
        <v>0</v>
      </c>
      <c r="C8" s="1029">
        <v>0.43</v>
      </c>
      <c r="D8" s="1029">
        <v>0.56999999999999995</v>
      </c>
      <c r="E8" s="1029">
        <v>0.25</v>
      </c>
      <c r="F8" s="1029">
        <v>0.25</v>
      </c>
      <c r="G8" s="1029">
        <v>0.25</v>
      </c>
      <c r="H8" s="1029">
        <v>0.25</v>
      </c>
      <c r="I8" s="1029">
        <v>0.25</v>
      </c>
      <c r="J8" s="1029">
        <v>0.25</v>
      </c>
      <c r="K8" s="1029">
        <v>0.25</v>
      </c>
      <c r="L8" s="1029">
        <v>0.25</v>
      </c>
      <c r="M8" s="1029">
        <v>0.25</v>
      </c>
      <c r="N8" s="1029">
        <v>0.25</v>
      </c>
      <c r="O8" s="1029">
        <v>0.25</v>
      </c>
      <c r="P8" s="1029">
        <v>0.25</v>
      </c>
      <c r="Q8" s="1029">
        <v>0.25</v>
      </c>
      <c r="R8" s="1029">
        <v>0.25</v>
      </c>
      <c r="S8" s="1029">
        <v>0.25</v>
      </c>
      <c r="T8" s="1029">
        <v>0.25</v>
      </c>
      <c r="U8" s="1029">
        <v>0.25</v>
      </c>
    </row>
    <row r="9" spans="1:22" ht="27" customHeight="1" x14ac:dyDescent="0.3">
      <c r="A9" s="1015" t="s">
        <v>821</v>
      </c>
      <c r="B9" s="1029">
        <v>0</v>
      </c>
      <c r="C9" s="1029">
        <f>0.18</f>
        <v>0.18</v>
      </c>
      <c r="D9" s="1029">
        <f>1-C9</f>
        <v>0.82000000000000006</v>
      </c>
      <c r="E9" s="1029">
        <v>0.25</v>
      </c>
      <c r="F9" s="1029">
        <v>0.25</v>
      </c>
      <c r="G9" s="1029">
        <v>0.25</v>
      </c>
      <c r="H9" s="1029">
        <v>0.25</v>
      </c>
      <c r="I9" s="1029">
        <v>0.25</v>
      </c>
      <c r="J9" s="1029">
        <v>0.25</v>
      </c>
      <c r="K9" s="1029">
        <v>0.25</v>
      </c>
      <c r="L9" s="1029">
        <v>0.25</v>
      </c>
      <c r="M9" s="1029">
        <v>0.25</v>
      </c>
      <c r="N9" s="1029">
        <v>0.25</v>
      </c>
      <c r="O9" s="1029">
        <v>0.25</v>
      </c>
      <c r="P9" s="1029">
        <v>0.25</v>
      </c>
      <c r="Q9" s="1029">
        <v>0.25</v>
      </c>
      <c r="R9" s="1029">
        <v>0.25</v>
      </c>
      <c r="S9" s="1029">
        <v>0.25</v>
      </c>
      <c r="T9" s="1029">
        <v>0.25</v>
      </c>
      <c r="U9" s="1029">
        <v>0.25</v>
      </c>
    </row>
    <row r="10" spans="1:22" x14ac:dyDescent="0.3">
      <c r="A10" s="1015" t="s">
        <v>822</v>
      </c>
      <c r="B10" s="1029">
        <v>0</v>
      </c>
      <c r="C10" s="1029">
        <v>0.5</v>
      </c>
      <c r="D10" s="1029">
        <v>0.5</v>
      </c>
      <c r="E10" s="1029">
        <v>0.25</v>
      </c>
      <c r="F10" s="1029">
        <v>0.25</v>
      </c>
      <c r="G10" s="1029">
        <v>0.25</v>
      </c>
      <c r="H10" s="1029">
        <v>0.25</v>
      </c>
      <c r="I10" s="1029">
        <v>0.25</v>
      </c>
      <c r="J10" s="1029">
        <v>0.25</v>
      </c>
      <c r="K10" s="1029">
        <v>0.25</v>
      </c>
      <c r="L10" s="1029">
        <v>0.25</v>
      </c>
      <c r="M10" s="1029">
        <v>0.25</v>
      </c>
      <c r="N10" s="1029">
        <v>0.25</v>
      </c>
      <c r="O10" s="1029">
        <v>0.25</v>
      </c>
      <c r="P10" s="1029">
        <v>0.25</v>
      </c>
      <c r="Q10" s="1029">
        <v>0.25</v>
      </c>
      <c r="R10" s="1029">
        <v>0.25</v>
      </c>
      <c r="S10" s="1029">
        <v>0.25</v>
      </c>
      <c r="T10" s="1029">
        <v>0.25</v>
      </c>
      <c r="U10" s="1029">
        <v>0.25</v>
      </c>
    </row>
    <row r="11" spans="1:22" x14ac:dyDescent="0.3">
      <c r="A11" s="1015" t="s">
        <v>823</v>
      </c>
      <c r="B11" s="1029">
        <v>0</v>
      </c>
      <c r="C11" s="1029">
        <v>0.5</v>
      </c>
      <c r="D11" s="1029">
        <v>0.5</v>
      </c>
      <c r="E11" s="1029">
        <v>0.25</v>
      </c>
      <c r="F11" s="1029">
        <v>0.25</v>
      </c>
      <c r="G11" s="1029">
        <v>0.25</v>
      </c>
      <c r="H11" s="1029">
        <v>0.25</v>
      </c>
      <c r="I11" s="1029">
        <v>0.25</v>
      </c>
      <c r="J11" s="1029">
        <v>0.25</v>
      </c>
      <c r="K11" s="1029">
        <v>0.25</v>
      </c>
      <c r="L11" s="1029">
        <v>0.25</v>
      </c>
      <c r="M11" s="1029">
        <v>0.25</v>
      </c>
      <c r="N11" s="1029">
        <v>0.25</v>
      </c>
      <c r="O11" s="1029">
        <v>0.25</v>
      </c>
      <c r="P11" s="1029">
        <v>0.25</v>
      </c>
      <c r="Q11" s="1029">
        <v>0.25</v>
      </c>
      <c r="R11" s="1029">
        <v>0.25</v>
      </c>
      <c r="S11" s="1029">
        <v>0.25</v>
      </c>
      <c r="T11" s="1029">
        <v>0.25</v>
      </c>
      <c r="U11" s="1029">
        <v>0.25</v>
      </c>
    </row>
    <row r="12" spans="1:22" ht="14.25" customHeight="1" x14ac:dyDescent="0.3">
      <c r="A12" s="1015" t="s">
        <v>824</v>
      </c>
      <c r="B12" s="1029">
        <v>1</v>
      </c>
      <c r="C12" s="1029"/>
      <c r="D12" s="1029"/>
      <c r="E12" s="1029"/>
      <c r="F12" s="1029"/>
      <c r="G12" s="1029"/>
      <c r="H12" s="1029"/>
      <c r="I12" s="1029"/>
      <c r="J12" s="1029"/>
      <c r="K12" s="1029"/>
      <c r="L12" s="1029"/>
      <c r="M12" s="1029"/>
      <c r="N12" s="1029"/>
      <c r="O12" s="1029"/>
      <c r="P12" s="1029"/>
      <c r="Q12" s="1029"/>
      <c r="R12" s="1029"/>
      <c r="S12" s="1029"/>
      <c r="T12" s="1029"/>
      <c r="U12" s="1029"/>
    </row>
    <row r="13" spans="1:22" x14ac:dyDescent="0.3">
      <c r="A13" s="1015" t="s">
        <v>825</v>
      </c>
      <c r="B13" s="1029">
        <v>0</v>
      </c>
      <c r="C13" s="1029">
        <v>0.4</v>
      </c>
      <c r="D13" s="1029">
        <v>0.6</v>
      </c>
      <c r="E13" s="1029">
        <v>0.4</v>
      </c>
      <c r="F13" s="1029">
        <v>0.3</v>
      </c>
      <c r="G13" s="1029">
        <v>0.2</v>
      </c>
      <c r="H13" s="1029">
        <v>0.1</v>
      </c>
      <c r="I13" s="1029">
        <v>0.25</v>
      </c>
      <c r="J13" s="1029">
        <v>0.25</v>
      </c>
      <c r="K13" s="1029">
        <v>0.25</v>
      </c>
      <c r="L13" s="1029">
        <v>0.25</v>
      </c>
      <c r="M13" s="1029">
        <v>0.25</v>
      </c>
      <c r="N13" s="1029">
        <v>0.25</v>
      </c>
      <c r="O13" s="1029">
        <v>0.25</v>
      </c>
      <c r="P13" s="1029">
        <v>0.25</v>
      </c>
      <c r="Q13" s="1029">
        <v>0.25</v>
      </c>
      <c r="R13" s="1029">
        <v>0.25</v>
      </c>
      <c r="S13" s="1029">
        <v>0.25</v>
      </c>
      <c r="T13" s="1029">
        <v>0.25</v>
      </c>
      <c r="U13" s="1029">
        <v>0.25</v>
      </c>
    </row>
    <row r="14" spans="1:22" x14ac:dyDescent="0.3">
      <c r="A14" s="1015"/>
      <c r="B14" s="1029"/>
      <c r="C14" s="1029"/>
      <c r="D14" s="1029"/>
      <c r="E14" s="1029"/>
      <c r="F14" s="1029"/>
      <c r="G14" s="1029"/>
      <c r="H14" s="1029"/>
      <c r="I14" s="1029"/>
      <c r="J14" s="1029"/>
      <c r="K14" s="1029"/>
      <c r="L14" s="1029"/>
      <c r="M14" s="1029"/>
      <c r="N14" s="1029"/>
      <c r="O14" s="1029"/>
      <c r="P14" s="1029"/>
      <c r="Q14" s="1029"/>
      <c r="R14" s="1029"/>
      <c r="S14" s="1029"/>
      <c r="T14" s="1029"/>
      <c r="U14" s="1029"/>
    </row>
    <row r="15" spans="1:22" ht="27" customHeight="1" x14ac:dyDescent="0.3">
      <c r="A15" s="1030" t="s">
        <v>826</v>
      </c>
      <c r="B15" s="1029">
        <v>1</v>
      </c>
      <c r="C15" s="1029">
        <v>2</v>
      </c>
      <c r="D15" s="1029">
        <v>3</v>
      </c>
      <c r="E15" s="1029">
        <v>4</v>
      </c>
      <c r="F15" s="1029">
        <v>5</v>
      </c>
      <c r="G15" s="1029">
        <v>6</v>
      </c>
      <c r="H15" s="1029">
        <v>7</v>
      </c>
      <c r="I15" s="1029">
        <v>8</v>
      </c>
      <c r="J15" s="1029">
        <v>9</v>
      </c>
      <c r="K15" s="1029">
        <v>10</v>
      </c>
      <c r="L15" s="1029">
        <v>11</v>
      </c>
      <c r="M15" s="1029">
        <v>12</v>
      </c>
      <c r="N15" s="1029">
        <v>13</v>
      </c>
      <c r="O15" s="1029">
        <v>14</v>
      </c>
      <c r="P15" s="1029">
        <v>15</v>
      </c>
      <c r="Q15" s="1029">
        <v>16</v>
      </c>
      <c r="R15" s="1029">
        <v>17</v>
      </c>
      <c r="S15" s="1029">
        <v>18</v>
      </c>
      <c r="T15" s="1029">
        <v>19</v>
      </c>
      <c r="U15" s="1029">
        <v>20</v>
      </c>
    </row>
    <row r="16" spans="1:22" x14ac:dyDescent="0.3">
      <c r="A16" s="1015" t="s">
        <v>827</v>
      </c>
      <c r="B16" s="1029">
        <v>7.0000000000000007E-2</v>
      </c>
      <c r="C16" s="1029">
        <v>7.0000000000000007E-2</v>
      </c>
      <c r="D16" s="1029">
        <v>4.9000000000000002E-2</v>
      </c>
      <c r="E16" s="1029">
        <v>4.9000000000000002E-2</v>
      </c>
      <c r="F16" s="1029">
        <v>4.9000000000000002E-2</v>
      </c>
      <c r="G16" s="1029">
        <v>4.9000000000000002E-2</v>
      </c>
      <c r="H16" s="1029">
        <v>4.9000000000000002E-2</v>
      </c>
      <c r="I16" s="1029">
        <v>4.9000000000000002E-2</v>
      </c>
      <c r="J16" s="1029">
        <v>4.9000000000000002E-2</v>
      </c>
      <c r="K16" s="1029">
        <v>4.9000000000000002E-2</v>
      </c>
      <c r="L16" s="1029">
        <v>4.9000000000000002E-2</v>
      </c>
      <c r="M16" s="1029">
        <v>4.9000000000000002E-2</v>
      </c>
      <c r="N16" s="1029">
        <f t="shared" ref="N16:T16" si="1">0.0475</f>
        <v>4.7500000000000001E-2</v>
      </c>
      <c r="O16" s="1029">
        <f t="shared" si="1"/>
        <v>4.7500000000000001E-2</v>
      </c>
      <c r="P16" s="1029">
        <f t="shared" si="1"/>
        <v>4.7500000000000001E-2</v>
      </c>
      <c r="Q16" s="1029">
        <f t="shared" si="1"/>
        <v>4.7500000000000001E-2</v>
      </c>
      <c r="R16" s="1029">
        <f t="shared" si="1"/>
        <v>4.7500000000000001E-2</v>
      </c>
      <c r="S16" s="1029">
        <f t="shared" si="1"/>
        <v>4.7500000000000001E-2</v>
      </c>
      <c r="T16" s="1029">
        <f t="shared" si="1"/>
        <v>4.7500000000000001E-2</v>
      </c>
      <c r="U16" s="1029">
        <f>0.0375</f>
        <v>3.7499999999999999E-2</v>
      </c>
      <c r="V16" s="1029">
        <f>SUM(B16:U16)</f>
        <v>0.99999999999999989</v>
      </c>
    </row>
    <row r="17" spans="1:23" ht="27" customHeight="1" x14ac:dyDescent="0.3">
      <c r="A17" s="1015" t="s">
        <v>828</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029">
        <f>SUM(B17:U17)</f>
        <v>0.94000000000000006</v>
      </c>
      <c r="W17" t="s">
        <v>829</v>
      </c>
    </row>
    <row r="19" spans="1:23" x14ac:dyDescent="0.3">
      <c r="B19" s="1028" t="e">
        <f>'Federal and State Purchases'!#REF!</f>
        <v>#REF!</v>
      </c>
      <c r="C19" s="1028" t="e">
        <f>'Federal and State Purchases'!#REF!</f>
        <v>#REF!</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X99"/>
  <sheetViews>
    <sheetView zoomScale="98" zoomScaleNormal="80" workbookViewId="0">
      <selection activeCell="J6" sqref="J6"/>
    </sheetView>
  </sheetViews>
  <sheetFormatPr defaultColWidth="11.5546875" defaultRowHeight="14.4" x14ac:dyDescent="0.3"/>
  <cols>
    <col min="1" max="1" width="15.44140625" customWidth="1"/>
    <col min="2" max="2" width="32.44140625" customWidth="1"/>
  </cols>
  <sheetData>
    <row r="1" spans="1:23" x14ac:dyDescent="0.3">
      <c r="A1" s="1041" t="s">
        <v>830</v>
      </c>
      <c r="B1" s="1041" t="s">
        <v>740</v>
      </c>
      <c r="C1" s="1032">
        <v>2021</v>
      </c>
      <c r="D1" s="1032">
        <f>C1</f>
        <v>2021</v>
      </c>
      <c r="E1" s="1032">
        <f>D1</f>
        <v>2021</v>
      </c>
      <c r="F1" s="1032">
        <v>2022</v>
      </c>
      <c r="G1" s="1032">
        <v>2022</v>
      </c>
      <c r="H1" s="1032">
        <v>2022</v>
      </c>
      <c r="I1" s="1032">
        <v>2022</v>
      </c>
      <c r="J1" s="1032">
        <v>2023</v>
      </c>
      <c r="K1" s="1032">
        <v>2023</v>
      </c>
      <c r="L1" s="1032">
        <v>2023</v>
      </c>
      <c r="M1" s="1032">
        <v>2023</v>
      </c>
      <c r="N1" s="1032">
        <v>2024</v>
      </c>
      <c r="O1" s="1032">
        <v>2024</v>
      </c>
      <c r="P1" s="1032">
        <v>2024</v>
      </c>
      <c r="Q1" s="1032">
        <v>2024</v>
      </c>
      <c r="R1" s="1032">
        <v>2025</v>
      </c>
      <c r="S1" s="1032">
        <v>2025</v>
      </c>
      <c r="T1" s="1032">
        <v>2025</v>
      </c>
      <c r="U1" s="1032">
        <v>2025</v>
      </c>
      <c r="V1" s="1032">
        <v>2026</v>
      </c>
    </row>
    <row r="2" spans="1:23" x14ac:dyDescent="0.3">
      <c r="B2" s="1041" t="s">
        <v>831</v>
      </c>
      <c r="C2" s="108" t="s">
        <v>295</v>
      </c>
      <c r="D2" s="108" t="s">
        <v>296</v>
      </c>
      <c r="E2" s="108" t="s">
        <v>180</v>
      </c>
      <c r="F2" s="108" t="s">
        <v>181</v>
      </c>
      <c r="G2" s="108" t="s">
        <v>182</v>
      </c>
      <c r="H2" s="108" t="s">
        <v>183</v>
      </c>
      <c r="I2" s="108" t="s">
        <v>184</v>
      </c>
      <c r="J2" s="108" t="s">
        <v>185</v>
      </c>
      <c r="K2" s="108" t="s">
        <v>186</v>
      </c>
      <c r="L2" s="108" t="s">
        <v>187</v>
      </c>
      <c r="M2" s="108" t="s">
        <v>188</v>
      </c>
      <c r="N2" s="108" t="s">
        <v>189</v>
      </c>
      <c r="O2" s="108" t="s">
        <v>190</v>
      </c>
      <c r="P2" s="108" t="s">
        <v>191</v>
      </c>
      <c r="Q2" s="108" t="s">
        <v>175</v>
      </c>
      <c r="R2" s="108" t="s">
        <v>176</v>
      </c>
      <c r="S2" s="108" t="s">
        <v>177</v>
      </c>
      <c r="T2" s="108" t="s">
        <v>832</v>
      </c>
      <c r="U2" s="108" t="s">
        <v>833</v>
      </c>
      <c r="V2" s="108" t="s">
        <v>834</v>
      </c>
    </row>
    <row r="3" spans="1:23" x14ac:dyDescent="0.3">
      <c r="A3" s="1041">
        <v>3</v>
      </c>
      <c r="B3" s="1041" t="s">
        <v>595</v>
      </c>
      <c r="C3" s="1033">
        <f>4*'ARP Timing'!B6*VLOOKUP(C$1,'ARP Score'!$A$5:$M14,$A3)</f>
        <v>0</v>
      </c>
      <c r="D3" s="1033">
        <f>4*'ARP Timing'!C6*VLOOKUP(D$1,'ARP Score'!$A$5:$M14,$A3)</f>
        <v>336.60399999999998</v>
      </c>
      <c r="E3" s="1033">
        <f>4*'ARP Timing'!D6*VLOOKUP(E$1,'ARP Score'!$A$5:$M14,$A3)</f>
        <v>446.19599999999991</v>
      </c>
      <c r="F3" s="1033">
        <f>4*'ARP Timing'!E6*VLOOKUP(F$1,'ARP Score'!$A$5:$M14,$A3)</f>
        <v>10.1</v>
      </c>
      <c r="G3" s="1033">
        <f>4*'ARP Timing'!F6*VLOOKUP(G$1,'ARP Score'!$A$5:$M14,$A3)</f>
        <v>10.1</v>
      </c>
      <c r="H3" s="1033">
        <f>4*'ARP Timing'!G6*VLOOKUP(H$1,'ARP Score'!$A$5:$M14,$A3)</f>
        <v>10.1</v>
      </c>
      <c r="I3" s="1033">
        <f>4*'ARP Timing'!H6*VLOOKUP(I$1,'ARP Score'!$A$5:$M14,$A3)</f>
        <v>10.1</v>
      </c>
      <c r="J3" s="1033">
        <f>4*'ARP Timing'!I6*VLOOKUP(J$1,'ARP Score'!$A$5:$M14,$A3)</f>
        <v>0</v>
      </c>
      <c r="K3" s="1033">
        <f>4*'ARP Timing'!J6*VLOOKUP(K$1,'ARP Score'!$A$5:$M14,$A3)</f>
        <v>0</v>
      </c>
      <c r="L3" s="1033">
        <f>4*'ARP Timing'!K6*VLOOKUP(L$1,'ARP Score'!$A$5:$M14,$A3)</f>
        <v>0</v>
      </c>
      <c r="M3" s="1033">
        <f>4*'ARP Timing'!L6*VLOOKUP(M$1,'ARP Score'!$A$5:$M14,$A3)</f>
        <v>0</v>
      </c>
      <c r="N3" s="1033">
        <f>4*'ARP Timing'!M6*VLOOKUP(N$1,'ARP Score'!$A$5:$M14,$A3)</f>
        <v>0</v>
      </c>
      <c r="O3" s="1033">
        <f>4*'ARP Timing'!N6*VLOOKUP(O$1,'ARP Score'!$A$5:$M14,$A3)</f>
        <v>0</v>
      </c>
      <c r="P3" s="1033">
        <f>4*'ARP Timing'!O6*VLOOKUP(P$1,'ARP Score'!$A$5:$M14,$A3)</f>
        <v>0</v>
      </c>
      <c r="Q3" s="1033">
        <f>4*'ARP Timing'!P6*VLOOKUP(Q$1,'ARP Score'!$A$5:$M14,$A3)</f>
        <v>0</v>
      </c>
      <c r="R3" s="1033">
        <f>4*'ARP Timing'!Q6*VLOOKUP(R$1,'ARP Score'!$A$5:$M14,$A3)</f>
        <v>0</v>
      </c>
      <c r="S3" s="1033">
        <f>4*'ARP Timing'!R6*VLOOKUP(S$1,'ARP Score'!$A$5:$M14,$A3)</f>
        <v>0</v>
      </c>
      <c r="T3" s="1033">
        <f>4*'ARP Timing'!S6*VLOOKUP(T$1,'ARP Score'!$A$5:$M14,$A3)</f>
        <v>0</v>
      </c>
      <c r="U3" s="1033">
        <f>4*'ARP Timing'!T6*VLOOKUP(U$1,'ARP Score'!$A$5:$M14,$A3)</f>
        <v>0</v>
      </c>
      <c r="V3" s="1033">
        <f>4*'ARP Timing'!U6*VLOOKUP(V$1,'ARP Score'!$A$5:$M14,$A3)</f>
        <v>0</v>
      </c>
      <c r="W3" s="1033">
        <f>SUM(C3:U3)/4</f>
        <v>205.8</v>
      </c>
    </row>
    <row r="4" spans="1:23" x14ac:dyDescent="0.3">
      <c r="A4" s="1041">
        <v>5</v>
      </c>
      <c r="B4" s="1034" t="s">
        <v>742</v>
      </c>
      <c r="C4" s="1033">
        <f>4*'ARP Timing'!B7*VLOOKUP(C$1,'ARP Score'!$A$5:$M15,$A4)</f>
        <v>0</v>
      </c>
      <c r="D4" s="1033">
        <f>4*'ARP Timing'!C7*VLOOKUP(D$1,'ARP Score'!$A$5:$M15,$A4)</f>
        <v>0</v>
      </c>
      <c r="E4" s="1033">
        <f>4*'ARP Timing'!D7*VLOOKUP(E$1,'ARP Score'!$A$5:$M15,$A4)</f>
        <v>3.1040000000000418</v>
      </c>
      <c r="F4" s="1033">
        <f>4*'ARP Timing'!E7*VLOOKUP(F$1,'ARP Score'!$A$5:$M15,$A4)</f>
        <v>19.719000000000005</v>
      </c>
      <c r="G4" s="1033">
        <f>4*'ARP Timing'!F7*VLOOKUP(G$1,'ARP Score'!$A$5:$M15,$A4)</f>
        <v>19.719000000000005</v>
      </c>
      <c r="H4" s="1033">
        <f>4*'ARP Timing'!G7*VLOOKUP(H$1,'ARP Score'!$A$5:$M15,$A4)</f>
        <v>19.719000000000005</v>
      </c>
      <c r="I4" s="1033">
        <f>4*'ARP Timing'!H7*VLOOKUP(I$1,'ARP Score'!$A$5:$M15,$A4)</f>
        <v>19.719000000000005</v>
      </c>
      <c r="J4" s="1033">
        <f>4*'ARP Timing'!I7*VLOOKUP(J$1,'ARP Score'!$A$5:$M15,$A4)</f>
        <v>1.4159999999999999</v>
      </c>
      <c r="K4" s="1033">
        <f>4*'ARP Timing'!J7*VLOOKUP(K$1,'ARP Score'!$A$5:$M15,$A4)</f>
        <v>1.4159999999999999</v>
      </c>
      <c r="L4" s="1033">
        <f>4*'ARP Timing'!K7*VLOOKUP(L$1,'ARP Score'!$A$5:$M15,$A4)</f>
        <v>1.4159999999999999</v>
      </c>
      <c r="M4" s="1033">
        <f>4*'ARP Timing'!L7*VLOOKUP(M$1,'ARP Score'!$A$5:$M15,$A4)</f>
        <v>1.4159999999999999</v>
      </c>
      <c r="N4" s="1033">
        <f>4*'ARP Timing'!M7*VLOOKUP(N$1,'ARP Score'!$A$5:$M15,$A4)</f>
        <v>1.4790000000000001</v>
      </c>
      <c r="O4" s="1033">
        <f>4*'ARP Timing'!N7*VLOOKUP(O$1,'ARP Score'!$A$5:$M15,$A4)</f>
        <v>1.4790000000000001</v>
      </c>
      <c r="P4" s="1033">
        <f>4*'ARP Timing'!O7*VLOOKUP(P$1,'ARP Score'!$A$5:$M15,$A4)</f>
        <v>1.4790000000000001</v>
      </c>
      <c r="Q4" s="1033">
        <f>4*'ARP Timing'!P7*VLOOKUP(Q$1,'ARP Score'!$A$5:$M15,$A4)</f>
        <v>1.4790000000000001</v>
      </c>
      <c r="R4" s="1033">
        <f>4*'ARP Timing'!Q7*VLOOKUP(R$1,'ARP Score'!$A$5:$M15,$A4)</f>
        <v>1.63</v>
      </c>
      <c r="S4" s="1033">
        <f>4*'ARP Timing'!R7*VLOOKUP(S$1,'ARP Score'!$A$5:$M15,$A4)</f>
        <v>1.63</v>
      </c>
      <c r="T4" s="1033">
        <f>4*'ARP Timing'!S7*VLOOKUP(T$1,'ARP Score'!$A$5:$M15,$A4)</f>
        <v>1.63</v>
      </c>
      <c r="U4" s="1033">
        <f>4*'ARP Timing'!T7*VLOOKUP(U$1,'ARP Score'!$A$5:$M15,$A4)</f>
        <v>1.63</v>
      </c>
      <c r="V4" s="1033">
        <f>4*'ARP Timing'!U7*VLOOKUP(V$1,'ARP Score'!$A$5:$M15,$A4)</f>
        <v>1.671</v>
      </c>
      <c r="W4" s="1033">
        <f>SUM(C4:U4)/4</f>
        <v>25.020000000000007</v>
      </c>
    </row>
    <row r="5" spans="1:23" x14ac:dyDescent="0.3">
      <c r="A5" s="1041">
        <v>6</v>
      </c>
      <c r="B5" s="1034" t="s">
        <v>743</v>
      </c>
      <c r="C5" s="1033">
        <f>4*'ARP Timing'!B8*VLOOKUP(C$1,'ARP Score'!$A$5:$M16,$A5)</f>
        <v>0</v>
      </c>
      <c r="D5" s="1033">
        <f>4*'ARP Timing'!C8*VLOOKUP(D$1,'ARP Score'!$A$5:$M16,$A5)</f>
        <v>33.921840000000024</v>
      </c>
      <c r="E5" s="1033">
        <f>4*'ARP Timing'!D8*VLOOKUP(E$1,'ARP Score'!$A$5:$M16,$A5)</f>
        <v>44.966160000000031</v>
      </c>
      <c r="F5" s="1033">
        <f>4*'ARP Timing'!E8*VLOOKUP(F$1,'ARP Score'!$A$5:$M16,$A5)</f>
        <v>52.756999999999998</v>
      </c>
      <c r="G5" s="1033">
        <f>4*'ARP Timing'!F8*VLOOKUP(G$1,'ARP Score'!$A$5:$M16,$A5)</f>
        <v>52.756999999999998</v>
      </c>
      <c r="H5" s="1033">
        <f>4*'ARP Timing'!G8*VLOOKUP(H$1,'ARP Score'!$A$5:$M16,$A5)</f>
        <v>52.756999999999998</v>
      </c>
      <c r="I5" s="1033">
        <f>4*'ARP Timing'!H8*VLOOKUP(I$1,'ARP Score'!$A$5:$M16,$A5)</f>
        <v>52.756999999999998</v>
      </c>
      <c r="J5" s="1033">
        <f>4*'ARP Timing'!I8*VLOOKUP(J$1,'ARP Score'!$A$5:$M16,$A5)</f>
        <v>12</v>
      </c>
      <c r="K5" s="1033">
        <f>4*'ARP Timing'!J8*VLOOKUP(K$1,'ARP Score'!$A$5:$M16,$A5)</f>
        <v>12</v>
      </c>
      <c r="L5" s="1033">
        <f>4*'ARP Timing'!K8*VLOOKUP(L$1,'ARP Score'!$A$5:$M16,$A5)</f>
        <v>12</v>
      </c>
      <c r="M5" s="1033">
        <f>4*'ARP Timing'!L8*VLOOKUP(M$1,'ARP Score'!$A$5:$M16,$A5)</f>
        <v>12</v>
      </c>
      <c r="N5" s="1033">
        <f>4*'ARP Timing'!M8*VLOOKUP(N$1,'ARP Score'!$A$5:$M16,$A5)</f>
        <v>4.2219999999999995</v>
      </c>
      <c r="O5" s="1033">
        <f>4*'ARP Timing'!N8*VLOOKUP(O$1,'ARP Score'!$A$5:$M16,$A5)</f>
        <v>4.2219999999999995</v>
      </c>
      <c r="P5" s="1033">
        <f>4*'ARP Timing'!O8*VLOOKUP(P$1,'ARP Score'!$A$5:$M16,$A5)</f>
        <v>4.2219999999999995</v>
      </c>
      <c r="Q5" s="1033">
        <f>4*'ARP Timing'!P8*VLOOKUP(Q$1,'ARP Score'!$A$5:$M16,$A5)</f>
        <v>4.2219999999999995</v>
      </c>
      <c r="R5" s="1033">
        <f>4*'ARP Timing'!Q8*VLOOKUP(R$1,'ARP Score'!$A$5:$M16,$A5)</f>
        <v>2.3719999999999999</v>
      </c>
      <c r="S5" s="1033">
        <f>4*'ARP Timing'!R8*VLOOKUP(S$1,'ARP Score'!$A$5:$M16,$A5)</f>
        <v>2.3719999999999999</v>
      </c>
      <c r="T5" s="1033">
        <f>4*'ARP Timing'!S8*VLOOKUP(T$1,'ARP Score'!$A$5:$M16,$A5)</f>
        <v>2.3719999999999999</v>
      </c>
      <c r="U5" s="1033">
        <f>4*'ARP Timing'!T8*VLOOKUP(U$1,'ARP Score'!$A$5:$M16,$A5)</f>
        <v>2.3719999999999999</v>
      </c>
      <c r="V5" s="1033">
        <f>4*'ARP Timing'!U8*VLOOKUP(V$1,'ARP Score'!$A$5:$M16,$A5)</f>
        <v>0.49</v>
      </c>
      <c r="W5" s="1033">
        <f t="shared" ref="W5:W15" si="0">SUM(C5:U5)/4</f>
        <v>91.073000000000008</v>
      </c>
    </row>
    <row r="6" spans="1:23" x14ac:dyDescent="0.3">
      <c r="A6" s="1041">
        <v>7</v>
      </c>
      <c r="B6" s="1034" t="s">
        <v>835</v>
      </c>
      <c r="C6" s="1033">
        <f>4*'ARP Timing'!B9*VLOOKUP(C$1,'ARP Score'!$A$5:$M17,$A6)</f>
        <v>0</v>
      </c>
      <c r="D6" s="1033">
        <f>4*'ARP Timing'!C9*VLOOKUP(D$1,'ARP Score'!$A$5:$M17,$A6)</f>
        <v>58.782959999999989</v>
      </c>
      <c r="E6" s="1033">
        <f>4*'ARP Timing'!D9*VLOOKUP(E$1,'ARP Score'!$A$5:$M17,$A6)</f>
        <v>267.78904</v>
      </c>
      <c r="F6" s="1033">
        <f>4*'ARP Timing'!E9*VLOOKUP(F$1,'ARP Score'!$A$5:$M17,$A6)</f>
        <v>110.24799999999999</v>
      </c>
      <c r="G6" s="1033">
        <f>4*'ARP Timing'!F9*VLOOKUP(G$1,'ARP Score'!$A$5:$M17,$A6)</f>
        <v>110.24799999999999</v>
      </c>
      <c r="H6" s="1033">
        <f>4*'ARP Timing'!G9*VLOOKUP(H$1,'ARP Score'!$A$5:$M17,$A6)</f>
        <v>110.24799999999999</v>
      </c>
      <c r="I6" s="1033">
        <f>4*'ARP Timing'!H9*VLOOKUP(I$1,'ARP Score'!$A$5:$M17,$A6)</f>
        <v>110.24799999999999</v>
      </c>
      <c r="J6" s="1033">
        <f>4*'ARP Timing'!I9*VLOOKUP(J$1,'ARP Score'!$A$5:$M17,$A6)</f>
        <v>12.726000000000001</v>
      </c>
      <c r="K6" s="1033">
        <f>4*'ARP Timing'!J9*VLOOKUP(K$1,'ARP Score'!$A$5:$M17,$A6)</f>
        <v>12.726000000000001</v>
      </c>
      <c r="L6" s="1033">
        <f>4*'ARP Timing'!K9*VLOOKUP(L$1,'ARP Score'!$A$5:$M17,$A6)</f>
        <v>12.726000000000001</v>
      </c>
      <c r="M6" s="1033">
        <f>4*'ARP Timing'!L9*VLOOKUP(M$1,'ARP Score'!$A$5:$M17,$A6)</f>
        <v>12.726000000000001</v>
      </c>
      <c r="N6" s="1033">
        <f>4*'ARP Timing'!M9*VLOOKUP(N$1,'ARP Score'!$A$5:$M17,$A6)</f>
        <v>1.365</v>
      </c>
      <c r="O6" s="1033">
        <f>4*'ARP Timing'!N9*VLOOKUP(O$1,'ARP Score'!$A$5:$M17,$A6)</f>
        <v>1.365</v>
      </c>
      <c r="P6" s="1033">
        <f>4*'ARP Timing'!O9*VLOOKUP(P$1,'ARP Score'!$A$5:$M17,$A6)</f>
        <v>1.365</v>
      </c>
      <c r="Q6" s="1033">
        <f>4*'ARP Timing'!P9*VLOOKUP(Q$1,'ARP Score'!$A$5:$M17,$A6)</f>
        <v>1.365</v>
      </c>
      <c r="R6" s="1033">
        <f>4*'ARP Timing'!Q9*VLOOKUP(R$1,'ARP Score'!$A$5:$M17,$A6)</f>
        <v>-0.90100000000000025</v>
      </c>
      <c r="S6" s="1033">
        <f>4*'ARP Timing'!R9*VLOOKUP(S$1,'ARP Score'!$A$5:$M17,$A6)</f>
        <v>-0.90100000000000025</v>
      </c>
      <c r="T6" s="1033">
        <f>4*'ARP Timing'!S9*VLOOKUP(T$1,'ARP Score'!$A$5:$M17,$A6)</f>
        <v>-0.90100000000000025</v>
      </c>
      <c r="U6" s="1033">
        <f>4*'ARP Timing'!T9*VLOOKUP(U$1,'ARP Score'!$A$5:$M17,$A6)</f>
        <v>-0.90100000000000025</v>
      </c>
      <c r="V6" s="1033">
        <f>4*'ARP Timing'!U9*VLOOKUP(V$1,'ARP Score'!$A$5:$M17,$A6)</f>
        <v>-2.1500000000000004</v>
      </c>
      <c r="W6" s="1033">
        <f t="shared" si="0"/>
        <v>205.08100000000007</v>
      </c>
    </row>
    <row r="7" spans="1:23" x14ac:dyDescent="0.3">
      <c r="A7" s="1041">
        <v>8</v>
      </c>
      <c r="B7" s="1034" t="s">
        <v>131</v>
      </c>
      <c r="C7" s="1033">
        <f>4*'ARP Timing'!B10*VLOOKUP(C$1,'ARP Score'!$A$5:$M18,$A7)</f>
        <v>0</v>
      </c>
      <c r="D7" s="1033">
        <f>4*'ARP Timing'!C10*VLOOKUP(D$1,'ARP Score'!$A$5:$M18,$A7)</f>
        <v>15.596</v>
      </c>
      <c r="E7" s="1033">
        <f>4*'ARP Timing'!D10*VLOOKUP(E$1,'ARP Score'!$A$5:$M18,$A7)</f>
        <v>15.596</v>
      </c>
      <c r="F7" s="1033">
        <f>4*'ARP Timing'!E10*VLOOKUP(F$1,'ARP Score'!$A$5:$M18,$A7)</f>
        <v>7.9489999999999998</v>
      </c>
      <c r="G7" s="1033">
        <f>4*'ARP Timing'!F10*VLOOKUP(G$1,'ARP Score'!$A$5:$M18,$A7)</f>
        <v>7.9489999999999998</v>
      </c>
      <c r="H7" s="1033">
        <f>4*'ARP Timing'!G10*VLOOKUP(H$1,'ARP Score'!$A$5:$M18,$A7)</f>
        <v>7.9489999999999998</v>
      </c>
      <c r="I7" s="1033">
        <f>4*'ARP Timing'!H10*VLOOKUP(I$1,'ARP Score'!$A$5:$M18,$A7)</f>
        <v>7.9489999999999998</v>
      </c>
      <c r="J7" s="1033">
        <f>4*'ARP Timing'!I10*VLOOKUP(J$1,'ARP Score'!$A$5:$M18,$A7)</f>
        <v>4.7519999999999998</v>
      </c>
      <c r="K7" s="1033">
        <f>4*'ARP Timing'!J10*VLOOKUP(K$1,'ARP Score'!$A$5:$M18,$A7)</f>
        <v>4.7519999999999998</v>
      </c>
      <c r="L7" s="1033">
        <f>4*'ARP Timing'!K10*VLOOKUP(L$1,'ARP Score'!$A$5:$M18,$A7)</f>
        <v>4.7519999999999998</v>
      </c>
      <c r="M7" s="1033">
        <f>4*'ARP Timing'!L10*VLOOKUP(M$1,'ARP Score'!$A$5:$M18,$A7)</f>
        <v>4.7519999999999998</v>
      </c>
      <c r="N7" s="1033">
        <f>4*'ARP Timing'!M10*VLOOKUP(N$1,'ARP Score'!$A$5:$M18,$A7)</f>
        <v>4.637999999999999</v>
      </c>
      <c r="O7" s="1033">
        <f>4*'ARP Timing'!N10*VLOOKUP(O$1,'ARP Score'!$A$5:$M18,$A7)</f>
        <v>4.637999999999999</v>
      </c>
      <c r="P7" s="1033">
        <f>4*'ARP Timing'!O10*VLOOKUP(P$1,'ARP Score'!$A$5:$M18,$A7)</f>
        <v>4.637999999999999</v>
      </c>
      <c r="Q7" s="1033">
        <f>4*'ARP Timing'!P10*VLOOKUP(Q$1,'ARP Score'!$A$5:$M18,$A7)</f>
        <v>4.637999999999999</v>
      </c>
      <c r="R7" s="1033">
        <f>4*'ARP Timing'!Q10*VLOOKUP(R$1,'ARP Score'!$A$5:$M18,$A7)</f>
        <v>1.8800000000000001</v>
      </c>
      <c r="S7" s="1033">
        <f>4*'ARP Timing'!R10*VLOOKUP(S$1,'ARP Score'!$A$5:$M18,$A7)</f>
        <v>1.8800000000000001</v>
      </c>
      <c r="T7" s="1033">
        <f>4*'ARP Timing'!S10*VLOOKUP(T$1,'ARP Score'!$A$5:$M18,$A7)</f>
        <v>1.8800000000000001</v>
      </c>
      <c r="U7" s="1033">
        <f>4*'ARP Timing'!T10*VLOOKUP(U$1,'ARP Score'!$A$5:$M18,$A7)</f>
        <v>1.8800000000000001</v>
      </c>
      <c r="V7" s="1033">
        <f>4*'ARP Timing'!U10*VLOOKUP(V$1,'ARP Score'!$A$5:$M18,$A7)</f>
        <v>1.446</v>
      </c>
      <c r="W7" s="1033">
        <f t="shared" si="0"/>
        <v>27.016999999999996</v>
      </c>
    </row>
    <row r="8" spans="1:23" x14ac:dyDescent="0.3">
      <c r="A8" s="1041">
        <v>9</v>
      </c>
      <c r="B8" s="1036" t="s">
        <v>396</v>
      </c>
      <c r="C8" s="1033">
        <f>4*'ARP Timing'!B$11*VLOOKUP(C$1,'ARP Score'!$A$5:$M19,$A8)</f>
        <v>0</v>
      </c>
      <c r="D8" s="1033">
        <f>0.6*SUM('ARP Score'!B5:B7)*4</f>
        <v>989.16719999999987</v>
      </c>
      <c r="E8" s="1032">
        <v>0</v>
      </c>
      <c r="F8" s="1033">
        <v>0</v>
      </c>
      <c r="G8" s="1033">
        <v>0</v>
      </c>
      <c r="H8" s="1033">
        <f>D8*0.4/0.6</f>
        <v>659.44479999999999</v>
      </c>
      <c r="I8" s="1033">
        <v>0</v>
      </c>
      <c r="J8" s="1041">
        <v>0</v>
      </c>
      <c r="K8" s="1033">
        <v>0</v>
      </c>
      <c r="L8" s="1033">
        <v>0</v>
      </c>
      <c r="M8" s="1033">
        <v>0</v>
      </c>
      <c r="N8" s="1033">
        <v>0</v>
      </c>
      <c r="O8" s="1033">
        <v>0</v>
      </c>
      <c r="P8" s="1033">
        <v>0</v>
      </c>
      <c r="Q8" s="1033">
        <v>0</v>
      </c>
      <c r="R8" s="1033">
        <v>0</v>
      </c>
      <c r="S8" s="1033">
        <v>0</v>
      </c>
      <c r="T8" s="1033">
        <v>0</v>
      </c>
      <c r="U8" s="1033">
        <v>0</v>
      </c>
      <c r="V8" s="1033">
        <v>0</v>
      </c>
      <c r="W8" s="1033">
        <f t="shared" si="0"/>
        <v>412.15299999999996</v>
      </c>
    </row>
    <row r="9" spans="1:23" x14ac:dyDescent="0.3">
      <c r="A9" s="1041">
        <v>10</v>
      </c>
      <c r="B9" s="1036" t="s">
        <v>150</v>
      </c>
      <c r="C9" s="1033">
        <f>4*'ARP Timing'!B$11*VLOOKUP(C$1,'ARP Score'!$A$5:$M20,$A9)</f>
        <v>0</v>
      </c>
      <c r="D9" s="1033">
        <f>4*'ARP Timing'!C$11*VLOOKUP(D$1,'ARP Score'!$A$5:$M20,$A9)</f>
        <v>24.693999999999999</v>
      </c>
      <c r="E9" s="1033">
        <f>4*'ARP Timing'!D$11*VLOOKUP(E$1,'ARP Score'!$A$5:$M20,$A9)</f>
        <v>24.693999999999999</v>
      </c>
      <c r="F9" s="1033">
        <f>4*'ARP Timing'!E$11*VLOOKUP(F$1,'ARP Score'!$A$5:$M20,$A9)</f>
        <v>46.79</v>
      </c>
      <c r="G9" s="1033">
        <f>4*'ARP Timing'!F$11*VLOOKUP(G$1,'ARP Score'!$A$5:$M20,$A9)</f>
        <v>46.79</v>
      </c>
      <c r="H9" s="1033">
        <f>4*'ARP Timing'!G$11*VLOOKUP(H$1,'ARP Score'!$A$5:$M20,$A9)</f>
        <v>46.79</v>
      </c>
      <c r="I9" s="1033">
        <f>4*'ARP Timing'!H$11*VLOOKUP(I$1,'ARP Score'!$A$5:$M20,$A9)</f>
        <v>46.79</v>
      </c>
      <c r="J9" s="1033">
        <f>4*'ARP Timing'!I$11*VLOOKUP(J$1,'ARP Score'!$A$5:$M20,$A9)</f>
        <v>38.595999999999997</v>
      </c>
      <c r="K9" s="1033">
        <f>4*'ARP Timing'!J$11*VLOOKUP(K$1,'ARP Score'!$A$5:$M20,$A9)</f>
        <v>38.595999999999997</v>
      </c>
      <c r="L9" s="1033">
        <f>4*'ARP Timing'!K$11*VLOOKUP(L$1,'ARP Score'!$A$5:$M20,$A9)</f>
        <v>38.595999999999997</v>
      </c>
      <c r="M9" s="1033">
        <f>4*'ARP Timing'!L$11*VLOOKUP(M$1,'ARP Score'!$A$5:$M20,$A9)</f>
        <v>38.595999999999997</v>
      </c>
      <c r="N9" s="1033">
        <f>4*'ARP Timing'!M$11*VLOOKUP(N$1,'ARP Score'!$A$5:$M20,$A9)</f>
        <v>31.911000000000001</v>
      </c>
      <c r="O9" s="1033">
        <f>4*'ARP Timing'!N$11*VLOOKUP(O$1,'ARP Score'!$A$5:$M20,$A9)</f>
        <v>31.911000000000001</v>
      </c>
      <c r="P9" s="1033">
        <f>4*'ARP Timing'!O$11*VLOOKUP(P$1,'ARP Score'!$A$5:$M20,$A9)</f>
        <v>31.911000000000001</v>
      </c>
      <c r="Q9" s="1033">
        <f>4*'ARP Timing'!P$11*VLOOKUP(Q$1,'ARP Score'!$A$5:$M20,$A9)</f>
        <v>31.911000000000001</v>
      </c>
      <c r="R9" s="1033">
        <f>4*'ARP Timing'!Q$11*VLOOKUP(R$1,'ARP Score'!$A$5:$M20,$A9)</f>
        <v>23.099</v>
      </c>
      <c r="S9" s="1033">
        <f>4*'ARP Timing'!R$11*VLOOKUP(S$1,'ARP Score'!$A$5:$M20,$A9)</f>
        <v>23.099</v>
      </c>
      <c r="T9" s="1033">
        <f>4*'ARP Timing'!S$11*VLOOKUP(T$1,'ARP Score'!$A$5:$M20,$A9)</f>
        <v>23.099</v>
      </c>
      <c r="U9" s="1033">
        <f>4*'ARP Timing'!T$11*VLOOKUP(U$1,'ARP Score'!$A$5:$M20,$A9)</f>
        <v>23.099</v>
      </c>
      <c r="V9" s="1033">
        <f>4*'ARP Timing'!U$11*VLOOKUP(V$1,'ARP Score'!$A$5:$M20,$A9)</f>
        <v>10.766999999999999</v>
      </c>
      <c r="W9" s="1033">
        <f t="shared" si="0"/>
        <v>152.74300000000005</v>
      </c>
    </row>
    <row r="10" spans="1:23" x14ac:dyDescent="0.3">
      <c r="A10" s="1040">
        <v>11</v>
      </c>
      <c r="B10" s="1036" t="s">
        <v>412</v>
      </c>
      <c r="C10" s="1033">
        <f>4*'ARP Timing'!B$11*VLOOKUP(C$1,'ARP Score'!$A$5:$M22,$A10)</f>
        <v>0</v>
      </c>
      <c r="D10" s="1033">
        <f>4*'ARP Timing'!C$11*VLOOKUP(D$1,'ARP Score'!$A$5:$M22,$A10)</f>
        <v>59.256</v>
      </c>
      <c r="E10" s="1033">
        <f>4*'ARP Timing'!D$11*VLOOKUP(E$1,'ARP Score'!$A$5:$M22,$A10)</f>
        <v>59.256</v>
      </c>
      <c r="F10" s="1033">
        <f>4*'ARP Timing'!E$11*VLOOKUP(F$1,'ARP Score'!$A$5:$M22,$A10)</f>
        <v>35.671000000000006</v>
      </c>
      <c r="G10" s="1033">
        <f>4*'ARP Timing'!F$11*VLOOKUP(G$1,'ARP Score'!$A$5:$M22,$A10)</f>
        <v>35.671000000000006</v>
      </c>
      <c r="H10" s="1033">
        <f>4*'ARP Timing'!G$11*VLOOKUP(H$1,'ARP Score'!$A$5:$M22,$A10)</f>
        <v>35.671000000000006</v>
      </c>
      <c r="I10" s="1033">
        <f>4*'ARP Timing'!H$11*VLOOKUP(I$1,'ARP Score'!$A$5:$M22,$A10)</f>
        <v>35.671000000000006</v>
      </c>
      <c r="J10" s="1033">
        <f>4*'ARP Timing'!I$11*VLOOKUP(J$1,'ARP Score'!$A$5:$M22,$A10)</f>
        <v>24.216000000000001</v>
      </c>
      <c r="K10" s="1033">
        <f>4*'ARP Timing'!J$11*VLOOKUP(K$1,'ARP Score'!$A$5:$M22,$A10)</f>
        <v>24.216000000000001</v>
      </c>
      <c r="L10" s="1033">
        <f>4*'ARP Timing'!K$11*VLOOKUP(L$1,'ARP Score'!$A$5:$M22,$A10)</f>
        <v>24.216000000000001</v>
      </c>
      <c r="M10" s="1033">
        <f>4*'ARP Timing'!L$11*VLOOKUP(M$1,'ARP Score'!$A$5:$M22,$A10)</f>
        <v>24.216000000000001</v>
      </c>
      <c r="N10" s="1033">
        <f>4*'ARP Timing'!M$11*VLOOKUP(N$1,'ARP Score'!$A$5:$M22,$A10)</f>
        <v>9.6430000000000007</v>
      </c>
      <c r="O10" s="1033">
        <f>4*'ARP Timing'!N$11*VLOOKUP(O$1,'ARP Score'!$A$5:$M22,$A10)</f>
        <v>9.6430000000000007</v>
      </c>
      <c r="P10" s="1033">
        <f>4*'ARP Timing'!O$11*VLOOKUP(P$1,'ARP Score'!$A$5:$M22,$A10)</f>
        <v>9.6430000000000007</v>
      </c>
      <c r="Q10" s="1033">
        <f>4*'ARP Timing'!P$11*VLOOKUP(Q$1,'ARP Score'!$A$5:$M22,$A10)</f>
        <v>9.6430000000000007</v>
      </c>
      <c r="R10" s="1033">
        <f>4*'ARP Timing'!Q$11*VLOOKUP(R$1,'ARP Score'!$A$5:$M22,$A10)</f>
        <v>4.5789999999999997</v>
      </c>
      <c r="S10" s="1033">
        <f>4*'ARP Timing'!R$11*VLOOKUP(S$1,'ARP Score'!$A$5:$M22,$A10)</f>
        <v>4.5789999999999997</v>
      </c>
      <c r="T10" s="1033">
        <f>4*'ARP Timing'!S$11*VLOOKUP(T$1,'ARP Score'!$A$5:$M22,$A10)</f>
        <v>4.5789999999999997</v>
      </c>
      <c r="U10" s="1033">
        <f>4*'ARP Timing'!T$11*VLOOKUP(U$1,'ARP Score'!$A$5:$M22,$A10)</f>
        <v>4.5789999999999997</v>
      </c>
      <c r="V10" s="1033">
        <f>4*'ARP Timing'!U$11*VLOOKUP(V$1,'ARP Score'!$A$5:$M22,$A10)</f>
        <v>2.9130000000000003</v>
      </c>
      <c r="W10" s="1033">
        <f t="shared" si="0"/>
        <v>103.73700000000002</v>
      </c>
    </row>
    <row r="11" spans="1:23" x14ac:dyDescent="0.3">
      <c r="A11" s="1041">
        <v>12</v>
      </c>
      <c r="B11" s="14" t="s">
        <v>159</v>
      </c>
      <c r="C11" s="1033">
        <f>4*'ARP Timing'!B12*VLOOKUP(C$1,'ARP Score'!$A$5:$M20,$A11)</f>
        <v>103</v>
      </c>
      <c r="D11" s="1033">
        <f>4*'ARP Timing'!C12*VLOOKUP(D$1,'ARP Score'!$A$5:$M20,$A11)</f>
        <v>0</v>
      </c>
      <c r="E11" s="1033">
        <f>4*'ARP Timing'!D12*VLOOKUP(E$1,'ARP Score'!$A$5:$M20,$A11)</f>
        <v>0</v>
      </c>
      <c r="F11" s="1033">
        <f>4*'ARP Timing'!E12*VLOOKUP(F$1,'ARP Score'!$A$5:$M20,$A11)</f>
        <v>0</v>
      </c>
      <c r="G11" s="1033">
        <f>4*'ARP Timing'!F12*VLOOKUP(G$1,'ARP Score'!$A$5:$M20,$A11)</f>
        <v>0</v>
      </c>
      <c r="H11" s="1033">
        <f>4*'ARP Timing'!G12*VLOOKUP(H$1,'ARP Score'!$A$5:$M20,$A11)</f>
        <v>0</v>
      </c>
      <c r="I11" s="1033">
        <f>4*'ARP Timing'!H12*VLOOKUP(I$1,'ARP Score'!$A$5:$M20,$A11)</f>
        <v>0</v>
      </c>
      <c r="J11" s="1033">
        <f>4*'ARP Timing'!I12*VLOOKUP(J$1,'ARP Score'!$A$5:$M20,$A11)</f>
        <v>0</v>
      </c>
      <c r="K11" s="1033">
        <f>4*'ARP Timing'!J12*VLOOKUP(K$1,'ARP Score'!$A$5:$M20,$A11)</f>
        <v>0</v>
      </c>
      <c r="L11" s="1033">
        <f>4*'ARP Timing'!K12*VLOOKUP(L$1,'ARP Score'!$A$5:$M20,$A11)</f>
        <v>0</v>
      </c>
      <c r="M11" s="1033">
        <f>4*'ARP Timing'!L12*VLOOKUP(M$1,'ARP Score'!$A$5:$M20,$A11)</f>
        <v>0</v>
      </c>
      <c r="N11" s="1033">
        <f>4*'ARP Timing'!M12*VLOOKUP(N$1,'ARP Score'!$A$5:$M20,$A11)</f>
        <v>0</v>
      </c>
      <c r="O11" s="1033">
        <f>4*'ARP Timing'!N12*VLOOKUP(O$1,'ARP Score'!$A$5:$M20,$A11)</f>
        <v>0</v>
      </c>
      <c r="P11" s="1033">
        <f>4*'ARP Timing'!O12*VLOOKUP(P$1,'ARP Score'!$A$5:$M20,$A11)</f>
        <v>0</v>
      </c>
      <c r="Q11" s="1033">
        <f>4*'ARP Timing'!P12*VLOOKUP(Q$1,'ARP Score'!$A$5:$M20,$A11)</f>
        <v>0</v>
      </c>
      <c r="R11" s="1033">
        <f>4*'ARP Timing'!Q12*VLOOKUP(R$1,'ARP Score'!$A$5:$M20,$A11)</f>
        <v>0</v>
      </c>
      <c r="S11" s="1033">
        <f>4*'ARP Timing'!R12*VLOOKUP(S$1,'ARP Score'!$A$5:$M20,$A11)</f>
        <v>0</v>
      </c>
      <c r="T11" s="1033">
        <f>4*'ARP Timing'!S12*VLOOKUP(T$1,'ARP Score'!$A$5:$M20,$A11)</f>
        <v>0</v>
      </c>
      <c r="U11" s="1033">
        <f>4*'ARP Timing'!T12*VLOOKUP(U$1,'ARP Score'!$A$5:$M20,$A11)</f>
        <v>0</v>
      </c>
      <c r="V11" s="1033">
        <f>4*'ARP Timing'!U12*VLOOKUP(V$1,'ARP Score'!$A$5:$M20,$A11)</f>
        <v>0</v>
      </c>
      <c r="W11" s="1033">
        <f t="shared" si="0"/>
        <v>25.75</v>
      </c>
    </row>
    <row r="12" spans="1:23" x14ac:dyDescent="0.3">
      <c r="A12" s="1041">
        <v>13</v>
      </c>
      <c r="B12" s="1034" t="s">
        <v>109</v>
      </c>
      <c r="C12" s="1033">
        <f>4*'ARP Timing'!B13*VLOOKUP(C$1,'ARP Score'!$A$5:$M21,$A12)</f>
        <v>0</v>
      </c>
      <c r="D12" s="1033">
        <f>4*'ARP Timing'!C13*VLOOKUP(D$1,'ARP Score'!$A$5:$M21,$A12)</f>
        <v>51.102400000000003</v>
      </c>
      <c r="E12" s="1033">
        <f>4*'ARP Timing'!D13*VLOOKUP(E$1,'ARP Score'!$A$5:$M21,$A12)</f>
        <v>76.653599999999997</v>
      </c>
      <c r="F12" s="1033">
        <f>4*'ARP Timing'!E13*VLOOKUP(F$1,'ARP Score'!$A$5:$M21,$A12)</f>
        <v>90.260800000000003</v>
      </c>
      <c r="G12" s="1033">
        <f>4*'ARP Timing'!F13*VLOOKUP(G$1,'ARP Score'!$A$5:$M21,$A12)</f>
        <v>67.695599999999999</v>
      </c>
      <c r="H12" s="1033">
        <f>4*'ARP Timing'!G13*VLOOKUP(H$1,'ARP Score'!$A$5:$M21,$A12)</f>
        <v>45.130400000000002</v>
      </c>
      <c r="I12" s="1033">
        <f>4*'ARP Timing'!H13*VLOOKUP(I$1,'ARP Score'!$A$5:$M21,$A12)</f>
        <v>22.565200000000001</v>
      </c>
      <c r="J12" s="1033">
        <f>4*'ARP Timing'!I13*VLOOKUP(J$1,'ARP Score'!$A$5:$M21,$A12)</f>
        <v>15.652999999999999</v>
      </c>
      <c r="K12" s="1033">
        <f>4*'ARP Timing'!J13*VLOOKUP(K$1,'ARP Score'!$A$5:$M21,$A12)</f>
        <v>15.652999999999999</v>
      </c>
      <c r="L12" s="1033">
        <f>4*'ARP Timing'!K13*VLOOKUP(L$1,'ARP Score'!$A$5:$M21,$A12)</f>
        <v>15.652999999999999</v>
      </c>
      <c r="M12" s="1033">
        <f>4*'ARP Timing'!L13*VLOOKUP(M$1,'ARP Score'!$A$5:$M21,$A12)</f>
        <v>15.652999999999999</v>
      </c>
      <c r="N12" s="1033">
        <f>4*'ARP Timing'!M13*VLOOKUP(N$1,'ARP Score'!$A$5:$M21,$A12)</f>
        <v>3.9320000000000004</v>
      </c>
      <c r="O12" s="1033">
        <f>4*'ARP Timing'!N13*VLOOKUP(O$1,'ARP Score'!$A$5:$M21,$A12)</f>
        <v>3.9320000000000004</v>
      </c>
      <c r="P12" s="1033">
        <f>4*'ARP Timing'!O13*VLOOKUP(P$1,'ARP Score'!$A$5:$M21,$A12)</f>
        <v>3.9320000000000004</v>
      </c>
      <c r="Q12" s="1033">
        <f>4*'ARP Timing'!P13*VLOOKUP(Q$1,'ARP Score'!$A$5:$M21,$A12)</f>
        <v>3.9320000000000004</v>
      </c>
      <c r="R12" s="1033">
        <f>4*'ARP Timing'!Q13*VLOOKUP(R$1,'ARP Score'!$A$5:$M21,$A12)</f>
        <v>-0.74299999999999988</v>
      </c>
      <c r="S12" s="1033">
        <f>4*'ARP Timing'!R13*VLOOKUP(S$1,'ARP Score'!$A$5:$M21,$A12)</f>
        <v>-0.74299999999999988</v>
      </c>
      <c r="T12" s="1033">
        <f>4*'ARP Timing'!S13*VLOOKUP(T$1,'ARP Score'!$A$5:$M21,$A12)</f>
        <v>-0.74299999999999988</v>
      </c>
      <c r="U12" s="1033">
        <f>4*'ARP Timing'!T13*VLOOKUP(U$1,'ARP Score'!$A$5:$M21,$A12)</f>
        <v>-0.74299999999999988</v>
      </c>
      <c r="V12" s="1033">
        <f>4*'ARP Timing'!U13*VLOOKUP(V$1,'ARP Score'!$A$5:$M21,$A12)</f>
        <v>-21.606000000000002</v>
      </c>
      <c r="W12" s="1033">
        <f t="shared" si="0"/>
        <v>107.19400000000005</v>
      </c>
    </row>
    <row r="13" spans="1:23" x14ac:dyDescent="0.3">
      <c r="A13" s="1041">
        <v>15</v>
      </c>
      <c r="B13" s="1041" t="s">
        <v>836</v>
      </c>
      <c r="C13" s="1033">
        <f>0.3*'ARP Score'!$N5*4*'ARP Timing'!B6</f>
        <v>0</v>
      </c>
      <c r="D13" s="1033">
        <f>0.3*'ARP Score'!$N5*4*'ARP Timing'!C6</f>
        <v>1.7544</v>
      </c>
      <c r="E13" s="1033">
        <f>0.3*'ARP Score'!$N5*4*'ARP Timing'!D6</f>
        <v>2.3255999999999997</v>
      </c>
      <c r="F13" s="1033">
        <f>0.3*'ARP Score'!$N6*4*'ARP Timing'!E6</f>
        <v>1.5299999999999998</v>
      </c>
      <c r="G13" s="1033">
        <f>0.3*'ARP Score'!$N6*4*'ARP Timing'!F6</f>
        <v>1.5299999999999998</v>
      </c>
      <c r="H13" s="1033">
        <f>0.3*'ARP Score'!$N6*4*'ARP Timing'!G6</f>
        <v>1.5299999999999998</v>
      </c>
      <c r="I13" s="1033">
        <f>0.3*'ARP Score'!$N6*4*'ARP Timing'!H6</f>
        <v>1.5299999999999998</v>
      </c>
      <c r="J13" s="1033">
        <f>0.3*'ARP Score'!$N7*4*'ARP Timing'!I6</f>
        <v>0</v>
      </c>
      <c r="K13" s="1033">
        <f>0.3*'ARP Score'!$N7*4*'ARP Timing'!J6</f>
        <v>0</v>
      </c>
      <c r="L13" s="1033">
        <f>0.3*'ARP Score'!$N7*4*'ARP Timing'!K6</f>
        <v>0</v>
      </c>
      <c r="M13" s="1033">
        <f>0.3*'ARP Score'!$N7*4*'ARP Timing'!L6</f>
        <v>0</v>
      </c>
      <c r="N13" s="1033">
        <f>0.3*'ARP Score'!$N7*4*'ARP Timing'!M6</f>
        <v>0</v>
      </c>
      <c r="O13" s="1033">
        <f>0.3*'ARP Score'!$N7*4*'ARP Timing'!N6</f>
        <v>0</v>
      </c>
      <c r="P13" s="1033">
        <f>0.3*'ARP Score'!$N7*4*'ARP Timing'!O6</f>
        <v>0</v>
      </c>
      <c r="Q13" s="1033">
        <f>0.3*'ARP Score'!$N7*4*'ARP Timing'!P6</f>
        <v>0</v>
      </c>
      <c r="R13" s="1033">
        <f>0.3*'ARP Score'!$N7*4*'ARP Timing'!Q6</f>
        <v>0</v>
      </c>
      <c r="S13" s="1033">
        <f>0.3*'ARP Score'!$N7*4*'ARP Timing'!R6</f>
        <v>0</v>
      </c>
      <c r="T13" s="1033">
        <f>0.3*'ARP Score'!$N7*4*'ARP Timing'!S6</f>
        <v>0</v>
      </c>
      <c r="U13" s="1033">
        <f>0.3*'ARP Score'!$N7*4*'ARP Timing'!T6</f>
        <v>0</v>
      </c>
      <c r="V13" s="1033">
        <f>0.3*'ARP Score'!$N7*4*'ARP Timing'!U6</f>
        <v>0</v>
      </c>
      <c r="W13" s="1033">
        <f t="shared" si="0"/>
        <v>2.5499999999999994</v>
      </c>
    </row>
    <row r="14" spans="1:23" x14ac:dyDescent="0.3">
      <c r="A14" s="1041">
        <v>14</v>
      </c>
      <c r="B14" s="1041" t="s">
        <v>837</v>
      </c>
      <c r="C14" s="1033">
        <f>C13/0.3*0.2</f>
        <v>0</v>
      </c>
      <c r="D14" s="1033">
        <f t="shared" ref="D14:F14" si="1">D13/0.3*0.2</f>
        <v>1.1696</v>
      </c>
      <c r="E14" s="1033">
        <f t="shared" si="1"/>
        <v>1.5503999999999998</v>
      </c>
      <c r="F14" s="1033">
        <f t="shared" si="1"/>
        <v>1.02</v>
      </c>
      <c r="G14" s="1033">
        <f t="shared" ref="G14" si="2">G13/0.3*0.2</f>
        <v>1.02</v>
      </c>
      <c r="H14" s="1033">
        <f t="shared" ref="H14" si="3">H13/0.3*0.2</f>
        <v>1.02</v>
      </c>
      <c r="I14" s="1033">
        <f t="shared" ref="I14" si="4">I13/0.3*0.2</f>
        <v>1.02</v>
      </c>
      <c r="J14" s="1033">
        <f t="shared" ref="J14" si="5">J13/0.3*0.2</f>
        <v>0</v>
      </c>
      <c r="K14" s="1033">
        <f t="shared" ref="K14" si="6">K13/0.3*0.2</f>
        <v>0</v>
      </c>
      <c r="L14" s="1033">
        <f t="shared" ref="L14" si="7">L13/0.3*0.2</f>
        <v>0</v>
      </c>
      <c r="M14" s="1033">
        <f t="shared" ref="M14" si="8">M13/0.3*0.2</f>
        <v>0</v>
      </c>
      <c r="N14" s="1033">
        <f t="shared" ref="N14" si="9">N13/0.3*0.2</f>
        <v>0</v>
      </c>
      <c r="O14" s="1033">
        <f t="shared" ref="O14" si="10">O13/0.3*0.2</f>
        <v>0</v>
      </c>
      <c r="P14" s="1033">
        <f t="shared" ref="P14" si="11">P13/0.3*0.2</f>
        <v>0</v>
      </c>
      <c r="Q14" s="1033">
        <f t="shared" ref="Q14" si="12">Q13/0.3*0.2</f>
        <v>0</v>
      </c>
      <c r="R14" s="1033">
        <f t="shared" ref="R14" si="13">R13/0.3*0.2</f>
        <v>0</v>
      </c>
      <c r="S14" s="1033">
        <f t="shared" ref="S14" si="14">S13/0.3*0.2</f>
        <v>0</v>
      </c>
      <c r="T14" s="1033">
        <f t="shared" ref="T14" si="15">T13/0.3*0.2</f>
        <v>0</v>
      </c>
      <c r="U14" s="1033">
        <f t="shared" ref="U14" si="16">U13/0.3*0.2</f>
        <v>0</v>
      </c>
      <c r="V14" s="1033">
        <f t="shared" ref="V14" si="17">V13/0.3*0.2</f>
        <v>0</v>
      </c>
      <c r="W14" s="1033">
        <f t="shared" si="0"/>
        <v>1.6999999999999997</v>
      </c>
    </row>
    <row r="15" spans="1:23" x14ac:dyDescent="0.3">
      <c r="A15" s="1041">
        <v>14</v>
      </c>
      <c r="B15" s="1041" t="s">
        <v>533</v>
      </c>
      <c r="C15" s="1033">
        <f>C14/0.2*0.5</f>
        <v>0</v>
      </c>
      <c r="D15" s="1033">
        <f t="shared" ref="D15:F15" si="18">D14/0.2*0.5</f>
        <v>2.9239999999999999</v>
      </c>
      <c r="E15" s="1033">
        <f t="shared" si="18"/>
        <v>3.8759999999999994</v>
      </c>
      <c r="F15" s="1033">
        <f t="shared" si="18"/>
        <v>2.5499999999999998</v>
      </c>
      <c r="G15" s="1033">
        <f t="shared" ref="G15" si="19">G14/0.2*0.5</f>
        <v>2.5499999999999998</v>
      </c>
      <c r="H15" s="1033">
        <f t="shared" ref="H15" si="20">H14/0.2*0.5</f>
        <v>2.5499999999999998</v>
      </c>
      <c r="I15" s="1033">
        <f t="shared" ref="I15" si="21">I14/0.2*0.5</f>
        <v>2.5499999999999998</v>
      </c>
      <c r="J15" s="1033">
        <f t="shared" ref="J15" si="22">J14/0.2*0.5</f>
        <v>0</v>
      </c>
      <c r="K15" s="1033">
        <f t="shared" ref="K15" si="23">K14/0.2*0.5</f>
        <v>0</v>
      </c>
      <c r="L15" s="1033">
        <f t="shared" ref="L15" si="24">L14/0.2*0.5</f>
        <v>0</v>
      </c>
      <c r="M15" s="1033">
        <f t="shared" ref="M15" si="25">M14/0.2*0.5</f>
        <v>0</v>
      </c>
      <c r="N15" s="1033">
        <f t="shared" ref="N15" si="26">N14/0.2*0.5</f>
        <v>0</v>
      </c>
      <c r="O15" s="1033">
        <f t="shared" ref="O15" si="27">O14/0.2*0.5</f>
        <v>0</v>
      </c>
      <c r="P15" s="1033">
        <f t="shared" ref="P15" si="28">P14/0.2*0.5</f>
        <v>0</v>
      </c>
      <c r="Q15" s="1033">
        <f t="shared" ref="Q15" si="29">Q14/0.2*0.5</f>
        <v>0</v>
      </c>
      <c r="R15" s="1033">
        <f t="shared" ref="R15" si="30">R14/0.2*0.5</f>
        <v>0</v>
      </c>
      <c r="S15" s="1033">
        <f t="shared" ref="S15" si="31">S14/0.2*0.5</f>
        <v>0</v>
      </c>
      <c r="T15" s="1033">
        <f t="shared" ref="T15" si="32">T14/0.2*0.5</f>
        <v>0</v>
      </c>
      <c r="U15" s="1033">
        <f t="shared" ref="U15" si="33">U14/0.2*0.5</f>
        <v>0</v>
      </c>
      <c r="V15" s="1033">
        <f t="shared" ref="V15" si="34">V14/0.2*0.5</f>
        <v>0</v>
      </c>
      <c r="W15" s="1033">
        <f t="shared" si="0"/>
        <v>4.25</v>
      </c>
    </row>
    <row r="16" spans="1:23" x14ac:dyDescent="0.3">
      <c r="C16" s="1033"/>
      <c r="D16" s="1033"/>
      <c r="E16" s="1033"/>
      <c r="F16" s="1033"/>
      <c r="G16" s="1033"/>
      <c r="H16" s="1033"/>
      <c r="I16" s="1033"/>
      <c r="J16" s="1033"/>
      <c r="K16" s="1033"/>
      <c r="L16" s="1033"/>
      <c r="M16" s="1033"/>
      <c r="N16" s="1033"/>
      <c r="O16" s="1033"/>
      <c r="P16" s="1033"/>
      <c r="Q16" s="1033"/>
      <c r="R16" s="1033"/>
      <c r="S16" s="1033"/>
      <c r="T16" s="1033"/>
      <c r="U16" s="1033"/>
      <c r="V16" s="1033"/>
      <c r="W16" s="1033"/>
    </row>
    <row r="17" spans="1:23" x14ac:dyDescent="0.3">
      <c r="A17" s="1041" t="s">
        <v>838</v>
      </c>
      <c r="C17" s="1033"/>
      <c r="D17" s="1033"/>
      <c r="E17" s="1033"/>
      <c r="F17" s="1033"/>
      <c r="G17" s="1033"/>
      <c r="H17" s="1033"/>
      <c r="I17" s="1033"/>
      <c r="J17" s="1033"/>
      <c r="K17" s="1033"/>
      <c r="L17" s="1033"/>
      <c r="M17" s="1033"/>
      <c r="N17" s="1033"/>
      <c r="O17" s="1033"/>
      <c r="P17" s="1033"/>
      <c r="Q17" s="1033"/>
      <c r="R17" s="1033"/>
      <c r="S17" s="1033"/>
      <c r="T17" s="1033"/>
      <c r="U17" s="1033"/>
      <c r="V17" s="1033"/>
      <c r="W17" s="1033"/>
    </row>
    <row r="18" spans="1:23" x14ac:dyDescent="0.3">
      <c r="B18" s="513" t="s">
        <v>143</v>
      </c>
      <c r="C18" s="1033">
        <f>'ARP Score'!$BG5/'ARP Score'!$G5*C6</f>
        <v>0</v>
      </c>
      <c r="D18" s="1033">
        <f>'ARP Score'!$BG5/'ARP Score'!$G5*D6</f>
        <v>2.2132800000000001</v>
      </c>
      <c r="E18" s="1033">
        <f>'ARP Score'!$BG5/'ARP Score'!$G5*E6</f>
        <v>10.082720000000002</v>
      </c>
      <c r="F18" s="1033">
        <f>'ARP Score'!$BG6/'ARP Score'!$G6*F6</f>
        <v>7.1439999999999992</v>
      </c>
      <c r="G18" s="1033">
        <f>'ARP Score'!$BG6/'ARP Score'!$G6*G6</f>
        <v>7.1439999999999992</v>
      </c>
      <c r="H18" s="1033">
        <f>'ARP Score'!$BG6/'ARP Score'!$G6*H6</f>
        <v>7.1439999999999992</v>
      </c>
      <c r="I18" s="1033">
        <f>'ARP Score'!$BG6/'ARP Score'!$G6*I6</f>
        <v>7.1439999999999992</v>
      </c>
      <c r="J18" s="1033">
        <f>'ARP Score'!$BG7/'ARP Score'!$G7*J6</f>
        <v>0</v>
      </c>
      <c r="K18" s="1033">
        <f>'ARP Score'!$BG7/'ARP Score'!$G7*K6</f>
        <v>0</v>
      </c>
      <c r="L18" s="1033">
        <f>'ARP Score'!$BG7/'ARP Score'!$G7*L6</f>
        <v>0</v>
      </c>
      <c r="M18" s="1033">
        <f>'ARP Score'!$BG7/'ARP Score'!$G7*M6</f>
        <v>0</v>
      </c>
      <c r="N18" s="1033"/>
      <c r="O18" s="1033"/>
      <c r="P18" s="1033"/>
      <c r="Q18" s="1033"/>
      <c r="R18" s="1033"/>
      <c r="S18" s="1033"/>
      <c r="T18" s="1033"/>
      <c r="U18" s="1033"/>
      <c r="V18" s="1033"/>
      <c r="W18" s="1033"/>
    </row>
    <row r="19" spans="1:23" x14ac:dyDescent="0.3">
      <c r="B19" s="513" t="s">
        <v>839</v>
      </c>
      <c r="C19" s="1033">
        <f>'ARP Score'!$BI5/'ARP Score'!$G5*C6</f>
        <v>0</v>
      </c>
      <c r="D19" s="1033">
        <f>'ARP Score'!$BI5/'ARP Score'!$G5*D6</f>
        <v>15.128640000000001</v>
      </c>
      <c r="E19" s="1033">
        <f>'ARP Score'!$BI5/'ARP Score'!$G5*E6</f>
        <v>68.919360000000012</v>
      </c>
      <c r="F19" s="1033">
        <f>'ARP Score'!$BI6/'ARP Score'!$G6*F6</f>
        <v>5.6120000000000001</v>
      </c>
      <c r="G19" s="1033">
        <f>'ARP Score'!$BI6/'ARP Score'!$G6*G6</f>
        <v>5.6120000000000001</v>
      </c>
      <c r="H19" s="1033">
        <f>'ARP Score'!$BI6/'ARP Score'!$G6*H6</f>
        <v>5.6120000000000001</v>
      </c>
      <c r="I19" s="1033">
        <f>'ARP Score'!$BI6/'ARP Score'!$G6*I6</f>
        <v>5.6120000000000001</v>
      </c>
      <c r="J19" s="1033">
        <f>'ARP Score'!$B7/'ARP Score'!$G7*J6</f>
        <v>0.48599999999999993</v>
      </c>
      <c r="K19" s="1033">
        <f>'ARP Score'!$B7/'ARP Score'!$G7*K6</f>
        <v>0.48599999999999993</v>
      </c>
      <c r="L19" s="1033">
        <f>'ARP Score'!$B7/'ARP Score'!$G7*L6</f>
        <v>0.48599999999999993</v>
      </c>
      <c r="M19" s="1033">
        <f>'ARP Score'!$B7/'ARP Score'!$G7*M6</f>
        <v>0.48599999999999993</v>
      </c>
      <c r="N19" s="1033">
        <f>'ARP Score'!$B8/'ARP Score'!$G8*N6</f>
        <v>0</v>
      </c>
      <c r="O19" s="1033"/>
      <c r="P19" s="1033"/>
      <c r="Q19" s="1033"/>
      <c r="R19" s="1033"/>
      <c r="S19" s="1033"/>
      <c r="T19" s="1033"/>
      <c r="U19" s="1033"/>
      <c r="V19" s="1033"/>
      <c r="W19" s="1033"/>
    </row>
    <row r="20" spans="1:23" x14ac:dyDescent="0.3">
      <c r="B20" s="513" t="s">
        <v>148</v>
      </c>
      <c r="C20" s="1033">
        <f>'ARP Score'!$BF5/'ARP Score'!$G5*C6</f>
        <v>0</v>
      </c>
      <c r="D20" s="1033">
        <f>'ARP Score'!$BF5/'ARP Score'!$G5*D6</f>
        <v>3.2479199999999997</v>
      </c>
      <c r="E20" s="1033">
        <f>'ARP Score'!$BF5/'ARP Score'!$G5*E6</f>
        <v>14.796080000000002</v>
      </c>
      <c r="F20" s="1033">
        <f>'ARP Score'!$BF6/'ARP Score'!$G6*F6</f>
        <v>1.7329999999999999</v>
      </c>
      <c r="G20" s="1033">
        <f>'ARP Score'!$BF6/'ARP Score'!$G6*G6</f>
        <v>1.7329999999999999</v>
      </c>
      <c r="H20" s="1033">
        <f>'ARP Score'!$BF6/'ARP Score'!$G6*H6</f>
        <v>1.7329999999999999</v>
      </c>
      <c r="I20" s="1033">
        <f>'ARP Score'!$BF6/'ARP Score'!$G6*I6</f>
        <v>1.7329999999999999</v>
      </c>
      <c r="J20" s="1033">
        <f>'ARP Score'!$BF7/'ARP Score'!$G7*J6</f>
        <v>0</v>
      </c>
      <c r="K20" s="1033">
        <f>'ARP Score'!$BF7/'ARP Score'!$G7*K6</f>
        <v>0</v>
      </c>
      <c r="L20" s="1033">
        <f>'ARP Score'!$BF7/'ARP Score'!$G7*L6</f>
        <v>0</v>
      </c>
      <c r="M20" s="1033">
        <f>'ARP Score'!$BF7/'ARP Score'!$G7*M6</f>
        <v>0</v>
      </c>
      <c r="N20" s="1033"/>
      <c r="O20" s="1033"/>
      <c r="P20" s="1033"/>
      <c r="Q20" s="1033"/>
      <c r="R20" s="1033"/>
      <c r="S20" s="1033"/>
      <c r="T20" s="1033"/>
      <c r="U20" s="1033"/>
      <c r="V20" s="1033"/>
      <c r="W20" s="1033"/>
    </row>
    <row r="21" spans="1:23" x14ac:dyDescent="0.3">
      <c r="B21" s="1042" t="s">
        <v>475</v>
      </c>
      <c r="C21" s="1033">
        <f>15/40*(C6*'ARP Score'!$BD5/'ARP Score'!$G5)</f>
        <v>0</v>
      </c>
      <c r="D21" s="1033">
        <f>15/40*(D6*('ARP Score'!$BD5+'ARP Score'!$BE5)/'ARP Score'!$G5)</f>
        <v>13.2921</v>
      </c>
      <c r="E21" s="1033">
        <f>15/40*(E6*('ARP Score'!$BD5+'ARP Score'!$BE5)/'ARP Score'!$G5)</f>
        <v>60.552900000000008</v>
      </c>
      <c r="F21" s="1033">
        <f>15/40*(F6*('ARP Score'!$BD6+'ARP Score'!$BE6)/'ARP Score'!$G6)</f>
        <v>1.0687500000000001</v>
      </c>
      <c r="G21" s="1033">
        <f>15/40*(G6*('ARP Score'!$BD6+'ARP Score'!$BE6)/'ARP Score'!$G6)</f>
        <v>1.0687500000000001</v>
      </c>
      <c r="H21" s="1033">
        <f>15/40*(H6*('ARP Score'!$BD6+'ARP Score'!$BE6)/'ARP Score'!$G6)</f>
        <v>1.0687500000000001</v>
      </c>
      <c r="I21" s="1033">
        <f>15/40*(I6*('ARP Score'!$BD6+'ARP Score'!$BE6)/'ARP Score'!$G6)</f>
        <v>1.0687500000000001</v>
      </c>
      <c r="J21" s="1033">
        <f>15/40*(J6*('ARP Score'!$BD7+'ARP Score'!$BE7)/'ARP Score'!$G7)</f>
        <v>0.78750000000000009</v>
      </c>
      <c r="K21" s="1033">
        <f>15/40*(K6*('ARP Score'!$BD7+'ARP Score'!$BE7)/'ARP Score'!$G7)</f>
        <v>0.78750000000000009</v>
      </c>
      <c r="L21" s="1033">
        <f>15/40*(L6*('ARP Score'!$BD7+'ARP Score'!$BE7)/'ARP Score'!$G7)</f>
        <v>0.78750000000000009</v>
      </c>
      <c r="M21" s="1033">
        <f>15/40*(M6*('ARP Score'!$BD7+'ARP Score'!$BE7)/'ARP Score'!$G7)</f>
        <v>0.78750000000000009</v>
      </c>
      <c r="N21" s="1033"/>
      <c r="O21" s="1033"/>
      <c r="P21" s="1033"/>
      <c r="Q21" s="1033"/>
      <c r="R21" s="1033"/>
      <c r="S21" s="1033"/>
      <c r="T21" s="1033"/>
      <c r="U21" s="1033"/>
      <c r="V21" s="1033"/>
      <c r="W21" s="1033"/>
    </row>
    <row r="22" spans="1:23" x14ac:dyDescent="0.3">
      <c r="B22" s="1042" t="s">
        <v>840</v>
      </c>
      <c r="C22" s="1033"/>
      <c r="D22" s="1033">
        <f>D21/15*25</f>
        <v>22.153499999999998</v>
      </c>
      <c r="E22" s="1033">
        <f>E21/15*25</f>
        <v>100.92150000000002</v>
      </c>
      <c r="F22" s="1033">
        <f>F21/15*25</f>
        <v>1.7812500000000002</v>
      </c>
      <c r="G22" s="1033">
        <f>G21/15*25</f>
        <v>1.7812500000000002</v>
      </c>
      <c r="H22" s="1033">
        <f t="shared" ref="H22:J22" si="35">H21/15*25</f>
        <v>1.7812500000000002</v>
      </c>
      <c r="I22" s="1033">
        <f t="shared" si="35"/>
        <v>1.7812500000000002</v>
      </c>
      <c r="J22" s="1033">
        <f t="shared" si="35"/>
        <v>1.3125000000000002</v>
      </c>
      <c r="K22" s="1033">
        <f t="shared" ref="K22" si="36">K21/15*25</f>
        <v>1.3125000000000002</v>
      </c>
      <c r="L22" s="1033">
        <f t="shared" ref="L22" si="37">L21/15*25</f>
        <v>1.3125000000000002</v>
      </c>
      <c r="M22" s="1033">
        <f t="shared" ref="M22" si="38">M21/15*25</f>
        <v>1.3125000000000002</v>
      </c>
      <c r="N22" s="1033"/>
      <c r="O22" s="1033"/>
      <c r="P22" s="1033"/>
      <c r="Q22" s="1033"/>
      <c r="R22" s="1033"/>
      <c r="S22" s="1033"/>
      <c r="T22" s="1033"/>
      <c r="U22" s="1033"/>
      <c r="V22" s="1033"/>
      <c r="W22" s="1033"/>
    </row>
    <row r="23" spans="1:23" x14ac:dyDescent="0.3">
      <c r="B23" s="513" t="s">
        <v>487</v>
      </c>
      <c r="C23" s="1033">
        <f>'ARP Score'!$BB5/'ARP Score'!$G5*C6</f>
        <v>0</v>
      </c>
      <c r="D23" s="1033">
        <f>'ARP Score'!$BB5/'ARP Score'!$G5*D6</f>
        <v>2.9519999999999995</v>
      </c>
      <c r="E23" s="1033">
        <f>'ARP Score'!$BB5/'ARP Score'!$G5*E6</f>
        <v>13.448</v>
      </c>
      <c r="F23" s="1033">
        <f>'ARP Score'!$BB6/'ARP Score'!$G6*F6</f>
        <v>11.3</v>
      </c>
      <c r="G23" s="1033">
        <f>'ARP Score'!$BB6/'ARP Score'!$G6*G6</f>
        <v>11.3</v>
      </c>
      <c r="H23" s="1033">
        <f>'ARP Score'!$BB6/'ARP Score'!$G6*H6</f>
        <v>11.3</v>
      </c>
      <c r="I23" s="1033">
        <f>'ARP Score'!$BB6/'ARP Score'!$G6*I6</f>
        <v>11.3</v>
      </c>
      <c r="J23" s="1033">
        <f>'ARP Score'!$BB7/'ARP Score'!$G7*J6</f>
        <v>8.4</v>
      </c>
      <c r="K23" s="1033">
        <f>'ARP Score'!$BB7/'ARP Score'!$G7*K6</f>
        <v>8.4</v>
      </c>
      <c r="L23" s="1033">
        <f>'ARP Score'!$BB7/'ARP Score'!$G7*L6</f>
        <v>8.4</v>
      </c>
      <c r="M23" s="1033">
        <f>'ARP Score'!$BB7/'ARP Score'!$G7*M6</f>
        <v>8.4</v>
      </c>
      <c r="N23" s="1033">
        <f>'ARP Score'!$BB8/'ARP Score'!$G8*N6</f>
        <v>0.2</v>
      </c>
      <c r="O23" s="1033">
        <f>'ARP Score'!$BB8/'ARP Score'!$G8*O6</f>
        <v>0.2</v>
      </c>
      <c r="P23" s="1033">
        <f>'ARP Score'!$BB8/'ARP Score'!$G8*P6</f>
        <v>0.2</v>
      </c>
      <c r="Q23" s="1033">
        <f>'ARP Score'!$BB8/'ARP Score'!$G8*Q6</f>
        <v>0.2</v>
      </c>
      <c r="R23" s="1033"/>
      <c r="S23" s="1033"/>
      <c r="T23" s="1033"/>
      <c r="U23" s="1033"/>
      <c r="V23" s="1033"/>
      <c r="W23" s="1033"/>
    </row>
    <row r="24" spans="1:23" x14ac:dyDescent="0.3">
      <c r="B24" s="513" t="s">
        <v>488</v>
      </c>
      <c r="C24" s="1033">
        <f>'ARP Score'!$BH5/'ARP Score'!$G5*C6</f>
        <v>0</v>
      </c>
      <c r="D24" s="1033">
        <f>'ARP Score'!$BH5/'ARP Score'!$G5*D6</f>
        <v>-0.20447999999999997</v>
      </c>
      <c r="E24" s="1033">
        <f>'ARP Score'!$BH5/'ARP Score'!$G5*E6</f>
        <v>-0.93152000000000001</v>
      </c>
      <c r="F24" s="1033">
        <f>'ARP Score'!$BH6/'ARP Score'!$G6*F6</f>
        <v>81.608999999999995</v>
      </c>
      <c r="G24" s="1033">
        <f>'ARP Score'!$BH6/'ARP Score'!$G6*G6</f>
        <v>81.608999999999995</v>
      </c>
      <c r="H24" s="1033">
        <f>'ARP Score'!$BH6/'ARP Score'!$G6*H6</f>
        <v>81.608999999999995</v>
      </c>
      <c r="I24" s="1033">
        <f>'ARP Score'!$BH6/'ARP Score'!$G6*I6</f>
        <v>81.608999999999995</v>
      </c>
      <c r="J24" s="1033">
        <f>'ARP Score'!$BH7/'ARP Score'!$G7*J6</f>
        <v>1.3759999999999999</v>
      </c>
      <c r="K24" s="1033">
        <f>'ARP Score'!$BH7/'ARP Score'!$G7*K6</f>
        <v>1.3759999999999999</v>
      </c>
      <c r="L24" s="1033">
        <f>'ARP Score'!$BH7/'ARP Score'!$G7*L6</f>
        <v>1.3759999999999999</v>
      </c>
      <c r="M24" s="1033">
        <f>'ARP Score'!$BH7/'ARP Score'!$G7*M6</f>
        <v>1.3759999999999999</v>
      </c>
      <c r="N24" s="1033">
        <f>'ARP Score'!$BH8/'ARP Score'!$G8*N6</f>
        <v>-0.87500000000000011</v>
      </c>
      <c r="O24" s="1033">
        <f>'ARP Score'!$BH8/'ARP Score'!$G8*O6</f>
        <v>-0.87500000000000011</v>
      </c>
      <c r="P24" s="1033">
        <f>'ARP Score'!$BH8/'ARP Score'!$G8*P6</f>
        <v>-0.87500000000000011</v>
      </c>
      <c r="Q24" s="1033">
        <f>'ARP Score'!$BH8/'ARP Score'!$G8*Q6</f>
        <v>-0.87500000000000011</v>
      </c>
      <c r="R24" s="1033"/>
      <c r="S24" s="1033"/>
      <c r="T24" s="1033"/>
      <c r="U24" s="1033"/>
      <c r="V24" s="1033"/>
      <c r="W24" s="1033"/>
    </row>
    <row r="25" spans="1:23" x14ac:dyDescent="0.3">
      <c r="B25" s="513" t="s">
        <v>360</v>
      </c>
      <c r="C25" s="1033">
        <f>SUM(C18:C24)</f>
        <v>0</v>
      </c>
      <c r="D25" s="1033">
        <f t="shared" ref="D25:Q25" si="39">SUM(D18:D24)</f>
        <v>58.782959999999996</v>
      </c>
      <c r="E25" s="1033">
        <f t="shared" si="39"/>
        <v>267.78904000000006</v>
      </c>
      <c r="F25" s="1033">
        <f t="shared" si="39"/>
        <v>110.24799999999999</v>
      </c>
      <c r="G25" s="1033">
        <f t="shared" si="39"/>
        <v>110.24799999999999</v>
      </c>
      <c r="H25" s="1033">
        <f t="shared" si="39"/>
        <v>110.24799999999999</v>
      </c>
      <c r="I25" s="1033">
        <f t="shared" si="39"/>
        <v>110.24799999999999</v>
      </c>
      <c r="J25" s="1033">
        <f t="shared" si="39"/>
        <v>12.362</v>
      </c>
      <c r="K25" s="1033">
        <f t="shared" si="39"/>
        <v>12.362</v>
      </c>
      <c r="L25" s="1033">
        <f t="shared" si="39"/>
        <v>12.362</v>
      </c>
      <c r="M25" s="1033">
        <f t="shared" si="39"/>
        <v>12.362</v>
      </c>
      <c r="N25" s="1033">
        <f t="shared" si="39"/>
        <v>-0.67500000000000004</v>
      </c>
      <c r="O25" s="1033">
        <f t="shared" si="39"/>
        <v>-0.67500000000000004</v>
      </c>
      <c r="P25" s="1033">
        <f t="shared" si="39"/>
        <v>-0.67500000000000004</v>
      </c>
      <c r="Q25" s="1033">
        <f t="shared" si="39"/>
        <v>-0.67500000000000004</v>
      </c>
      <c r="R25" s="1033"/>
      <c r="S25" s="1033"/>
      <c r="T25" s="1033"/>
      <c r="U25" s="1033"/>
      <c r="V25" s="1033"/>
      <c r="W25" s="1033"/>
    </row>
    <row r="26" spans="1:23" x14ac:dyDescent="0.3">
      <c r="D26" s="1035">
        <f>D6-D25</f>
        <v>0</v>
      </c>
      <c r="E26" s="1035">
        <f t="shared" ref="E26:M26" si="40">E6-E25</f>
        <v>0</v>
      </c>
      <c r="F26" s="1035">
        <f t="shared" si="40"/>
        <v>0</v>
      </c>
      <c r="G26" s="1035">
        <f t="shared" si="40"/>
        <v>0</v>
      </c>
      <c r="H26" s="1035">
        <f t="shared" si="40"/>
        <v>0</v>
      </c>
      <c r="I26" s="1035">
        <f t="shared" si="40"/>
        <v>0</v>
      </c>
      <c r="J26" s="1035">
        <f t="shared" si="40"/>
        <v>0.36400000000000077</v>
      </c>
      <c r="K26" s="1035">
        <f t="shared" si="40"/>
        <v>0.36400000000000077</v>
      </c>
      <c r="L26" s="1035">
        <f t="shared" si="40"/>
        <v>0.36400000000000077</v>
      </c>
      <c r="M26" s="1035">
        <f t="shared" si="40"/>
        <v>0.36400000000000077</v>
      </c>
    </row>
    <row r="27" spans="1:23" x14ac:dyDescent="0.3">
      <c r="B27" s="1041" t="s">
        <v>841</v>
      </c>
      <c r="D27" s="108" t="s">
        <v>296</v>
      </c>
      <c r="E27" s="108" t="s">
        <v>180</v>
      </c>
      <c r="F27" s="108" t="s">
        <v>181</v>
      </c>
      <c r="G27" s="108" t="s">
        <v>182</v>
      </c>
      <c r="H27" s="108" t="s">
        <v>183</v>
      </c>
      <c r="I27" s="108" t="s">
        <v>184</v>
      </c>
      <c r="J27" s="108" t="s">
        <v>185</v>
      </c>
      <c r="K27" s="108" t="s">
        <v>186</v>
      </c>
      <c r="L27" s="108" t="s">
        <v>187</v>
      </c>
      <c r="M27" s="108" t="s">
        <v>188</v>
      </c>
      <c r="N27" s="108" t="s">
        <v>189</v>
      </c>
      <c r="O27" s="108" t="s">
        <v>190</v>
      </c>
      <c r="P27" s="108" t="s">
        <v>191</v>
      </c>
      <c r="Q27" s="108" t="s">
        <v>175</v>
      </c>
      <c r="R27" s="108" t="s">
        <v>176</v>
      </c>
      <c r="S27" s="108" t="s">
        <v>177</v>
      </c>
      <c r="T27" s="108" t="s">
        <v>832</v>
      </c>
      <c r="U27" s="108" t="s">
        <v>833</v>
      </c>
      <c r="V27" s="108" t="s">
        <v>834</v>
      </c>
    </row>
    <row r="28" spans="1:23" x14ac:dyDescent="0.3">
      <c r="B28" s="1034"/>
      <c r="C28" s="1035" t="s">
        <v>360</v>
      </c>
      <c r="D28" s="1037">
        <f>SUM(D29:D43)</f>
        <v>5.8765000000000009</v>
      </c>
      <c r="E28" s="1037">
        <f t="shared" ref="E28:V28" si="41">SUM(E29:E43)</f>
        <v>11.753000000000002</v>
      </c>
      <c r="F28" s="1037">
        <f t="shared" si="41"/>
        <v>15.762320000000003</v>
      </c>
      <c r="G28" s="1037">
        <f t="shared" si="41"/>
        <v>19.771640000000005</v>
      </c>
      <c r="H28" s="1037">
        <f t="shared" si="41"/>
        <v>23.812229000000006</v>
      </c>
      <c r="I28" s="1037">
        <f t="shared" si="41"/>
        <v>27.852818000000006</v>
      </c>
      <c r="J28" s="1037">
        <f t="shared" si="41"/>
        <v>30.517977000000005</v>
      </c>
      <c r="K28" s="1037">
        <f t="shared" si="41"/>
        <v>33.183136000000005</v>
      </c>
      <c r="L28" s="1037">
        <f t="shared" si="41"/>
        <v>36.260924000000003</v>
      </c>
      <c r="M28" s="1037">
        <f t="shared" si="41"/>
        <v>39.338711999999994</v>
      </c>
      <c r="N28" s="1037">
        <f t="shared" si="41"/>
        <v>40.928439999999995</v>
      </c>
      <c r="O28" s="1037">
        <f t="shared" si="41"/>
        <v>42.518167999999996</v>
      </c>
      <c r="P28" s="1037">
        <f t="shared" si="41"/>
        <v>44.428388999999996</v>
      </c>
      <c r="Q28" s="1037">
        <f t="shared" si="41"/>
        <v>46.338610000000003</v>
      </c>
      <c r="R28" s="1037">
        <f t="shared" si="41"/>
        <v>47.279744500000007</v>
      </c>
      <c r="S28" s="1037">
        <f t="shared" si="41"/>
        <v>46.283419000000009</v>
      </c>
      <c r="T28" s="1037">
        <f t="shared" si="41"/>
        <v>45.578489500000011</v>
      </c>
      <c r="U28" s="1037">
        <f t="shared" si="41"/>
        <v>45.454798000000011</v>
      </c>
      <c r="V28" s="1037">
        <f t="shared" si="41"/>
        <v>45.360580000000013</v>
      </c>
    </row>
    <row r="29" spans="1:23" x14ac:dyDescent="0.3">
      <c r="A29" s="1041">
        <v>2021</v>
      </c>
      <c r="B29" s="1034" t="s">
        <v>842</v>
      </c>
      <c r="C29" s="1035"/>
      <c r="D29" s="1041">
        <f>($D$9+$D$10)*'ARP Timing'!B$16</f>
        <v>5.8765000000000009</v>
      </c>
      <c r="E29" s="1041">
        <f>($D$9+$D$10)*'ARP Timing'!C$16</f>
        <v>5.8765000000000009</v>
      </c>
      <c r="F29" s="1041">
        <f>($D$9+$D$10)*'ARP Timing'!D$16</f>
        <v>4.11355</v>
      </c>
      <c r="G29" s="1041">
        <f>($D$9+$D$10)*'ARP Timing'!E$16</f>
        <v>4.11355</v>
      </c>
      <c r="H29" s="1041">
        <f>($D$9+$D$10)*'ARP Timing'!F$16</f>
        <v>4.11355</v>
      </c>
      <c r="I29" s="1041">
        <f>($D$9+$D$10)*'ARP Timing'!G$16</f>
        <v>4.11355</v>
      </c>
      <c r="J29" s="1041">
        <f>($D$9+$D$10)*'ARP Timing'!H$16</f>
        <v>4.11355</v>
      </c>
      <c r="K29" s="1041">
        <f>($D$9+$D$10)*'ARP Timing'!I$16</f>
        <v>4.11355</v>
      </c>
      <c r="L29" s="1041">
        <f>($D$9+$D$10)*'ARP Timing'!J$16</f>
        <v>4.11355</v>
      </c>
      <c r="M29" s="1041">
        <f>($D$9+$D$10)*'ARP Timing'!K$16</f>
        <v>4.11355</v>
      </c>
      <c r="N29" s="1041">
        <f>($D$9+$D$10)*'ARP Timing'!L$16</f>
        <v>4.11355</v>
      </c>
      <c r="O29" s="1041">
        <f>($D$9+$D$10)*'ARP Timing'!M$16</f>
        <v>4.11355</v>
      </c>
      <c r="P29" s="1041">
        <f>($D$9+$D$10)*'ARP Timing'!N$16</f>
        <v>3.987625</v>
      </c>
      <c r="Q29" s="1041">
        <f>($D$9+$D$10)*'ARP Timing'!O$16</f>
        <v>3.987625</v>
      </c>
      <c r="R29" s="1041">
        <f>($D$9+$D$10)*'ARP Timing'!P$16</f>
        <v>3.987625</v>
      </c>
      <c r="S29" s="1041">
        <f>($D$9+$D$10)*'ARP Timing'!Q$16</f>
        <v>3.987625</v>
      </c>
      <c r="T29" s="1041">
        <f>($D$9+$D$10)*'ARP Timing'!R$16</f>
        <v>3.987625</v>
      </c>
      <c r="U29" s="1041">
        <f>($D$9+$D$10)*'ARP Timing'!S$16</f>
        <v>3.987625</v>
      </c>
      <c r="V29" s="1041">
        <f>($D$9+$D$10)*'ARP Timing'!T$16</f>
        <v>3.987625</v>
      </c>
    </row>
    <row r="30" spans="1:23" x14ac:dyDescent="0.3">
      <c r="B30" s="1034" t="s">
        <v>379</v>
      </c>
      <c r="C30" s="1035"/>
      <c r="E30" s="1041">
        <f>($E$9+$E$10)*'ARP Timing'!B$16</f>
        <v>5.8765000000000009</v>
      </c>
      <c r="F30" s="1041">
        <f>($E$9+$E$10)*'ARP Timing'!C$16</f>
        <v>5.8765000000000009</v>
      </c>
      <c r="G30" s="1041">
        <f>($E$9+$E$10)*'ARP Timing'!D$16</f>
        <v>4.11355</v>
      </c>
      <c r="H30" s="1041">
        <f>($E$9+$E$10)*'ARP Timing'!E$16</f>
        <v>4.11355</v>
      </c>
      <c r="I30" s="1041">
        <f>($E$9+$E$10)*'ARP Timing'!F$16</f>
        <v>4.11355</v>
      </c>
      <c r="J30" s="1041">
        <f>($E$9+$E$10)*'ARP Timing'!G$16</f>
        <v>4.11355</v>
      </c>
      <c r="K30" s="1041">
        <f>($E$9+$E$10)*'ARP Timing'!H$16</f>
        <v>4.11355</v>
      </c>
      <c r="L30" s="1041">
        <f>($E$9+$E$10)*'ARP Timing'!I$16</f>
        <v>4.11355</v>
      </c>
      <c r="M30" s="1041">
        <f>($E$9+$E$10)*'ARP Timing'!J$16</f>
        <v>4.11355</v>
      </c>
      <c r="N30" s="1041">
        <f>($E$9+$E$10)*'ARP Timing'!K$16</f>
        <v>4.11355</v>
      </c>
      <c r="O30" s="1041">
        <f>($E$9+$E$10)*'ARP Timing'!L$16</f>
        <v>4.11355</v>
      </c>
      <c r="P30" s="1041">
        <f>($E$9+$E$10)*'ARP Timing'!M$16</f>
        <v>4.11355</v>
      </c>
      <c r="Q30" s="1041">
        <f>($E$9+$E$10)*'ARP Timing'!N$16</f>
        <v>3.987625</v>
      </c>
      <c r="R30" s="1041">
        <f>($E$9+$E$10)*'ARP Timing'!O$16</f>
        <v>3.987625</v>
      </c>
      <c r="S30" s="1041">
        <f>($E$9+$E$10)*'ARP Timing'!P$16</f>
        <v>3.987625</v>
      </c>
      <c r="T30" s="1041">
        <f>($E$9+$E$10)*'ARP Timing'!Q$16</f>
        <v>3.987625</v>
      </c>
      <c r="U30" s="1041">
        <f>($E$9+$E$10)*'ARP Timing'!R$16</f>
        <v>3.987625</v>
      </c>
      <c r="V30" s="1041">
        <f>($E$9+$E$10)*'ARP Timing'!S$16</f>
        <v>3.987625</v>
      </c>
    </row>
    <row r="31" spans="1:23" x14ac:dyDescent="0.3">
      <c r="B31" s="1034" t="s">
        <v>843</v>
      </c>
      <c r="C31" s="1035"/>
      <c r="F31" s="1041">
        <f>($F$9+$F$10)*'ARP Timing'!B$16</f>
        <v>5.7722700000000016</v>
      </c>
      <c r="G31" s="1041">
        <f>($F$9+$F$10)*'ARP Timing'!C$16</f>
        <v>5.7722700000000016</v>
      </c>
      <c r="H31" s="1041">
        <f>($F$9+$F$10)*'ARP Timing'!D$16</f>
        <v>4.0405890000000007</v>
      </c>
      <c r="I31" s="1041">
        <f>($F$9+$F$10)*'ARP Timing'!E$16</f>
        <v>4.0405890000000007</v>
      </c>
      <c r="J31" s="1041">
        <f>($F$9+$F$10)*'ARP Timing'!F$16</f>
        <v>4.0405890000000007</v>
      </c>
      <c r="K31" s="1041">
        <f>($F$9+$F$10)*'ARP Timing'!G$16</f>
        <v>4.0405890000000007</v>
      </c>
      <c r="L31" s="1041">
        <f>($F$9+$F$10)*'ARP Timing'!H$16</f>
        <v>4.0405890000000007</v>
      </c>
      <c r="M31" s="1041">
        <f>($F$9+$F$10)*'ARP Timing'!I$16</f>
        <v>4.0405890000000007</v>
      </c>
      <c r="N31" s="1041">
        <f>($F$9+$F$10)*'ARP Timing'!J$16</f>
        <v>4.0405890000000007</v>
      </c>
      <c r="O31" s="1041">
        <f>($F$9+$F$10)*'ARP Timing'!K$16</f>
        <v>4.0405890000000007</v>
      </c>
      <c r="P31" s="1041">
        <f>($F$9+$F$10)*'ARP Timing'!L$16</f>
        <v>4.0405890000000007</v>
      </c>
      <c r="Q31" s="1041">
        <f>($F$9+$F$10)*'ARP Timing'!M$16</f>
        <v>4.0405890000000007</v>
      </c>
      <c r="R31" s="1041">
        <f>($F$9+$F$10)*'ARP Timing'!N$16</f>
        <v>3.9168975000000006</v>
      </c>
      <c r="S31" s="1041">
        <f>($F$9+$F$10)*'ARP Timing'!O$16</f>
        <v>3.9168975000000006</v>
      </c>
      <c r="T31" s="1041">
        <f>($F$9+$F$10)*'ARP Timing'!P$16</f>
        <v>3.9168975000000006</v>
      </c>
      <c r="U31" s="1041">
        <f>($F$9+$F$10)*'ARP Timing'!Q$16</f>
        <v>3.9168975000000006</v>
      </c>
      <c r="V31" s="1041">
        <f>($F$9+$F$10)*'ARP Timing'!R$16</f>
        <v>3.9168975000000006</v>
      </c>
    </row>
    <row r="32" spans="1:23" x14ac:dyDescent="0.3">
      <c r="A32" s="1041">
        <v>2022</v>
      </c>
      <c r="B32" s="1034" t="s">
        <v>247</v>
      </c>
      <c r="C32" s="1035"/>
      <c r="G32" s="1041">
        <f>($G$9+$G$10)*'ARP Timing'!B$16</f>
        <v>5.7722700000000016</v>
      </c>
      <c r="H32" s="1041">
        <f>($G$9+$G$10)*'ARP Timing'!C$16</f>
        <v>5.7722700000000016</v>
      </c>
      <c r="I32" s="1041">
        <f>($G$9+$G$10)*'ARP Timing'!D$16</f>
        <v>4.0405890000000007</v>
      </c>
      <c r="J32" s="1041">
        <f>($G$9+$G$10)*'ARP Timing'!E$16</f>
        <v>4.0405890000000007</v>
      </c>
      <c r="K32" s="1041">
        <f>($G$9+$G$10)*'ARP Timing'!F$16</f>
        <v>4.0405890000000007</v>
      </c>
      <c r="L32" s="1041">
        <f>($G$9+$G$10)*'ARP Timing'!G$16</f>
        <v>4.0405890000000007</v>
      </c>
      <c r="M32" s="1041">
        <f>($G$9+$G$10)*'ARP Timing'!H$16</f>
        <v>4.0405890000000007</v>
      </c>
      <c r="N32" s="1041">
        <f>($G$9+$G$10)*'ARP Timing'!I$16</f>
        <v>4.0405890000000007</v>
      </c>
      <c r="O32" s="1041">
        <f>($G$9+$G$10)*'ARP Timing'!J$16</f>
        <v>4.0405890000000007</v>
      </c>
      <c r="P32" s="1041">
        <f>($G$9+$G$10)*'ARP Timing'!K$16</f>
        <v>4.0405890000000007</v>
      </c>
      <c r="Q32" s="1041">
        <f>($G$9+$G$10)*'ARP Timing'!L$16</f>
        <v>4.0405890000000007</v>
      </c>
      <c r="R32" s="1041">
        <f>($G$9+$G$10)*'ARP Timing'!M$16</f>
        <v>4.0405890000000007</v>
      </c>
      <c r="S32" s="1041">
        <f>($G$9+$G$10)*'ARP Timing'!N$16</f>
        <v>3.9168975000000006</v>
      </c>
      <c r="T32" s="1041">
        <f>($G$9+$G$10)*'ARP Timing'!O$16</f>
        <v>3.9168975000000006</v>
      </c>
      <c r="U32" s="1041">
        <f>($G$9+$G$10)*'ARP Timing'!P$16</f>
        <v>3.9168975000000006</v>
      </c>
      <c r="V32" s="1041">
        <f>($G$9+$G$10)*'ARP Timing'!Q$16</f>
        <v>3.9168975000000006</v>
      </c>
    </row>
    <row r="33" spans="1:23" x14ac:dyDescent="0.3">
      <c r="B33" s="1034" t="s">
        <v>248</v>
      </c>
      <c r="C33" s="1035"/>
      <c r="H33" s="1041">
        <f>($H$9+$H$10)*'ARP Timing'!B$16</f>
        <v>5.7722700000000016</v>
      </c>
      <c r="I33" s="1041">
        <f>($H$9+$H$10)*'ARP Timing'!C$16</f>
        <v>5.7722700000000016</v>
      </c>
      <c r="J33" s="1041">
        <f>($H$9+$H$10)*'ARP Timing'!D$16</f>
        <v>4.0405890000000007</v>
      </c>
      <c r="K33" s="1041">
        <f>($H$9+$H$10)*'ARP Timing'!E$16</f>
        <v>4.0405890000000007</v>
      </c>
      <c r="L33" s="1041">
        <f>($H$9+$H$10)*'ARP Timing'!F$16</f>
        <v>4.0405890000000007</v>
      </c>
      <c r="M33" s="1041">
        <f>($H$9+$H$10)*'ARP Timing'!G$16</f>
        <v>4.0405890000000007</v>
      </c>
      <c r="N33" s="1041">
        <f>($H$9+$H$10)*'ARP Timing'!H$16</f>
        <v>4.0405890000000007</v>
      </c>
      <c r="O33" s="1041">
        <f>($H$9+$H$10)*'ARP Timing'!I$16</f>
        <v>4.0405890000000007</v>
      </c>
      <c r="P33" s="1041">
        <f>($H$9+$H$10)*'ARP Timing'!J$16</f>
        <v>4.0405890000000007</v>
      </c>
      <c r="Q33" s="1041">
        <f>($H$9+$H$10)*'ARP Timing'!K$16</f>
        <v>4.0405890000000007</v>
      </c>
      <c r="R33" s="1041">
        <f>($H$9+$H$10)*'ARP Timing'!L$16</f>
        <v>4.0405890000000007</v>
      </c>
      <c r="S33" s="1041">
        <f>($H$9+$H$10)*'ARP Timing'!M$16</f>
        <v>4.0405890000000007</v>
      </c>
      <c r="T33" s="1041">
        <f>($H$9+$H$10)*'ARP Timing'!N$16</f>
        <v>3.9168975000000006</v>
      </c>
      <c r="U33" s="1041">
        <f>($H$9+$H$10)*'ARP Timing'!O$16</f>
        <v>3.9168975000000006</v>
      </c>
      <c r="V33" s="1041">
        <f>($H$9+$H$10)*'ARP Timing'!P$16</f>
        <v>3.9168975000000006</v>
      </c>
    </row>
    <row r="34" spans="1:23" x14ac:dyDescent="0.3">
      <c r="B34" s="1034" t="s">
        <v>379</v>
      </c>
      <c r="C34" s="1035"/>
      <c r="H34" s="1035"/>
      <c r="I34" s="1041">
        <f>($I$9+$I10)*'ARP Timing'!B$16</f>
        <v>5.7722700000000016</v>
      </c>
      <c r="J34" s="1041">
        <f>($I$9+$I10)*'ARP Timing'!C$16</f>
        <v>5.7722700000000016</v>
      </c>
      <c r="K34" s="1041">
        <f>($I$9+$I10)*'ARP Timing'!D$16</f>
        <v>4.0405890000000007</v>
      </c>
      <c r="L34" s="1041">
        <f>($I$9+$I10)*'ARP Timing'!E$16</f>
        <v>4.0405890000000007</v>
      </c>
      <c r="M34" s="1041">
        <f>($I$9+$I10)*'ARP Timing'!F$16</f>
        <v>4.0405890000000007</v>
      </c>
      <c r="N34" s="1041">
        <f>($I$9+$I10)*'ARP Timing'!G$16</f>
        <v>4.0405890000000007</v>
      </c>
      <c r="O34" s="1041">
        <f>($I$9+$I10)*'ARP Timing'!H$16</f>
        <v>4.0405890000000007</v>
      </c>
      <c r="P34" s="1041">
        <f>($I$9+$I10)*'ARP Timing'!I$16</f>
        <v>4.0405890000000007</v>
      </c>
      <c r="Q34" s="1041">
        <f>($I$9+$I10)*'ARP Timing'!J$16</f>
        <v>4.0405890000000007</v>
      </c>
      <c r="R34" s="1041">
        <f>($I$9+$I10)*'ARP Timing'!K$16</f>
        <v>4.0405890000000007</v>
      </c>
      <c r="S34" s="1041">
        <f>($I$9+$I10)*'ARP Timing'!L$16</f>
        <v>4.0405890000000007</v>
      </c>
      <c r="T34" s="1041">
        <f>($I$9+$I10)*'ARP Timing'!M$16</f>
        <v>4.0405890000000007</v>
      </c>
      <c r="U34" s="1041">
        <f>($I$9+$I10)*'ARP Timing'!N$16</f>
        <v>3.9168975000000006</v>
      </c>
      <c r="V34" s="1041">
        <f>($I$9+$I10)*'ARP Timing'!O$16</f>
        <v>3.9168975000000006</v>
      </c>
    </row>
    <row r="35" spans="1:23" x14ac:dyDescent="0.3">
      <c r="B35" s="1034" t="s">
        <v>843</v>
      </c>
      <c r="C35" s="1035"/>
      <c r="H35" s="1035"/>
      <c r="J35" s="1041">
        <f>($J$9+$J$10)*'ARP Timing'!B$16</f>
        <v>4.3968400000000001</v>
      </c>
      <c r="K35" s="1041">
        <f>($J$9+$J$10)*'ARP Timing'!C$16</f>
        <v>4.3968400000000001</v>
      </c>
      <c r="L35" s="1041">
        <f>($J$9+$J$10)*'ARP Timing'!D$16</f>
        <v>3.077788</v>
      </c>
      <c r="M35" s="1041">
        <f>($J$9+$J$10)*'ARP Timing'!E$16</f>
        <v>3.077788</v>
      </c>
      <c r="N35" s="1041">
        <f>($J$9+$J$10)*'ARP Timing'!F$16</f>
        <v>3.077788</v>
      </c>
      <c r="O35" s="1041">
        <f>($J$9+$J$10)*'ARP Timing'!G$16</f>
        <v>3.077788</v>
      </c>
      <c r="P35" s="1041">
        <f>($J$9+$J$10)*'ARP Timing'!H$16</f>
        <v>3.077788</v>
      </c>
      <c r="Q35" s="1041">
        <f>($J$9+$J$10)*'ARP Timing'!I$16</f>
        <v>3.077788</v>
      </c>
      <c r="R35" s="1041">
        <f>($J$9+$J$10)*'ARP Timing'!J$16</f>
        <v>3.077788</v>
      </c>
      <c r="S35" s="1041">
        <f>($J$9+$J$10)*'ARP Timing'!K$16</f>
        <v>3.077788</v>
      </c>
      <c r="T35" s="1041">
        <f>($J$9+$J$10)*'ARP Timing'!L$16</f>
        <v>3.077788</v>
      </c>
      <c r="U35" s="1041">
        <f>($J$9+$J$10)*'ARP Timing'!M$16</f>
        <v>3.077788</v>
      </c>
      <c r="V35" s="1041">
        <f>($J$9+$J$10)*'ARP Timing'!N$16</f>
        <v>2.9835699999999998</v>
      </c>
    </row>
    <row r="36" spans="1:23" x14ac:dyDescent="0.3">
      <c r="A36" s="1041">
        <v>2023</v>
      </c>
      <c r="B36" s="1034" t="s">
        <v>247</v>
      </c>
      <c r="C36" s="1035"/>
      <c r="H36" s="1035"/>
      <c r="K36" s="1041">
        <f>($K$9+$K$10)*'ARP Timing'!B$16</f>
        <v>4.3968400000000001</v>
      </c>
      <c r="L36" s="1041">
        <f>($K$9+$K$10)*'ARP Timing'!C$16</f>
        <v>4.3968400000000001</v>
      </c>
      <c r="M36" s="1041">
        <f>($K$9+$K$10)*'ARP Timing'!D$16</f>
        <v>3.077788</v>
      </c>
      <c r="N36" s="1041">
        <f>($K$9+$K$10)*'ARP Timing'!E$16</f>
        <v>3.077788</v>
      </c>
      <c r="O36" s="1041">
        <f>($K$9+$K$10)*'ARP Timing'!F$16</f>
        <v>3.077788</v>
      </c>
      <c r="P36" s="1041">
        <f>($K$9+$K$10)*'ARP Timing'!G$16</f>
        <v>3.077788</v>
      </c>
      <c r="Q36" s="1041">
        <f>($K$9+$K$10)*'ARP Timing'!H$16</f>
        <v>3.077788</v>
      </c>
      <c r="R36" s="1041">
        <f>($K$9+$K$10)*'ARP Timing'!I$16</f>
        <v>3.077788</v>
      </c>
      <c r="S36" s="1041">
        <f>($K$9+$K$10)*'ARP Timing'!J$16</f>
        <v>3.077788</v>
      </c>
      <c r="T36" s="1041">
        <f>($K$9+$K$10)*'ARP Timing'!K$16</f>
        <v>3.077788</v>
      </c>
      <c r="U36" s="1041">
        <f>($K$9+$K$10)*'ARP Timing'!L$16</f>
        <v>3.077788</v>
      </c>
      <c r="V36" s="1041">
        <f>($K$9+$K$10)*'ARP Timing'!M$16</f>
        <v>3.077788</v>
      </c>
    </row>
    <row r="37" spans="1:23" x14ac:dyDescent="0.3">
      <c r="B37" s="1034" t="s">
        <v>248</v>
      </c>
      <c r="C37" s="1035"/>
      <c r="H37" s="1035"/>
      <c r="L37" s="1041">
        <f>($L$9+$L$10)*'ARP Timing'!B$16</f>
        <v>4.3968400000000001</v>
      </c>
      <c r="M37" s="1041">
        <f>($L$9+$L$10)*'ARP Timing'!C$16</f>
        <v>4.3968400000000001</v>
      </c>
      <c r="N37" s="1041">
        <f>($L$9+$L$10)*'ARP Timing'!D$16</f>
        <v>3.077788</v>
      </c>
      <c r="O37" s="1041">
        <f>($L$9+$L$10)*'ARP Timing'!E$16</f>
        <v>3.077788</v>
      </c>
      <c r="P37" s="1041">
        <f>($L$9+$L$10)*'ARP Timing'!F$16</f>
        <v>3.077788</v>
      </c>
      <c r="Q37" s="1041">
        <f>($L$9+$L$10)*'ARP Timing'!G$16</f>
        <v>3.077788</v>
      </c>
      <c r="R37" s="1041">
        <f>($L$9+$L$10)*'ARP Timing'!H$16</f>
        <v>3.077788</v>
      </c>
      <c r="S37" s="1041">
        <f>($L$9+$L$10)*'ARP Timing'!I$16</f>
        <v>3.077788</v>
      </c>
      <c r="T37" s="1041">
        <f>($L$9+$L$10)*'ARP Timing'!J$16</f>
        <v>3.077788</v>
      </c>
      <c r="U37" s="1041">
        <f>($L$9+$L$10)*'ARP Timing'!K$16</f>
        <v>3.077788</v>
      </c>
      <c r="V37" s="1041">
        <f>($L$9+$L$10)*'ARP Timing'!L$16</f>
        <v>3.077788</v>
      </c>
    </row>
    <row r="38" spans="1:23" x14ac:dyDescent="0.3">
      <c r="B38" s="1034" t="s">
        <v>379</v>
      </c>
      <c r="C38" s="1035"/>
      <c r="H38" s="1035"/>
      <c r="M38" s="1041">
        <f>($M$9+$M$10)*'ARP Timing'!B$16</f>
        <v>4.3968400000000001</v>
      </c>
      <c r="N38" s="1041">
        <f>($M$9+$M$10)*'ARP Timing'!C$16</f>
        <v>4.3968400000000001</v>
      </c>
      <c r="O38" s="1041">
        <f>($M$9+$M$10)*'ARP Timing'!D$16</f>
        <v>3.077788</v>
      </c>
      <c r="P38" s="1041">
        <f>($M$9+$M$10)*'ARP Timing'!E$16</f>
        <v>3.077788</v>
      </c>
      <c r="Q38" s="1041">
        <f>($M$9+$M$10)*'ARP Timing'!F$16</f>
        <v>3.077788</v>
      </c>
      <c r="R38" s="1041">
        <f>($M$9+$M$10)*'ARP Timing'!G$16</f>
        <v>3.077788</v>
      </c>
      <c r="S38" s="1041">
        <f>($M$9+$M$10)*'ARP Timing'!H$16</f>
        <v>3.077788</v>
      </c>
      <c r="T38" s="1041">
        <f>($M$9+$M$10)*'ARP Timing'!I$16</f>
        <v>3.077788</v>
      </c>
      <c r="U38" s="1041">
        <f>($M$9+$M$10)*'ARP Timing'!J$16</f>
        <v>3.077788</v>
      </c>
      <c r="V38" s="1041">
        <f>($M$9+$M$10)*'ARP Timing'!K$16</f>
        <v>3.077788</v>
      </c>
    </row>
    <row r="39" spans="1:23" x14ac:dyDescent="0.3">
      <c r="B39" s="1034" t="s">
        <v>843</v>
      </c>
      <c r="C39" s="1035"/>
      <c r="H39" s="1035"/>
      <c r="N39" s="1041">
        <f>($N$9+$N$10)*'ARP Timing'!B$16</f>
        <v>2.9087800000000006</v>
      </c>
      <c r="O39" s="1041">
        <f>($N$9+$N$10)*'ARP Timing'!C$16</f>
        <v>2.9087800000000006</v>
      </c>
      <c r="P39" s="1041">
        <f>($N$9+$N$10)*'ARP Timing'!D$16</f>
        <v>2.036146</v>
      </c>
      <c r="Q39" s="1041">
        <f>($N$9+$N$10)*'ARP Timing'!E$16</f>
        <v>2.036146</v>
      </c>
      <c r="R39" s="1041">
        <f>($N$9+$N$10)*'ARP Timing'!F$16</f>
        <v>2.036146</v>
      </c>
      <c r="S39" s="1041">
        <f>($N$9+$N$10)*'ARP Timing'!G$16</f>
        <v>2.036146</v>
      </c>
      <c r="T39" s="1041">
        <f>($N$9+$N$10)*'ARP Timing'!H$16</f>
        <v>2.036146</v>
      </c>
      <c r="U39" s="1041">
        <f>($N$9+$N$10)*'ARP Timing'!I$16</f>
        <v>2.036146</v>
      </c>
      <c r="V39" s="1041">
        <f>($N$9+$N$10)*'ARP Timing'!J$16</f>
        <v>2.036146</v>
      </c>
    </row>
    <row r="40" spans="1:23" x14ac:dyDescent="0.3">
      <c r="A40" s="1041">
        <v>2024</v>
      </c>
      <c r="B40" s="1034" t="s">
        <v>247</v>
      </c>
      <c r="C40" s="1035"/>
      <c r="H40" s="1035"/>
      <c r="O40" s="1041">
        <f>($O$9+$O$10)*'ARP Timing'!B$16</f>
        <v>2.9087800000000006</v>
      </c>
      <c r="P40" s="1041">
        <f>($O$9+$O$10)*'ARP Timing'!C$16</f>
        <v>2.9087800000000006</v>
      </c>
      <c r="Q40" s="1041">
        <f>($O$9+$O$10)*'ARP Timing'!D$16</f>
        <v>2.036146</v>
      </c>
      <c r="R40" s="1041">
        <f>($O$9+$O$10)*'ARP Timing'!E$16</f>
        <v>2.036146</v>
      </c>
      <c r="S40" s="1041">
        <f>($O$9+$O$10)*'ARP Timing'!F$16</f>
        <v>2.036146</v>
      </c>
      <c r="T40" s="1041">
        <f>($O$9+$O$10)*'ARP Timing'!G$16</f>
        <v>2.036146</v>
      </c>
      <c r="U40" s="1041">
        <f>($O$9+$O$10)*'ARP Timing'!H$16</f>
        <v>2.036146</v>
      </c>
      <c r="V40" s="1041">
        <f>($O$9+$O$10)*'ARP Timing'!I$16</f>
        <v>2.036146</v>
      </c>
    </row>
    <row r="41" spans="1:23" x14ac:dyDescent="0.3">
      <c r="B41" s="1034" t="s">
        <v>248</v>
      </c>
      <c r="C41" s="1035"/>
      <c r="H41" s="1035"/>
      <c r="P41" s="1041">
        <f>($P$9+$P$10)*'ARP Timing'!B$16</f>
        <v>2.9087800000000006</v>
      </c>
      <c r="Q41" s="1041">
        <f>($P$9+$P$10)*'ARP Timing'!C$16</f>
        <v>2.9087800000000006</v>
      </c>
      <c r="R41" s="1041">
        <f>($P$9+$P$10)*'ARP Timing'!D$16</f>
        <v>2.036146</v>
      </c>
      <c r="S41" s="1041">
        <f>($P$9+$P$10)*'ARP Timing'!E$16</f>
        <v>2.036146</v>
      </c>
      <c r="T41" s="1041">
        <f>($P$9+$P$10)*'ARP Timing'!F$16</f>
        <v>2.036146</v>
      </c>
      <c r="U41" s="1041">
        <f>($P$9+$P$10)*'ARP Timing'!G$16</f>
        <v>2.036146</v>
      </c>
      <c r="V41" s="1041">
        <f>($P$9+$P$10)*'ARP Timing'!H$16</f>
        <v>2.036146</v>
      </c>
    </row>
    <row r="42" spans="1:23" x14ac:dyDescent="0.3">
      <c r="B42" s="1034" t="s">
        <v>379</v>
      </c>
      <c r="C42" s="1035"/>
      <c r="H42" s="1035"/>
      <c r="Q42" s="1041">
        <f>($Q$9+$Q$10)*'ARP Timing'!B$16</f>
        <v>2.9087800000000006</v>
      </c>
      <c r="R42" s="1041">
        <f>($Q$9+$Q$10)*'ARP Timing'!C$16</f>
        <v>2.9087800000000006</v>
      </c>
      <c r="S42" s="1041">
        <f>($Q$9+$Q$10)*'ARP Timing'!D$16</f>
        <v>2.036146</v>
      </c>
      <c r="T42" s="1041">
        <f>($Q$9+$Q$10)*'ARP Timing'!E$16</f>
        <v>2.036146</v>
      </c>
      <c r="U42" s="1041">
        <f>($Q$9+$Q$10)*'ARP Timing'!F$16</f>
        <v>2.036146</v>
      </c>
      <c r="V42" s="1041">
        <f>($Q$9+$Q$10)*'ARP Timing'!G$16</f>
        <v>2.036146</v>
      </c>
    </row>
    <row r="43" spans="1:23" x14ac:dyDescent="0.3">
      <c r="B43" s="1034" t="s">
        <v>843</v>
      </c>
      <c r="C43" s="1035"/>
      <c r="H43" s="1035"/>
      <c r="R43" s="1041">
        <f>($R$9+$R$10)*'ARP Timing'!B$16</f>
        <v>1.9374600000000002</v>
      </c>
      <c r="S43" s="1041">
        <f>($R$9+$R$10)*'ARP Timing'!C$16</f>
        <v>1.9374600000000002</v>
      </c>
      <c r="T43" s="1041">
        <f>($R$9+$R$10)*'ARP Timing'!D$16</f>
        <v>1.356222</v>
      </c>
      <c r="U43" s="1041">
        <f>($R$9+$R$10)*'ARP Timing'!E$16</f>
        <v>1.356222</v>
      </c>
      <c r="V43" s="1041">
        <f>($R$9+$R$10)*'ARP Timing'!F$16</f>
        <v>1.356222</v>
      </c>
    </row>
    <row r="44" spans="1:23" x14ac:dyDescent="0.3">
      <c r="S44" s="1041">
        <f>($S$9+$S$10)*'ARP Timing'!B$16</f>
        <v>1.9374600000000002</v>
      </c>
      <c r="T44" s="1041">
        <f>($S$9+$S$10)*'ARP Timing'!C$16</f>
        <v>1.9374600000000002</v>
      </c>
      <c r="U44" s="1041">
        <f>($S$9+$S$10)*'ARP Timing'!D$16</f>
        <v>1.356222</v>
      </c>
      <c r="V44" s="1041">
        <f>($S$9+$S$10)*'ARP Timing'!E$16</f>
        <v>1.356222</v>
      </c>
    </row>
    <row r="46" spans="1:23" x14ac:dyDescent="0.3">
      <c r="B46" s="1041" t="s">
        <v>844</v>
      </c>
      <c r="D46" s="108" t="s">
        <v>296</v>
      </c>
      <c r="E46" s="108" t="s">
        <v>180</v>
      </c>
      <c r="F46" s="108" t="s">
        <v>181</v>
      </c>
      <c r="G46" s="108" t="s">
        <v>182</v>
      </c>
      <c r="H46" s="108" t="s">
        <v>183</v>
      </c>
      <c r="I46" s="108" t="s">
        <v>184</v>
      </c>
      <c r="J46" s="108" t="s">
        <v>185</v>
      </c>
      <c r="K46" s="108" t="s">
        <v>186</v>
      </c>
      <c r="L46" s="108" t="s">
        <v>187</v>
      </c>
      <c r="M46" s="108" t="s">
        <v>188</v>
      </c>
      <c r="N46" s="108" t="s">
        <v>189</v>
      </c>
      <c r="O46" s="108" t="s">
        <v>190</v>
      </c>
      <c r="P46" s="108" t="s">
        <v>191</v>
      </c>
      <c r="Q46" s="108" t="s">
        <v>175</v>
      </c>
      <c r="R46" s="108" t="s">
        <v>176</v>
      </c>
      <c r="S46" s="108" t="s">
        <v>177</v>
      </c>
      <c r="T46" s="108" t="s">
        <v>832</v>
      </c>
      <c r="U46" s="108" t="s">
        <v>833</v>
      </c>
      <c r="V46" s="108" t="s">
        <v>834</v>
      </c>
    </row>
    <row r="47" spans="1:23" x14ac:dyDescent="0.3">
      <c r="B47" s="1034"/>
      <c r="C47" s="1035" t="s">
        <v>360</v>
      </c>
      <c r="D47" s="1037">
        <f t="shared" ref="D47:U47" si="42">SUM(D48:D66)</f>
        <v>0</v>
      </c>
      <c r="E47" s="1037">
        <f t="shared" si="42"/>
        <v>0</v>
      </c>
      <c r="F47" s="1037">
        <f t="shared" si="42"/>
        <v>34.620851999999999</v>
      </c>
      <c r="G47" s="1037">
        <f t="shared" si="42"/>
        <v>50.996274799999995</v>
      </c>
      <c r="H47" s="1037">
        <f t="shared" si="42"/>
        <v>69.350031999999999</v>
      </c>
      <c r="I47" s="1037">
        <f t="shared" si="42"/>
        <v>79.295867999999999</v>
      </c>
      <c r="J47" s="1037">
        <f t="shared" si="42"/>
        <v>80.538927999999999</v>
      </c>
      <c r="K47" s="1037">
        <f t="shared" si="42"/>
        <v>80.122543199999996</v>
      </c>
      <c r="L47" s="1037">
        <f t="shared" si="42"/>
        <v>88.916719999999998</v>
      </c>
      <c r="M47" s="1037">
        <f t="shared" si="42"/>
        <v>92.213943999999998</v>
      </c>
      <c r="N47" s="1037">
        <f t="shared" si="42"/>
        <v>92.213943999999998</v>
      </c>
      <c r="O47" s="1037">
        <f t="shared" si="42"/>
        <v>94.213943999999998</v>
      </c>
      <c r="P47" s="1037">
        <f t="shared" si="42"/>
        <v>98.916719999999998</v>
      </c>
      <c r="Q47" s="1037">
        <f t="shared" si="42"/>
        <v>98.916719999999998</v>
      </c>
      <c r="R47" s="1037">
        <f t="shared" si="42"/>
        <v>99.081581199999988</v>
      </c>
      <c r="S47" s="1037">
        <f t="shared" si="42"/>
        <v>93.146578000000005</v>
      </c>
      <c r="T47" s="1037">
        <f t="shared" si="42"/>
        <v>86.552129999999991</v>
      </c>
      <c r="U47" s="1037">
        <f t="shared" si="42"/>
        <v>86.552129999999991</v>
      </c>
      <c r="V47" s="1037">
        <f>SUM(V48:V66)</f>
        <v>82.265738799999994</v>
      </c>
      <c r="W47" s="1041">
        <f>SUM(G47:V47)/4</f>
        <v>343.32344900000004</v>
      </c>
    </row>
    <row r="48" spans="1:23" x14ac:dyDescent="0.3">
      <c r="A48" s="1041">
        <v>2021</v>
      </c>
      <c r="B48" s="1034" t="s">
        <v>842</v>
      </c>
      <c r="C48" s="1035"/>
      <c r="D48" s="1041">
        <f>($D$8)*'ARP Timing'!B17</f>
        <v>0</v>
      </c>
      <c r="E48" s="1041">
        <f>($D$8)*'ARP Timing'!C17</f>
        <v>0</v>
      </c>
      <c r="F48" s="1041">
        <f>($D$8)*'ARP Timing'!D17</f>
        <v>34.620851999999999</v>
      </c>
      <c r="G48" s="1041">
        <f>($D$8)*'ARP Timing'!E17</f>
        <v>45.996274799999995</v>
      </c>
      <c r="H48" s="1041">
        <f>($D$8)*'ARP Timing'!F17</f>
        <v>59.350031999999992</v>
      </c>
      <c r="I48" s="1041">
        <f>($D$8)*'ARP Timing'!G17</f>
        <v>64.295867999999999</v>
      </c>
      <c r="J48" s="1041">
        <f>($D$8)*'ARP Timing'!H17</f>
        <v>49.458359999999999</v>
      </c>
      <c r="K48" s="1041">
        <f>($D$8)*'ARP Timing'!I17</f>
        <v>49.458359999999999</v>
      </c>
      <c r="L48" s="1041">
        <f>($D$8)*'ARP Timing'!J17</f>
        <v>59.350031999999992</v>
      </c>
      <c r="M48" s="1041">
        <f>($D$8)*'ARP Timing'!K17</f>
        <v>59.350031999999992</v>
      </c>
      <c r="N48" s="1041">
        <f>($D$8)*'ARP Timing'!L17</f>
        <v>69.241703999999999</v>
      </c>
      <c r="O48" s="1041">
        <f>($D$8)*'ARP Timing'!M17</f>
        <v>69.241703999999999</v>
      </c>
      <c r="P48" s="1041">
        <f>($D$8)*'ARP Timing'!N17</f>
        <v>59.350031999999992</v>
      </c>
      <c r="Q48" s="1041">
        <f>($D$8)*'ARP Timing'!O17</f>
        <v>59.350031999999992</v>
      </c>
      <c r="R48" s="1041">
        <f>($D$8)*'ARP Timing'!P17</f>
        <v>52.920445199999989</v>
      </c>
      <c r="S48" s="1041">
        <f>($D$8)*'ARP Timing'!Q17</f>
        <v>46.985441999999992</v>
      </c>
      <c r="T48" s="1041">
        <f>($D$8)*'ARP Timing'!R17</f>
        <v>46.985441999999992</v>
      </c>
      <c r="U48" s="1041">
        <f>($D$8)*'ARP Timing'!S17</f>
        <v>46.985441999999992</v>
      </c>
      <c r="V48" s="1041">
        <f>($D$8)*'ARP Timing'!T17</f>
        <v>46.985441999999992</v>
      </c>
    </row>
    <row r="49" spans="1:22" x14ac:dyDescent="0.3">
      <c r="B49" s="1034" t="s">
        <v>379</v>
      </c>
      <c r="C49" s="1035"/>
      <c r="E49" s="1041">
        <f>($E$8)*'ARP Timing'!B$17</f>
        <v>0</v>
      </c>
      <c r="F49" s="1041">
        <f>($E$8)*'ARP Timing'!C$16</f>
        <v>0</v>
      </c>
      <c r="G49" s="1041">
        <f>($E$8)*'ARP Timing'!D$16</f>
        <v>0</v>
      </c>
      <c r="H49" s="1041">
        <f>($E$8)*'ARP Timing'!E$16</f>
        <v>0</v>
      </c>
      <c r="I49" s="1041">
        <f>($E$8)*'ARP Timing'!F$16</f>
        <v>0</v>
      </c>
      <c r="J49" s="1041">
        <f>($E$8)*'ARP Timing'!G$16</f>
        <v>0</v>
      </c>
      <c r="K49" s="1041">
        <f>($E$8)*'ARP Timing'!H$16</f>
        <v>0</v>
      </c>
      <c r="L49" s="1041">
        <f>($E$8)*'ARP Timing'!I$16</f>
        <v>0</v>
      </c>
      <c r="M49" s="1041">
        <f>($E$8)*'ARP Timing'!J$16</f>
        <v>0</v>
      </c>
      <c r="N49" s="1041">
        <f>($E$8)*'ARP Timing'!K$16</f>
        <v>0</v>
      </c>
      <c r="O49" s="1041">
        <f>($E$8)*'ARP Timing'!L$16</f>
        <v>0</v>
      </c>
      <c r="P49" s="1041">
        <f>($E$8)*'ARP Timing'!M$16</f>
        <v>0</v>
      </c>
      <c r="Q49" s="1041">
        <f>($E$8)*'ARP Timing'!N$16</f>
        <v>0</v>
      </c>
      <c r="R49" s="1041">
        <f>($E$8)*'ARP Timing'!O$16</f>
        <v>0</v>
      </c>
      <c r="S49" s="1041">
        <f>($E$8)*'ARP Timing'!P$16</f>
        <v>0</v>
      </c>
      <c r="T49" s="1041">
        <f>($E$8)*'ARP Timing'!Q$16</f>
        <v>0</v>
      </c>
      <c r="U49" s="1041">
        <f>($E$8)*'ARP Timing'!R$16</f>
        <v>0</v>
      </c>
      <c r="V49" s="1041">
        <f>($E$8)*'ARP Timing'!S$16</f>
        <v>0</v>
      </c>
    </row>
    <row r="50" spans="1:22" x14ac:dyDescent="0.3">
      <c r="B50" s="1034" t="s">
        <v>843</v>
      </c>
      <c r="C50" s="1035"/>
      <c r="F50" s="1041">
        <f>($F$8)*'ARP Timing'!C$17</f>
        <v>0</v>
      </c>
      <c r="G50" s="1041">
        <f>($F$8)*'ARP Timing'!D$17</f>
        <v>0</v>
      </c>
      <c r="H50" s="1041">
        <f>($F$8)*'ARP Timing'!E$17</f>
        <v>0</v>
      </c>
      <c r="I50" s="1041">
        <f>($F$8)*'ARP Timing'!F$17</f>
        <v>0</v>
      </c>
      <c r="J50" s="1041">
        <f>($F$8)*'ARP Timing'!G$17</f>
        <v>0</v>
      </c>
      <c r="K50" s="1041">
        <f>($F$8)*'ARP Timing'!H$17</f>
        <v>0</v>
      </c>
      <c r="L50" s="1041">
        <f>($F$8)*'ARP Timing'!I$17</f>
        <v>0</v>
      </c>
      <c r="M50" s="1041">
        <f>($F$8)*'ARP Timing'!J$17</f>
        <v>0</v>
      </c>
      <c r="N50" s="1041">
        <f>($F$8)*'ARP Timing'!K$17</f>
        <v>0</v>
      </c>
      <c r="O50" s="1041">
        <f>($F$8)*'ARP Timing'!L$17</f>
        <v>0</v>
      </c>
      <c r="P50" s="1041">
        <f>($F$8)*'ARP Timing'!M$17</f>
        <v>0</v>
      </c>
      <c r="Q50" s="1041">
        <f>($F$8)*'ARP Timing'!N$17</f>
        <v>0</v>
      </c>
      <c r="R50" s="1041">
        <f>($F$8)*'ARP Timing'!O$17</f>
        <v>0</v>
      </c>
      <c r="S50" s="1041">
        <f>($F$8)*'ARP Timing'!P$17</f>
        <v>0</v>
      </c>
      <c r="T50" s="1041">
        <f>($F$8)*'ARP Timing'!Q$17</f>
        <v>0</v>
      </c>
      <c r="U50" s="1041">
        <f>($F$8)*'ARP Timing'!R$17</f>
        <v>0</v>
      </c>
      <c r="V50" s="1041">
        <f>($F$8)*'ARP Timing'!S$17</f>
        <v>0</v>
      </c>
    </row>
    <row r="51" spans="1:22" x14ac:dyDescent="0.3">
      <c r="A51" s="1041">
        <v>2022</v>
      </c>
      <c r="B51" s="1034" t="s">
        <v>247</v>
      </c>
      <c r="C51" s="1035"/>
      <c r="G51" s="1041">
        <f>($G$8)*'ARP Timing'!D$17</f>
        <v>0</v>
      </c>
      <c r="H51" s="1041">
        <f>($G$8)*'ARP Timing'!E$17</f>
        <v>0</v>
      </c>
      <c r="I51" s="1041">
        <f>($G$8)*'ARP Timing'!F$17</f>
        <v>0</v>
      </c>
      <c r="J51" s="1041">
        <f>($G$8)*'ARP Timing'!G$17</f>
        <v>0</v>
      </c>
      <c r="K51" s="1041">
        <f>($G$8)*'ARP Timing'!H$17</f>
        <v>0</v>
      </c>
      <c r="L51" s="1041">
        <f>($G$8)*'ARP Timing'!I$17</f>
        <v>0</v>
      </c>
      <c r="M51" s="1041">
        <f>($G$8)*'ARP Timing'!J$17</f>
        <v>0</v>
      </c>
      <c r="N51" s="1041">
        <f>($G$8)*'ARP Timing'!K$17</f>
        <v>0</v>
      </c>
      <c r="O51" s="1041">
        <f>($G$8)*'ARP Timing'!L$17</f>
        <v>0</v>
      </c>
      <c r="P51" s="1041">
        <f>($G$8)*'ARP Timing'!M$17</f>
        <v>0</v>
      </c>
      <c r="Q51" s="1041">
        <f>($G$8)*'ARP Timing'!N$17</f>
        <v>0</v>
      </c>
      <c r="R51" s="1041">
        <f>($G$8)*'ARP Timing'!O$17</f>
        <v>0</v>
      </c>
      <c r="S51" s="1041">
        <f>($G$8)*'ARP Timing'!P$17</f>
        <v>0</v>
      </c>
      <c r="T51" s="1041">
        <f>($G$8)*'ARP Timing'!Q$17</f>
        <v>0</v>
      </c>
      <c r="U51" s="1041">
        <f>($G$8)*'ARP Timing'!R$17</f>
        <v>0</v>
      </c>
      <c r="V51" s="1041">
        <f>($G$8)*'ARP Timing'!S$17</f>
        <v>0</v>
      </c>
    </row>
    <row r="52" spans="1:22" x14ac:dyDescent="0.3">
      <c r="B52" s="1034" t="s">
        <v>248</v>
      </c>
      <c r="C52" s="1035"/>
      <c r="H52" s="1041">
        <f>($H$8)*'ARP Timing'!B$17</f>
        <v>0</v>
      </c>
      <c r="I52" s="1041">
        <f>($H$8)*'ARP Timing'!C$17</f>
        <v>0</v>
      </c>
      <c r="J52" s="1041">
        <f>($H$8)*'ARP Timing'!D$17</f>
        <v>23.080568000000003</v>
      </c>
      <c r="K52" s="1041">
        <f>($H$8)*'ARP Timing'!E$17</f>
        <v>30.6641832</v>
      </c>
      <c r="L52" s="1041">
        <f>($H$8)*'ARP Timing'!F$17</f>
        <v>39.566687999999999</v>
      </c>
      <c r="M52" s="1041">
        <f>($H$8)*'ARP Timing'!G$17</f>
        <v>42.863911999999999</v>
      </c>
      <c r="N52" s="1041">
        <f>($H$8)*'ARP Timing'!H$17</f>
        <v>32.972239999999999</v>
      </c>
      <c r="O52" s="1041">
        <f>($H$8)*'ARP Timing'!I$17</f>
        <v>32.972239999999999</v>
      </c>
      <c r="P52" s="1041">
        <f>($H$8)*'ARP Timing'!J$17</f>
        <v>39.566687999999999</v>
      </c>
      <c r="Q52" s="1041">
        <f>($H$8)*'ARP Timing'!K$17</f>
        <v>39.566687999999999</v>
      </c>
      <c r="R52" s="1041">
        <f>($H$8)*'ARP Timing'!L$17</f>
        <v>46.161136000000006</v>
      </c>
      <c r="S52" s="1041">
        <f>($H$8)*'ARP Timing'!M$17</f>
        <v>46.161136000000006</v>
      </c>
      <c r="T52" s="1041">
        <f>($H$8)*'ARP Timing'!N$17</f>
        <v>39.566687999999999</v>
      </c>
      <c r="U52" s="1041">
        <f>($H$8)*'ARP Timing'!O$17</f>
        <v>39.566687999999999</v>
      </c>
      <c r="V52" s="1041">
        <f>($H$8)*'ARP Timing'!P$17</f>
        <v>35.280296800000002</v>
      </c>
    </row>
    <row r="53" spans="1:22" x14ac:dyDescent="0.3">
      <c r="B53" s="1034" t="s">
        <v>379</v>
      </c>
      <c r="C53" s="1035"/>
      <c r="H53" s="1035"/>
      <c r="I53" s="1041">
        <f>($I$8)*'ARP Timing'!B$17</f>
        <v>0</v>
      </c>
      <c r="J53" s="1041">
        <f>($I$8)*'ARP Timing'!C$17</f>
        <v>0</v>
      </c>
      <c r="K53" s="1041">
        <f>($I$8)*'ARP Timing'!D$17</f>
        <v>0</v>
      </c>
      <c r="L53" s="1041">
        <f>($I$8)*'ARP Timing'!E$17</f>
        <v>0</v>
      </c>
      <c r="M53" s="1041">
        <f>($I$8)*'ARP Timing'!F$17</f>
        <v>0</v>
      </c>
      <c r="N53" s="1041">
        <f>($I$8)*'ARP Timing'!G$17</f>
        <v>0</v>
      </c>
      <c r="O53" s="1041">
        <f>($I$8)*'ARP Timing'!H$17</f>
        <v>0</v>
      </c>
      <c r="P53" s="1041">
        <f>($I$8)*'ARP Timing'!I$17</f>
        <v>0</v>
      </c>
      <c r="Q53" s="1041">
        <f>($I$8)*'ARP Timing'!J$17</f>
        <v>0</v>
      </c>
      <c r="R53" s="1041">
        <f>($I$8)*'ARP Timing'!K$17</f>
        <v>0</v>
      </c>
      <c r="S53" s="1041">
        <f>($I$8)*'ARP Timing'!L$17</f>
        <v>0</v>
      </c>
      <c r="T53" s="1041">
        <f>($I$8)*'ARP Timing'!M$17</f>
        <v>0</v>
      </c>
      <c r="U53" s="1041">
        <f>($I$8)*'ARP Timing'!N$17</f>
        <v>0</v>
      </c>
      <c r="V53" s="1041">
        <f>($I$8)*'ARP Timing'!O$17</f>
        <v>0</v>
      </c>
    </row>
    <row r="54" spans="1:22" x14ac:dyDescent="0.3">
      <c r="B54" s="1034" t="s">
        <v>843</v>
      </c>
      <c r="C54" s="1035"/>
      <c r="H54" s="1035"/>
    </row>
    <row r="55" spans="1:22" x14ac:dyDescent="0.3">
      <c r="A55" s="1041">
        <v>2023</v>
      </c>
      <c r="B55" s="1034" t="s">
        <v>247</v>
      </c>
      <c r="C55" s="1035"/>
      <c r="H55" s="1035"/>
    </row>
    <row r="56" spans="1:22" x14ac:dyDescent="0.3">
      <c r="B56" s="1034" t="s">
        <v>248</v>
      </c>
      <c r="C56" s="1035"/>
      <c r="H56" s="1035"/>
    </row>
    <row r="57" spans="1:22" x14ac:dyDescent="0.3">
      <c r="B57" s="1034" t="s">
        <v>379</v>
      </c>
      <c r="C57" s="1035"/>
      <c r="H57" s="1035"/>
    </row>
    <row r="58" spans="1:22" x14ac:dyDescent="0.3">
      <c r="B58" s="1034" t="s">
        <v>843</v>
      </c>
      <c r="C58" s="1035"/>
      <c r="H58" s="1035"/>
    </row>
    <row r="59" spans="1:22" x14ac:dyDescent="0.3">
      <c r="A59" s="1041">
        <v>2024</v>
      </c>
      <c r="B59" s="1034" t="s">
        <v>247</v>
      </c>
      <c r="C59" s="1035"/>
      <c r="H59" s="1035"/>
    </row>
    <row r="60" spans="1:22" x14ac:dyDescent="0.3">
      <c r="B60" s="1034" t="s">
        <v>248</v>
      </c>
      <c r="C60" s="1035"/>
      <c r="H60" s="1035"/>
    </row>
    <row r="61" spans="1:22" x14ac:dyDescent="0.3">
      <c r="B61" s="1034" t="s">
        <v>379</v>
      </c>
      <c r="C61" s="1035"/>
      <c r="H61" s="1035"/>
    </row>
    <row r="62" spans="1:22" x14ac:dyDescent="0.3">
      <c r="B62" s="1034" t="s">
        <v>843</v>
      </c>
      <c r="C62" s="1035"/>
      <c r="H62" s="1035"/>
    </row>
    <row r="63" spans="1:22" x14ac:dyDescent="0.3">
      <c r="A63" t="s">
        <v>968</v>
      </c>
      <c r="B63" s="1034"/>
      <c r="C63" s="1035"/>
      <c r="G63">
        <v>5</v>
      </c>
      <c r="H63" s="1035">
        <v>10</v>
      </c>
      <c r="I63">
        <v>15</v>
      </c>
      <c r="J63">
        <v>8</v>
      </c>
      <c r="K63">
        <v>0</v>
      </c>
      <c r="L63">
        <v>-10</v>
      </c>
      <c r="M63">
        <v>-10</v>
      </c>
      <c r="N63">
        <v>-10</v>
      </c>
      <c r="O63">
        <v>-8</v>
      </c>
    </row>
    <row r="64" spans="1:22" x14ac:dyDescent="0.3">
      <c r="B64" s="1034"/>
      <c r="C64" s="1035"/>
      <c r="H64" s="1035"/>
    </row>
    <row r="65" spans="2:24" x14ac:dyDescent="0.3">
      <c r="B65" s="1034"/>
      <c r="C65" s="1035"/>
      <c r="H65" s="1035"/>
    </row>
    <row r="66" spans="2:24" x14ac:dyDescent="0.3">
      <c r="B66" s="1034"/>
      <c r="C66" s="1035"/>
      <c r="H66" s="1035"/>
    </row>
    <row r="67" spans="2:24" x14ac:dyDescent="0.3">
      <c r="B67" s="1034"/>
      <c r="C67" s="1035"/>
      <c r="H67" s="1035"/>
    </row>
    <row r="68" spans="2:24" x14ac:dyDescent="0.3">
      <c r="B68" s="1034"/>
      <c r="C68" s="1035"/>
      <c r="H68" s="1035"/>
    </row>
    <row r="69" spans="2:24" x14ac:dyDescent="0.3">
      <c r="B69" s="1034"/>
      <c r="C69" s="1035"/>
      <c r="H69" s="1035"/>
    </row>
    <row r="70" spans="2:24" x14ac:dyDescent="0.3">
      <c r="B70" s="1034"/>
      <c r="C70" s="1035"/>
      <c r="H70" s="1035"/>
    </row>
    <row r="71" spans="2:24" x14ac:dyDescent="0.3">
      <c r="B71" s="1034"/>
      <c r="C71" s="1035"/>
      <c r="H71" s="1035"/>
    </row>
    <row r="72" spans="2:24" x14ac:dyDescent="0.3">
      <c r="B72" s="1034"/>
      <c r="C72" s="1035"/>
      <c r="H72" s="1035"/>
    </row>
    <row r="73" spans="2:24" x14ac:dyDescent="0.3">
      <c r="B73" s="1034" t="s">
        <v>845</v>
      </c>
      <c r="C73" s="1032">
        <v>2021</v>
      </c>
      <c r="D73" s="1032">
        <v>2022</v>
      </c>
      <c r="E73" s="1032">
        <v>2023</v>
      </c>
      <c r="F73" s="1032">
        <v>2024</v>
      </c>
      <c r="G73" s="1032">
        <v>2025</v>
      </c>
      <c r="H73" s="1035"/>
    </row>
    <row r="74" spans="2:24" x14ac:dyDescent="0.3">
      <c r="B74" s="1034" t="s">
        <v>742</v>
      </c>
      <c r="C74" s="1038">
        <f t="shared" ref="C74:C85" si="43">SUM(C4:E4)/4</f>
        <v>0.77600000000001046</v>
      </c>
      <c r="D74" s="1038">
        <f t="shared" ref="D74:D85" si="44">SUM(F4:I4)/4</f>
        <v>19.719000000000005</v>
      </c>
      <c r="E74" s="1038">
        <f t="shared" ref="E74:E85" si="45">SUM(J4:M4)/4</f>
        <v>1.4159999999999999</v>
      </c>
      <c r="F74" s="1038">
        <f t="shared" ref="F74:F85" si="46">SUM(N4:Q4)/4</f>
        <v>1.4790000000000001</v>
      </c>
      <c r="G74" s="1038">
        <f t="shared" ref="G74:G85" si="47">SUM(R4:U4)/4</f>
        <v>1.63</v>
      </c>
    </row>
    <row r="75" spans="2:24" x14ac:dyDescent="0.3">
      <c r="B75" s="1034" t="s">
        <v>743</v>
      </c>
      <c r="C75" s="1038">
        <f t="shared" si="43"/>
        <v>19.722000000000016</v>
      </c>
      <c r="D75" s="1038">
        <f t="shared" si="44"/>
        <v>52.756999999999998</v>
      </c>
      <c r="E75" s="1038">
        <f t="shared" si="45"/>
        <v>12</v>
      </c>
      <c r="F75" s="1038">
        <f t="shared" si="46"/>
        <v>4.2219999999999995</v>
      </c>
      <c r="G75" s="1038">
        <f t="shared" si="47"/>
        <v>2.3719999999999999</v>
      </c>
      <c r="H75" s="1035"/>
    </row>
    <row r="76" spans="2:24" x14ac:dyDescent="0.3">
      <c r="B76" s="1034" t="s">
        <v>52</v>
      </c>
      <c r="C76" s="1038">
        <f t="shared" si="43"/>
        <v>81.643000000000001</v>
      </c>
      <c r="D76" s="1038">
        <f t="shared" si="44"/>
        <v>110.24799999999999</v>
      </c>
      <c r="E76" s="1038">
        <f t="shared" si="45"/>
        <v>12.726000000000001</v>
      </c>
      <c r="F76" s="1038">
        <f t="shared" si="46"/>
        <v>1.365</v>
      </c>
      <c r="G76" s="1038">
        <f t="shared" si="47"/>
        <v>-0.90100000000000025</v>
      </c>
      <c r="H76" s="1035"/>
      <c r="O76" s="1034"/>
      <c r="P76" s="1034"/>
      <c r="Q76" s="1034"/>
      <c r="R76" s="1034"/>
      <c r="S76" s="1039"/>
      <c r="T76" s="1039"/>
      <c r="U76" s="1039"/>
      <c r="V76" s="14"/>
      <c r="W76" s="1034"/>
      <c r="X76" s="1034"/>
    </row>
    <row r="77" spans="2:24" x14ac:dyDescent="0.3">
      <c r="B77" s="1034" t="s">
        <v>131</v>
      </c>
      <c r="C77" s="1038">
        <f t="shared" si="43"/>
        <v>7.798</v>
      </c>
      <c r="D77" s="1038">
        <f t="shared" si="44"/>
        <v>7.9489999999999998</v>
      </c>
      <c r="E77" s="1038">
        <f t="shared" si="45"/>
        <v>4.7519999999999998</v>
      </c>
      <c r="F77" s="1038">
        <f t="shared" si="46"/>
        <v>4.637999999999999</v>
      </c>
      <c r="G77" s="1038">
        <f t="shared" si="47"/>
        <v>1.8800000000000001</v>
      </c>
      <c r="H77" s="1035"/>
    </row>
    <row r="78" spans="2:24" x14ac:dyDescent="0.3">
      <c r="B78" s="1036" t="s">
        <v>396</v>
      </c>
      <c r="C78" s="1038">
        <f t="shared" si="43"/>
        <v>247.29179999999997</v>
      </c>
      <c r="D78" s="1038">
        <f t="shared" si="44"/>
        <v>164.8612</v>
      </c>
      <c r="E78" s="1038">
        <f t="shared" si="45"/>
        <v>0</v>
      </c>
      <c r="F78" s="1038">
        <f t="shared" si="46"/>
        <v>0</v>
      </c>
      <c r="G78" s="1038">
        <f t="shared" si="47"/>
        <v>0</v>
      </c>
      <c r="H78" s="1035"/>
      <c r="R78" s="1016"/>
      <c r="S78" s="1016"/>
    </row>
    <row r="79" spans="2:24" x14ac:dyDescent="0.3">
      <c r="B79" s="1036" t="s">
        <v>150</v>
      </c>
      <c r="C79" s="1038">
        <f t="shared" si="43"/>
        <v>12.347</v>
      </c>
      <c r="D79" s="1038">
        <f t="shared" si="44"/>
        <v>46.79</v>
      </c>
      <c r="E79" s="1038">
        <f t="shared" si="45"/>
        <v>38.595999999999997</v>
      </c>
      <c r="F79" s="1038">
        <f t="shared" si="46"/>
        <v>31.911000000000001</v>
      </c>
      <c r="G79" s="1038">
        <f t="shared" si="47"/>
        <v>23.099</v>
      </c>
      <c r="H79" s="1035"/>
      <c r="R79" s="1016"/>
      <c r="S79" s="1016"/>
    </row>
    <row r="80" spans="2:24" x14ac:dyDescent="0.3">
      <c r="B80" s="1036" t="s">
        <v>412</v>
      </c>
      <c r="C80" s="1038">
        <f t="shared" si="43"/>
        <v>29.628</v>
      </c>
      <c r="D80" s="1038">
        <f t="shared" si="44"/>
        <v>35.671000000000006</v>
      </c>
      <c r="E80" s="1038">
        <f t="shared" si="45"/>
        <v>24.216000000000001</v>
      </c>
      <c r="F80" s="1038">
        <f t="shared" si="46"/>
        <v>9.6430000000000007</v>
      </c>
      <c r="G80" s="1038">
        <f t="shared" si="47"/>
        <v>4.5789999999999997</v>
      </c>
      <c r="H80" s="1035"/>
      <c r="R80" s="1016"/>
      <c r="S80" s="1016"/>
    </row>
    <row r="81" spans="2:19" x14ac:dyDescent="0.3">
      <c r="B81" s="14" t="s">
        <v>159</v>
      </c>
      <c r="C81" s="1038">
        <f t="shared" si="43"/>
        <v>25.75</v>
      </c>
      <c r="D81" s="1038">
        <f t="shared" si="44"/>
        <v>0</v>
      </c>
      <c r="E81" s="1038">
        <f t="shared" si="45"/>
        <v>0</v>
      </c>
      <c r="F81" s="1038">
        <f t="shared" si="46"/>
        <v>0</v>
      </c>
      <c r="G81" s="1038">
        <f t="shared" si="47"/>
        <v>0</v>
      </c>
      <c r="H81" s="1035"/>
      <c r="R81" s="1016"/>
      <c r="S81" s="1016"/>
    </row>
    <row r="82" spans="2:19" x14ac:dyDescent="0.3">
      <c r="B82" s="1034" t="s">
        <v>109</v>
      </c>
      <c r="C82" s="1038">
        <f t="shared" si="43"/>
        <v>31.939</v>
      </c>
      <c r="D82" s="1038">
        <f t="shared" si="44"/>
        <v>56.413000000000004</v>
      </c>
      <c r="E82" s="1038">
        <f t="shared" si="45"/>
        <v>15.652999999999999</v>
      </c>
      <c r="F82" s="1038">
        <f t="shared" si="46"/>
        <v>3.9320000000000004</v>
      </c>
      <c r="G82" s="1038">
        <f t="shared" si="47"/>
        <v>-0.74299999999999988</v>
      </c>
      <c r="R82" s="1016"/>
      <c r="S82" s="1016"/>
    </row>
    <row r="83" spans="2:19" x14ac:dyDescent="0.3">
      <c r="B83" s="1041" t="s">
        <v>836</v>
      </c>
      <c r="C83" s="1038">
        <f t="shared" si="43"/>
        <v>1.02</v>
      </c>
      <c r="D83" s="1038">
        <f t="shared" si="44"/>
        <v>1.5299999999999998</v>
      </c>
      <c r="E83" s="1038">
        <f t="shared" si="45"/>
        <v>0</v>
      </c>
      <c r="F83" s="1038">
        <f t="shared" si="46"/>
        <v>0</v>
      </c>
      <c r="G83" s="1038">
        <f t="shared" si="47"/>
        <v>0</v>
      </c>
      <c r="R83" s="1016"/>
      <c r="S83" s="1016"/>
    </row>
    <row r="84" spans="2:19" x14ac:dyDescent="0.3">
      <c r="B84" s="1041" t="s">
        <v>837</v>
      </c>
      <c r="C84" s="1038">
        <f t="shared" si="43"/>
        <v>0.67999999999999994</v>
      </c>
      <c r="D84" s="1038">
        <f t="shared" si="44"/>
        <v>1.02</v>
      </c>
      <c r="E84" s="1038">
        <f t="shared" si="45"/>
        <v>0</v>
      </c>
      <c r="F84" s="1038">
        <f t="shared" si="46"/>
        <v>0</v>
      </c>
      <c r="G84" s="1038">
        <f t="shared" si="47"/>
        <v>0</v>
      </c>
      <c r="R84" s="1016"/>
      <c r="S84" s="1016"/>
    </row>
    <row r="85" spans="2:19" x14ac:dyDescent="0.3">
      <c r="B85" s="1041" t="s">
        <v>533</v>
      </c>
      <c r="C85" s="1038">
        <f t="shared" si="43"/>
        <v>1.6999999999999997</v>
      </c>
      <c r="D85" s="1038">
        <f t="shared" si="44"/>
        <v>2.5499999999999998</v>
      </c>
      <c r="E85" s="1038">
        <f t="shared" si="45"/>
        <v>0</v>
      </c>
      <c r="F85" s="1038">
        <f t="shared" si="46"/>
        <v>0</v>
      </c>
      <c r="G85" s="1038">
        <f t="shared" si="47"/>
        <v>0</v>
      </c>
      <c r="R85" s="1016"/>
      <c r="S85" s="1016"/>
    </row>
    <row r="86" spans="2:19" x14ac:dyDescent="0.3">
      <c r="C86" s="1032">
        <v>2021</v>
      </c>
      <c r="D86" s="1032">
        <v>2022</v>
      </c>
      <c r="E86" s="1032">
        <v>2023</v>
      </c>
      <c r="F86" s="1032">
        <v>2024</v>
      </c>
      <c r="G86" s="1032">
        <v>2025</v>
      </c>
      <c r="R86" s="1016"/>
      <c r="S86" s="1016"/>
    </row>
    <row r="87" spans="2:19" x14ac:dyDescent="0.3">
      <c r="B87" s="1041" t="s">
        <v>846</v>
      </c>
      <c r="C87" s="1037">
        <f>SUM(C83:C85)</f>
        <v>3.3999999999999995</v>
      </c>
      <c r="D87" s="1037">
        <f t="shared" ref="D87:G87" si="48">SUM(D83:D85)</f>
        <v>5.0999999999999996</v>
      </c>
      <c r="E87" s="1037">
        <f t="shared" si="48"/>
        <v>0</v>
      </c>
      <c r="F87" s="1037">
        <f t="shared" si="48"/>
        <v>0</v>
      </c>
      <c r="G87" s="1037">
        <f t="shared" si="48"/>
        <v>0</v>
      </c>
      <c r="R87" s="1016"/>
      <c r="S87" s="1016"/>
    </row>
    <row r="90" spans="2:19" x14ac:dyDescent="0.3">
      <c r="B90" s="1041" t="s">
        <v>742</v>
      </c>
      <c r="C90" s="1038">
        <v>26.636000000000024</v>
      </c>
      <c r="D90" s="1038">
        <v>98.978999999999999</v>
      </c>
      <c r="E90" s="1038">
        <v>2.1159999999999997</v>
      </c>
      <c r="F90" s="1038">
        <v>2.1789999999999998</v>
      </c>
      <c r="G90" s="1038">
        <v>2.33</v>
      </c>
      <c r="H90" s="1038"/>
      <c r="I90" s="1038"/>
      <c r="J90" s="1038"/>
      <c r="K90" s="1038"/>
      <c r="L90" s="1038"/>
      <c r="M90" s="1038"/>
    </row>
    <row r="91" spans="2:19" x14ac:dyDescent="0.3">
      <c r="B91" s="1041" t="s">
        <v>743</v>
      </c>
      <c r="C91" s="1038">
        <v>47.722000000000016</v>
      </c>
      <c r="D91" s="1038">
        <v>52.756999999999998</v>
      </c>
      <c r="E91" s="1038">
        <v>12</v>
      </c>
      <c r="F91" s="1038">
        <v>4.2219999999999995</v>
      </c>
      <c r="G91" s="1038">
        <v>2.3719999999999999</v>
      </c>
      <c r="H91" s="1038"/>
      <c r="I91" s="1038"/>
      <c r="J91" s="1038"/>
      <c r="K91" s="1038"/>
      <c r="L91" s="1038"/>
      <c r="M91" s="1038"/>
    </row>
    <row r="92" spans="2:19" x14ac:dyDescent="0.3">
      <c r="B92" s="1041" t="s">
        <v>52</v>
      </c>
      <c r="C92" s="1038">
        <v>81.842999999999989</v>
      </c>
      <c r="D92" s="1038">
        <v>110.24799999999999</v>
      </c>
      <c r="E92" s="1038">
        <v>12.726000000000001</v>
      </c>
      <c r="F92" s="1038">
        <v>1.365</v>
      </c>
      <c r="G92" s="1038">
        <v>-0.90100000000000025</v>
      </c>
      <c r="H92" s="1038"/>
      <c r="I92" s="1038"/>
      <c r="J92" s="1038"/>
      <c r="K92" s="1038"/>
      <c r="L92" s="1038"/>
      <c r="M92" s="1038"/>
    </row>
    <row r="93" spans="2:19" x14ac:dyDescent="0.3">
      <c r="B93" s="1041" t="s">
        <v>131</v>
      </c>
      <c r="C93" s="1038">
        <v>7.798</v>
      </c>
      <c r="D93" s="1038">
        <v>7.9489999999999998</v>
      </c>
      <c r="E93" s="1038">
        <v>4.7519999999999998</v>
      </c>
      <c r="F93" s="1038">
        <v>4.637999999999999</v>
      </c>
      <c r="G93" s="1038">
        <v>1.8800000000000001</v>
      </c>
      <c r="H93" s="1038"/>
      <c r="I93" s="1038"/>
      <c r="J93" s="1038"/>
      <c r="K93" s="1038"/>
      <c r="L93" s="1038"/>
      <c r="M93" s="1038"/>
    </row>
    <row r="94" spans="2:19" x14ac:dyDescent="0.3">
      <c r="B94" s="1041" t="s">
        <v>396</v>
      </c>
      <c r="C94" s="1038">
        <v>283.95749999999998</v>
      </c>
      <c r="D94" s="1038">
        <v>77.092500000000001</v>
      </c>
      <c r="E94" s="1038">
        <v>1</v>
      </c>
      <c r="F94" s="1038">
        <v>0</v>
      </c>
      <c r="G94" s="1038">
        <v>0</v>
      </c>
      <c r="H94" s="1038"/>
      <c r="I94" s="1038"/>
      <c r="J94" s="1038"/>
      <c r="K94" s="1038"/>
      <c r="L94" s="1038"/>
      <c r="M94" s="1038"/>
    </row>
    <row r="95" spans="2:19" x14ac:dyDescent="0.3">
      <c r="B95" s="1041" t="s">
        <v>150</v>
      </c>
      <c r="C95" s="1038">
        <v>12.347</v>
      </c>
      <c r="D95" s="1038">
        <v>46.79</v>
      </c>
      <c r="E95" s="1038">
        <v>38.595999999999997</v>
      </c>
      <c r="F95" s="1038">
        <v>31.911000000000001</v>
      </c>
      <c r="G95" s="1038">
        <v>23.099</v>
      </c>
      <c r="H95" s="1038"/>
      <c r="I95" s="1038"/>
      <c r="J95" s="1038"/>
      <c r="K95" s="1038"/>
      <c r="L95" s="1038"/>
      <c r="M95" s="1038"/>
    </row>
    <row r="96" spans="2:19" x14ac:dyDescent="0.3">
      <c r="B96" s="1041" t="s">
        <v>412</v>
      </c>
      <c r="C96" s="1038">
        <v>2.286</v>
      </c>
      <c r="D96" s="1038">
        <v>4.6049999999999995</v>
      </c>
      <c r="E96" s="1038">
        <v>1.349</v>
      </c>
      <c r="F96" s="1038">
        <v>0.441</v>
      </c>
      <c r="G96" s="1038">
        <v>0.313</v>
      </c>
      <c r="H96" s="1038"/>
      <c r="I96" s="1038"/>
      <c r="J96" s="1038"/>
      <c r="K96" s="1038"/>
      <c r="L96" s="1038"/>
      <c r="M96" s="1038"/>
    </row>
    <row r="97" spans="2:13" x14ac:dyDescent="0.3">
      <c r="B97" s="1041" t="s">
        <v>159</v>
      </c>
      <c r="C97" s="1038">
        <v>25.75</v>
      </c>
      <c r="D97" s="1038">
        <v>0</v>
      </c>
      <c r="E97" s="1038">
        <v>0</v>
      </c>
      <c r="F97" s="1038">
        <v>0</v>
      </c>
      <c r="G97" s="1038">
        <v>0</v>
      </c>
      <c r="H97" s="1038"/>
      <c r="I97" s="1038"/>
      <c r="J97" s="1038"/>
      <c r="K97" s="1038"/>
      <c r="L97" s="1038"/>
      <c r="M97" s="1038"/>
    </row>
    <row r="98" spans="2:13" x14ac:dyDescent="0.3">
      <c r="B98" s="1041" t="s">
        <v>109</v>
      </c>
      <c r="C98" s="1038">
        <v>60.441000000000003</v>
      </c>
      <c r="D98" s="1038">
        <v>91.678999999999988</v>
      </c>
      <c r="E98" s="1038">
        <v>41.220000000000006</v>
      </c>
      <c r="F98" s="1038">
        <v>14.004000000000003</v>
      </c>
      <c r="G98" s="1038">
        <v>3.8530000000000006</v>
      </c>
      <c r="H98" s="1038"/>
      <c r="I98" s="1038"/>
      <c r="J98" s="1038"/>
      <c r="K98" s="1038"/>
      <c r="L98" s="1038"/>
      <c r="M98" s="1038"/>
    </row>
    <row r="99" spans="2:13" x14ac:dyDescent="0.3">
      <c r="C99" s="1032">
        <v>3.4</v>
      </c>
      <c r="D99" s="1032">
        <v>5.0999999999999996</v>
      </c>
      <c r="E99" s="1032">
        <v>0</v>
      </c>
      <c r="F99" s="1032">
        <v>0</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6" activePane="bottomLeft" state="frozen"/>
      <selection pane="bottomLeft" activeCell="C9" sqref="C9"/>
    </sheetView>
  </sheetViews>
  <sheetFormatPr defaultColWidth="11.5546875" defaultRowHeight="14.4" x14ac:dyDescent="0.3"/>
  <cols>
    <col min="1" max="1" width="30.77734375" customWidth="1"/>
    <col min="2" max="2" width="109.44140625" customWidth="1"/>
    <col min="3" max="3" width="47" customWidth="1"/>
    <col min="4" max="4" width="18.77734375" customWidth="1"/>
    <col min="5" max="5" width="58.77734375" customWidth="1"/>
    <col min="6" max="6" width="33.21875" customWidth="1"/>
  </cols>
  <sheetData>
    <row r="1" spans="1:6" ht="47.7" customHeight="1" x14ac:dyDescent="0.3">
      <c r="A1" s="25" t="s">
        <v>33</v>
      </c>
      <c r="B1" s="26" t="s">
        <v>34</v>
      </c>
      <c r="C1" s="26" t="s">
        <v>35</v>
      </c>
      <c r="D1" s="27" t="s">
        <v>36</v>
      </c>
      <c r="E1" s="31"/>
      <c r="F1" s="31"/>
    </row>
    <row r="2" spans="1:6" ht="16.5" customHeight="1" x14ac:dyDescent="0.3">
      <c r="A2" s="1118" t="s">
        <v>37</v>
      </c>
      <c r="B2" s="1119"/>
      <c r="C2" s="1119"/>
      <c r="D2" s="1120"/>
      <c r="E2" s="31"/>
      <c r="F2" s="31"/>
    </row>
    <row r="3" spans="1:6" ht="148.19999999999999" customHeight="1" x14ac:dyDescent="0.3">
      <c r="A3" s="18" t="s">
        <v>925</v>
      </c>
      <c r="B3" s="14" t="s">
        <v>924</v>
      </c>
      <c r="C3" s="14" t="s">
        <v>923</v>
      </c>
      <c r="D3" s="22" t="s">
        <v>1017</v>
      </c>
    </row>
    <row r="4" spans="1:6" ht="148.19999999999999" customHeight="1" x14ac:dyDescent="0.3">
      <c r="A4" s="18" t="s">
        <v>79</v>
      </c>
      <c r="B4" s="14" t="s">
        <v>40</v>
      </c>
      <c r="C4" s="14" t="s">
        <v>998</v>
      </c>
      <c r="D4" s="22" t="s">
        <v>1017</v>
      </c>
      <c r="E4" s="14"/>
      <c r="F4" s="14"/>
    </row>
    <row r="5" spans="1:6" ht="61.5" customHeight="1" x14ac:dyDescent="0.3">
      <c r="A5" s="18" t="s">
        <v>73</v>
      </c>
      <c r="B5" s="14" t="s">
        <v>74</v>
      </c>
      <c r="C5" s="33" t="s">
        <v>44</v>
      </c>
      <c r="D5" s="22" t="s">
        <v>1017</v>
      </c>
    </row>
    <row r="6" spans="1:6" ht="78" customHeight="1" x14ac:dyDescent="0.3">
      <c r="A6" s="18" t="s">
        <v>45</v>
      </c>
      <c r="B6" s="14" t="s">
        <v>46</v>
      </c>
      <c r="C6" s="14" t="s">
        <v>942</v>
      </c>
      <c r="D6" s="22" t="s">
        <v>1017</v>
      </c>
      <c r="E6" s="14"/>
      <c r="F6" s="14"/>
    </row>
    <row r="7" spans="1:6" ht="50.7" customHeight="1" x14ac:dyDescent="0.3">
      <c r="A7" s="18" t="s">
        <v>885</v>
      </c>
      <c r="B7" s="14" t="s">
        <v>897</v>
      </c>
      <c r="C7" s="14" t="s">
        <v>1848</v>
      </c>
      <c r="D7" s="22" t="s">
        <v>1017</v>
      </c>
      <c r="E7" s="15"/>
      <c r="F7" s="14"/>
    </row>
    <row r="8" spans="1:6" ht="29.7" customHeight="1" x14ac:dyDescent="0.3">
      <c r="A8" s="18" t="s">
        <v>75</v>
      </c>
      <c r="B8" s="14" t="s">
        <v>76</v>
      </c>
      <c r="C8" s="14" t="s">
        <v>77</v>
      </c>
      <c r="D8" s="22" t="s">
        <v>1017</v>
      </c>
      <c r="E8" s="15"/>
      <c r="F8" s="14"/>
    </row>
    <row r="9" spans="1:6" ht="48.45" customHeight="1" x14ac:dyDescent="0.3">
      <c r="A9" s="18" t="s">
        <v>47</v>
      </c>
      <c r="B9" s="14" t="s">
        <v>48</v>
      </c>
      <c r="C9" s="14" t="s">
        <v>916</v>
      </c>
      <c r="D9" s="22" t="s">
        <v>1017</v>
      </c>
      <c r="E9" s="15"/>
      <c r="F9" s="14"/>
    </row>
    <row r="10" spans="1:6" ht="22.5" customHeight="1" x14ac:dyDescent="0.3">
      <c r="A10" s="1118" t="s">
        <v>917</v>
      </c>
      <c r="B10" s="1119"/>
      <c r="C10" s="1119"/>
      <c r="D10" s="1120"/>
      <c r="E10" s="15"/>
      <c r="F10" s="14"/>
    </row>
    <row r="11" spans="1:6" ht="22.5" customHeight="1" x14ac:dyDescent="0.3">
      <c r="A11" s="19" t="s">
        <v>75</v>
      </c>
      <c r="B11" s="1131" t="s">
        <v>927</v>
      </c>
      <c r="C11" s="1132"/>
      <c r="D11" s="32"/>
      <c r="E11" s="15"/>
      <c r="F11" s="14"/>
    </row>
    <row r="12" spans="1:6" ht="33" customHeight="1" x14ac:dyDescent="0.3">
      <c r="A12" s="19" t="s">
        <v>926</v>
      </c>
      <c r="B12" s="1124" t="s">
        <v>928</v>
      </c>
      <c r="C12" s="1124"/>
      <c r="D12" s="22"/>
      <c r="E12" s="14"/>
      <c r="F12" s="14"/>
    </row>
    <row r="13" spans="1:6" ht="39.450000000000003" customHeight="1" x14ac:dyDescent="0.3">
      <c r="A13" s="17" t="s">
        <v>918</v>
      </c>
      <c r="B13" s="1124" t="s">
        <v>929</v>
      </c>
      <c r="C13" s="1124"/>
      <c r="D13" s="22"/>
    </row>
    <row r="14" spans="1:6" ht="38.700000000000003" customHeight="1" x14ac:dyDescent="0.3">
      <c r="A14" s="17" t="s">
        <v>920</v>
      </c>
      <c r="B14" s="1124" t="s">
        <v>921</v>
      </c>
      <c r="C14" s="1124"/>
      <c r="D14" s="22"/>
    </row>
    <row r="15" spans="1:6" ht="19.95" customHeight="1" x14ac:dyDescent="0.3">
      <c r="A15" s="1121" t="s">
        <v>59</v>
      </c>
      <c r="B15" s="1122"/>
      <c r="C15" s="1122"/>
      <c r="D15" s="1123"/>
    </row>
    <row r="16" spans="1:6" ht="24.45" customHeight="1" x14ac:dyDescent="0.3">
      <c r="A16" s="1125" t="s">
        <v>893</v>
      </c>
      <c r="B16" s="1126"/>
      <c r="C16" s="1127"/>
      <c r="D16" s="22"/>
    </row>
    <row r="17" spans="1:7" ht="101.7" customHeight="1" x14ac:dyDescent="0.3">
      <c r="A17" s="34" t="s">
        <v>60</v>
      </c>
      <c r="B17" s="35" t="s">
        <v>943</v>
      </c>
      <c r="C17" s="35" t="s">
        <v>950</v>
      </c>
      <c r="D17" s="36"/>
      <c r="E17" s="35"/>
      <c r="F17" s="35"/>
      <c r="G17" s="35"/>
    </row>
    <row r="18" spans="1:7" ht="100.95" customHeight="1" x14ac:dyDescent="0.3">
      <c r="A18" s="34" t="s">
        <v>61</v>
      </c>
      <c r="B18" s="35" t="s">
        <v>944</v>
      </c>
      <c r="C18" s="35" t="s">
        <v>945</v>
      </c>
      <c r="D18" s="36"/>
      <c r="E18" s="35"/>
      <c r="F18" s="35"/>
      <c r="G18" s="35"/>
    </row>
    <row r="19" spans="1:7" ht="57.6" customHeight="1" x14ac:dyDescent="0.3">
      <c r="A19" s="34" t="s">
        <v>946</v>
      </c>
      <c r="B19" s="35" t="s">
        <v>947</v>
      </c>
      <c r="C19" s="35" t="s">
        <v>948</v>
      </c>
      <c r="D19" s="36"/>
      <c r="E19" s="35"/>
      <c r="F19" s="35"/>
      <c r="G19" s="35"/>
    </row>
    <row r="20" spans="1:7" ht="37.5" customHeight="1" x14ac:dyDescent="0.3">
      <c r="A20" s="1128" t="s">
        <v>892</v>
      </c>
      <c r="B20" s="1129"/>
      <c r="C20" s="1130"/>
      <c r="D20" s="22"/>
    </row>
    <row r="21" spans="1:7" x14ac:dyDescent="0.3">
      <c r="A21" s="1121" t="s">
        <v>62</v>
      </c>
      <c r="B21" s="1122"/>
      <c r="C21" s="1122"/>
      <c r="D21" s="1123"/>
    </row>
    <row r="22" spans="1:7" ht="28.95" customHeight="1" x14ac:dyDescent="0.3">
      <c r="A22" s="18" t="s">
        <v>63</v>
      </c>
      <c r="B22" s="14" t="s">
        <v>78</v>
      </c>
      <c r="C22" s="14" t="s">
        <v>64</v>
      </c>
      <c r="D22" s="22"/>
    </row>
    <row r="23" spans="1:7" ht="72" customHeight="1" x14ac:dyDescent="0.3">
      <c r="A23" s="18" t="s">
        <v>65</v>
      </c>
      <c r="B23" s="14" t="s">
        <v>66</v>
      </c>
      <c r="C23" s="14" t="s">
        <v>67</v>
      </c>
      <c r="D23" s="22"/>
    </row>
    <row r="24" spans="1:7" ht="28.95" customHeight="1" x14ac:dyDescent="0.3">
      <c r="A24" s="18" t="s">
        <v>68</v>
      </c>
      <c r="B24" s="14" t="s">
        <v>69</v>
      </c>
      <c r="C24" s="14" t="s">
        <v>935</v>
      </c>
      <c r="D24" s="22"/>
    </row>
    <row r="25" spans="1:7" ht="100.95" customHeight="1" x14ac:dyDescent="0.3">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DE812-0B97-4E2E-ADE7-17D37DFEF334}">
  <dimension ref="A1:F252"/>
  <sheetViews>
    <sheetView workbookViewId="0">
      <pane ySplit="1" topLeftCell="A2" activePane="bottomLeft" state="frozen"/>
      <selection pane="bottomLeft" activeCell="J8" sqref="J8"/>
    </sheetView>
  </sheetViews>
  <sheetFormatPr defaultRowHeight="14.4" x14ac:dyDescent="0.3"/>
  <cols>
    <col min="2" max="6" width="8.88671875" style="1060"/>
  </cols>
  <sheetData>
    <row r="1" spans="1:6" s="31" customFormat="1" ht="72" x14ac:dyDescent="0.3">
      <c r="A1" s="31" t="s">
        <v>795</v>
      </c>
      <c r="B1" s="1061" t="s">
        <v>1850</v>
      </c>
      <c r="C1" s="1061" t="s">
        <v>1851</v>
      </c>
      <c r="D1" s="1061" t="s">
        <v>2109</v>
      </c>
      <c r="E1" s="1061" t="s">
        <v>1852</v>
      </c>
      <c r="F1" s="1061" t="s">
        <v>1853</v>
      </c>
    </row>
    <row r="2" spans="1:6" x14ac:dyDescent="0.3">
      <c r="A2" t="s">
        <v>1027</v>
      </c>
      <c r="B2" s="1060">
        <v>4.5079018442711401E-2</v>
      </c>
      <c r="C2" s="1060">
        <v>5.3878515900577198E-2</v>
      </c>
      <c r="D2" s="1060">
        <v>8.7669475195773797E-2</v>
      </c>
      <c r="E2" s="1060">
        <v>8.2063006909154398E-2</v>
      </c>
      <c r="F2" s="1060">
        <v>0.104421067414309</v>
      </c>
    </row>
    <row r="3" spans="1:6" x14ac:dyDescent="0.3">
      <c r="A3" t="s">
        <v>1029</v>
      </c>
      <c r="B3" s="1060">
        <v>4.5079018442711401E-2</v>
      </c>
      <c r="C3" s="1060">
        <v>5.3878515900577198E-2</v>
      </c>
      <c r="D3" s="1060">
        <v>8.7669475195773797E-2</v>
      </c>
      <c r="E3" s="1060">
        <v>8.2063006909154398E-2</v>
      </c>
      <c r="F3" s="1060">
        <v>0.104421067414309</v>
      </c>
    </row>
    <row r="4" spans="1:6" x14ac:dyDescent="0.3">
      <c r="A4" t="s">
        <v>1030</v>
      </c>
      <c r="B4" s="1060">
        <v>3.9419555818651898E-2</v>
      </c>
      <c r="C4" s="1060">
        <v>6.9938689583740596E-2</v>
      </c>
      <c r="D4" s="1060">
        <v>7.4285235367281197E-2</v>
      </c>
      <c r="E4" s="1060">
        <v>7.2508506661211405E-2</v>
      </c>
      <c r="F4" s="1060">
        <v>7.9737360467493398E-2</v>
      </c>
    </row>
    <row r="5" spans="1:6" x14ac:dyDescent="0.3">
      <c r="A5" t="s">
        <v>1031</v>
      </c>
      <c r="B5" s="1060">
        <v>5.2824828770235303E-2</v>
      </c>
      <c r="C5" s="1060">
        <v>5.1823422551402501E-2</v>
      </c>
      <c r="D5" s="1060">
        <v>7.7970827818693703E-2</v>
      </c>
      <c r="E5" s="1060">
        <v>6.9052453854286294E-2</v>
      </c>
      <c r="F5" s="1060">
        <v>0.10539397910227</v>
      </c>
    </row>
    <row r="6" spans="1:6" x14ac:dyDescent="0.3">
      <c r="A6" t="s">
        <v>1032</v>
      </c>
      <c r="B6" s="1060">
        <v>3.85286878692137E-2</v>
      </c>
      <c r="C6" s="1060">
        <v>0.132788480581229</v>
      </c>
      <c r="D6" s="1060">
        <v>9.3760823124779499E-2</v>
      </c>
      <c r="E6" s="1060">
        <v>0.10231116414477499</v>
      </c>
      <c r="F6" s="1060">
        <v>6.9175988166702701E-2</v>
      </c>
    </row>
    <row r="7" spans="1:6" x14ac:dyDescent="0.3">
      <c r="A7" t="s">
        <v>1033</v>
      </c>
      <c r="B7" s="1060">
        <v>4.6230845754161802E-2</v>
      </c>
      <c r="C7" s="1060">
        <v>7.6806429060699302E-2</v>
      </c>
      <c r="D7" s="1060">
        <v>7.4455751629846495E-2</v>
      </c>
      <c r="E7" s="1060">
        <v>7.6908368677740299E-2</v>
      </c>
      <c r="F7" s="1060">
        <v>6.5481053360561203E-2</v>
      </c>
    </row>
    <row r="8" spans="1:6" x14ac:dyDescent="0.3">
      <c r="A8" t="s">
        <v>1034</v>
      </c>
      <c r="B8" s="1060">
        <v>4.0000704948734103E-2</v>
      </c>
      <c r="C8" s="1060">
        <v>5.9184461037305798E-2</v>
      </c>
      <c r="D8" s="1060">
        <v>5.75589148550519E-2</v>
      </c>
      <c r="E8" s="1060">
        <v>6.1773509542664397E-2</v>
      </c>
      <c r="F8" s="1060">
        <v>4.4315280925248897E-2</v>
      </c>
    </row>
    <row r="9" spans="1:6" x14ac:dyDescent="0.3">
      <c r="A9" t="s">
        <v>1035</v>
      </c>
      <c r="B9" s="1060">
        <v>2.5035607973723999E-2</v>
      </c>
      <c r="C9" s="1060">
        <v>8.3819893360376693E-2</v>
      </c>
      <c r="D9" s="1060">
        <v>4.4288971780713303E-2</v>
      </c>
      <c r="E9" s="1060">
        <v>3.6793688078589702E-2</v>
      </c>
      <c r="F9" s="1060">
        <v>7.0854524877743894E-2</v>
      </c>
    </row>
    <row r="10" spans="1:6" x14ac:dyDescent="0.3">
      <c r="A10" t="s">
        <v>1036</v>
      </c>
      <c r="B10" s="1060">
        <v>4.2906681103859E-2</v>
      </c>
      <c r="C10" s="1060">
        <v>0.175097239288524</v>
      </c>
      <c r="D10" s="1060">
        <v>9.26129607439308E-2</v>
      </c>
      <c r="E10" s="1060">
        <v>0.10446834522691199</v>
      </c>
      <c r="F10" s="1060">
        <v>5.2157088254066501E-2</v>
      </c>
    </row>
    <row r="11" spans="1:6" x14ac:dyDescent="0.3">
      <c r="A11" t="s">
        <v>1037</v>
      </c>
      <c r="B11" s="1060">
        <v>2.3157030840978501E-2</v>
      </c>
      <c r="C11" s="1060">
        <v>4.0963848741786497E-2</v>
      </c>
      <c r="D11" s="1060">
        <v>4.8049614688522098E-2</v>
      </c>
      <c r="E11" s="1060">
        <v>5.35423244430666E-2</v>
      </c>
      <c r="F11" s="1060">
        <v>2.83404365976123E-2</v>
      </c>
    </row>
    <row r="12" spans="1:6" x14ac:dyDescent="0.3">
      <c r="A12" t="s">
        <v>1038</v>
      </c>
      <c r="B12" s="1060">
        <v>3.55986781186481E-2</v>
      </c>
      <c r="C12" s="1060">
        <v>3.3186191278740597E-2</v>
      </c>
      <c r="D12" s="1060">
        <v>6.2282208901687001E-2</v>
      </c>
      <c r="E12" s="1060">
        <v>6.3703129067968198E-2</v>
      </c>
      <c r="F12" s="1060">
        <v>5.6658506033298299E-2</v>
      </c>
    </row>
    <row r="13" spans="1:6" x14ac:dyDescent="0.3">
      <c r="A13" t="s">
        <v>1039</v>
      </c>
      <c r="B13" s="1060">
        <v>3.3109052200751603E-2</v>
      </c>
      <c r="C13" s="1060">
        <v>8.9944620716435594E-2</v>
      </c>
      <c r="D13" s="1060">
        <v>5.6197298009031102E-2</v>
      </c>
      <c r="E13" s="1060">
        <v>5.0679215853917103E-2</v>
      </c>
      <c r="F13" s="1060">
        <v>7.6848944278385095E-2</v>
      </c>
    </row>
    <row r="14" spans="1:6" x14ac:dyDescent="0.3">
      <c r="A14" t="s">
        <v>1040</v>
      </c>
      <c r="B14" s="1060">
        <v>4.91014015888558E-2</v>
      </c>
      <c r="C14" s="1060">
        <v>6.5908483031781095E-2</v>
      </c>
      <c r="D14" s="1060">
        <v>8.1146420382343501E-2</v>
      </c>
      <c r="E14" s="1060">
        <v>8.1389738888574495E-2</v>
      </c>
      <c r="F14" s="1060">
        <v>7.93845743471608E-2</v>
      </c>
    </row>
    <row r="15" spans="1:6" x14ac:dyDescent="0.3">
      <c r="A15" t="s">
        <v>1041</v>
      </c>
      <c r="B15" s="1060">
        <v>7.9177652454341899E-2</v>
      </c>
      <c r="C15" s="1060">
        <v>7.1493559288280994E-2</v>
      </c>
      <c r="D15" s="1060">
        <v>7.3002132438402506E-2</v>
      </c>
      <c r="E15" s="1060">
        <v>6.9283063617710403E-2</v>
      </c>
      <c r="F15" s="1060">
        <v>8.6922582910256702E-2</v>
      </c>
    </row>
    <row r="16" spans="1:6" x14ac:dyDescent="0.3">
      <c r="A16" t="s">
        <v>1042</v>
      </c>
      <c r="B16" s="1060">
        <v>7.4767520593947104E-2</v>
      </c>
      <c r="C16" s="1060">
        <v>8.5362600720222198E-2</v>
      </c>
      <c r="D16" s="1060">
        <v>5.48179115604608E-2</v>
      </c>
      <c r="E16" s="1060">
        <v>4.7217464684975501E-2</v>
      </c>
      <c r="F16" s="1060">
        <v>8.4062519785650797E-2</v>
      </c>
    </row>
    <row r="17" spans="1:6" x14ac:dyDescent="0.3">
      <c r="A17" t="s">
        <v>1043</v>
      </c>
      <c r="B17" s="1060">
        <v>8.4354048501589896E-2</v>
      </c>
      <c r="C17" s="1060">
        <v>8.8313277531109999E-2</v>
      </c>
      <c r="D17" s="1060">
        <v>7.8016517586817699E-2</v>
      </c>
      <c r="E17" s="1060">
        <v>6.8825586736247696E-2</v>
      </c>
      <c r="F17" s="1060">
        <v>0.111750672708145</v>
      </c>
    </row>
    <row r="18" spans="1:6" x14ac:dyDescent="0.3">
      <c r="A18" t="s">
        <v>1044</v>
      </c>
      <c r="B18" s="1060">
        <v>0.124536540877934</v>
      </c>
      <c r="C18" s="1060">
        <v>4.1616768277239702E-2</v>
      </c>
      <c r="D18" s="1060">
        <v>0.121191831225751</v>
      </c>
      <c r="E18" s="1060">
        <v>0.100709384145876</v>
      </c>
      <c r="F18" s="1060">
        <v>0.19875533747763099</v>
      </c>
    </row>
    <row r="19" spans="1:6" x14ac:dyDescent="0.3">
      <c r="A19" t="s">
        <v>1045</v>
      </c>
      <c r="B19" s="1060">
        <v>0.118186339709689</v>
      </c>
      <c r="C19" s="1060">
        <v>7.4336480554695494E-2</v>
      </c>
      <c r="D19" s="1060">
        <v>0.14658250041933499</v>
      </c>
      <c r="E19" s="1060">
        <v>0.111980004946894</v>
      </c>
      <c r="F19" s="1060">
        <v>0.27614966476000502</v>
      </c>
    </row>
    <row r="20" spans="1:6" x14ac:dyDescent="0.3">
      <c r="A20" t="s">
        <v>1046</v>
      </c>
      <c r="B20" s="1060">
        <v>0.112285409166716</v>
      </c>
      <c r="C20" s="1060">
        <v>0.121923532437656</v>
      </c>
      <c r="D20" s="1060">
        <v>0.154128633937411</v>
      </c>
      <c r="E20" s="1060">
        <v>0.119951580753957</v>
      </c>
      <c r="F20" s="1060">
        <v>0.28126959643585903</v>
      </c>
    </row>
    <row r="21" spans="1:6" x14ac:dyDescent="0.3">
      <c r="A21" t="s">
        <v>1047</v>
      </c>
      <c r="B21" s="1060">
        <v>0.10564888426900799</v>
      </c>
      <c r="C21" s="1060">
        <v>0.139689749601554</v>
      </c>
      <c r="D21" s="1060">
        <v>0.12293988936914101</v>
      </c>
      <c r="E21" s="1060">
        <v>0.10861792322335199</v>
      </c>
      <c r="F21" s="1060">
        <v>0.17691984955710299</v>
      </c>
    </row>
    <row r="22" spans="1:6" x14ac:dyDescent="0.3">
      <c r="A22" t="s">
        <v>1048</v>
      </c>
      <c r="B22" s="1060">
        <v>7.7418031911128199E-2</v>
      </c>
      <c r="C22" s="1060">
        <v>7.47377264200315E-2</v>
      </c>
      <c r="D22" s="1060">
        <v>8.2897074604326895E-2</v>
      </c>
      <c r="E22" s="1060">
        <v>8.2414004288707196E-2</v>
      </c>
      <c r="F22" s="1060">
        <v>8.77241949354641E-2</v>
      </c>
    </row>
    <row r="23" spans="1:6" x14ac:dyDescent="0.3">
      <c r="A23" t="s">
        <v>1049</v>
      </c>
      <c r="B23" s="1060">
        <v>5.00188837807687E-2</v>
      </c>
      <c r="C23" s="1060">
        <v>5.9076854521070303E-2</v>
      </c>
      <c r="D23" s="1060">
        <v>8.1628736402345095E-2</v>
      </c>
      <c r="E23" s="1060">
        <v>9.99907756879512E-2</v>
      </c>
      <c r="F23" s="1060">
        <v>1.9938623083631101E-2</v>
      </c>
    </row>
    <row r="24" spans="1:6" x14ac:dyDescent="0.3">
      <c r="A24" t="s">
        <v>1050</v>
      </c>
      <c r="B24" s="1060">
        <v>7.6956317974106001E-2</v>
      </c>
      <c r="C24" s="1060">
        <v>5.5091330920863602E-2</v>
      </c>
      <c r="D24" s="1060">
        <v>5.2088066977946899E-2</v>
      </c>
      <c r="E24" s="1060">
        <v>6.2847909413525901E-2</v>
      </c>
      <c r="F24" s="1060">
        <v>1.2710174962932599E-2</v>
      </c>
    </row>
    <row r="25" spans="1:6" x14ac:dyDescent="0.3">
      <c r="A25" t="s">
        <v>1051</v>
      </c>
      <c r="B25" s="1060">
        <v>6.8882772668885706E-2</v>
      </c>
      <c r="C25" s="1060">
        <v>9.5097426388938394E-2</v>
      </c>
      <c r="D25" s="1060">
        <v>5.2203706076527197E-2</v>
      </c>
      <c r="E25" s="1060">
        <v>5.9557775023163499E-2</v>
      </c>
      <c r="F25" s="1060">
        <v>2.4583979224767301E-2</v>
      </c>
    </row>
    <row r="26" spans="1:6" x14ac:dyDescent="0.3">
      <c r="A26" t="s">
        <v>1052</v>
      </c>
      <c r="B26" s="1060">
        <v>4.46796784787249E-2</v>
      </c>
      <c r="C26" s="1060">
        <v>5.9702158874865199E-2</v>
      </c>
      <c r="D26" s="1060">
        <v>4.59237991295069E-2</v>
      </c>
      <c r="E26" s="1060">
        <v>5.3094918319799497E-2</v>
      </c>
      <c r="F26" s="1060">
        <v>1.9800669277978002E-2</v>
      </c>
    </row>
    <row r="27" spans="1:6" x14ac:dyDescent="0.3">
      <c r="A27" t="s">
        <v>1053</v>
      </c>
      <c r="B27" s="1060">
        <v>3.3979822161052303E-2</v>
      </c>
      <c r="C27" s="1060">
        <v>3.3961135638896502E-2</v>
      </c>
      <c r="D27" s="1060">
        <v>4.9414114166727703E-2</v>
      </c>
      <c r="E27" s="1060">
        <v>5.3215140717762302E-2</v>
      </c>
      <c r="F27" s="1060">
        <v>3.4743180507705002E-2</v>
      </c>
    </row>
    <row r="28" spans="1:6" x14ac:dyDescent="0.3">
      <c r="A28" t="s">
        <v>1054</v>
      </c>
      <c r="B28" s="1060">
        <v>6.2157602764701697E-2</v>
      </c>
      <c r="C28" s="1060">
        <v>4.6572413553721298E-2</v>
      </c>
      <c r="D28" s="1060">
        <v>3.0046072001909799E-2</v>
      </c>
      <c r="E28" s="1060">
        <v>3.5515485276211803E-2</v>
      </c>
      <c r="F28" s="1060">
        <v>8.7412684077270396E-3</v>
      </c>
    </row>
    <row r="29" spans="1:6" x14ac:dyDescent="0.3">
      <c r="A29" t="s">
        <v>1055</v>
      </c>
      <c r="B29" s="1060">
        <v>6.4679796349943294E-2</v>
      </c>
      <c r="C29" s="1060">
        <v>0.11140543202132699</v>
      </c>
      <c r="D29" s="1060">
        <v>4.8632403600481003E-2</v>
      </c>
      <c r="E29" s="1060">
        <v>5.3847641567893498E-2</v>
      </c>
      <c r="F29" s="1060">
        <v>2.7482019859727602E-2</v>
      </c>
    </row>
    <row r="30" spans="1:6" x14ac:dyDescent="0.3">
      <c r="A30" t="s">
        <v>1056</v>
      </c>
      <c r="B30" s="1060">
        <v>7.4088172350420103E-2</v>
      </c>
      <c r="C30" s="1060">
        <v>5.7739458159661701E-2</v>
      </c>
      <c r="D30" s="1060">
        <v>7.7620410648789898E-2</v>
      </c>
      <c r="E30" s="1060">
        <v>8.3796072481744796E-2</v>
      </c>
      <c r="F30" s="1060">
        <v>5.2825931688943499E-2</v>
      </c>
    </row>
    <row r="31" spans="1:6" x14ac:dyDescent="0.3">
      <c r="A31" t="s">
        <v>1057</v>
      </c>
      <c r="B31" s="1060">
        <v>7.0308632461715301E-2</v>
      </c>
      <c r="C31" s="1060">
        <v>4.6296846180206901E-2</v>
      </c>
      <c r="D31" s="1060">
        <v>7.3549798211318906E-2</v>
      </c>
      <c r="E31" s="1060">
        <v>8.1880476726010801E-2</v>
      </c>
      <c r="F31" s="1060">
        <v>4.0048809702137603E-2</v>
      </c>
    </row>
    <row r="32" spans="1:6" x14ac:dyDescent="0.3">
      <c r="A32" t="s">
        <v>1058</v>
      </c>
      <c r="B32" s="1060">
        <v>6.1553542794543503E-2</v>
      </c>
      <c r="C32" s="1060">
        <v>1.98663105662467E-2</v>
      </c>
      <c r="D32" s="1060">
        <v>6.9862554007581706E-2</v>
      </c>
      <c r="E32" s="1060">
        <v>7.3501873886998997E-2</v>
      </c>
      <c r="F32" s="1060">
        <v>5.4874269706492597E-2</v>
      </c>
    </row>
    <row r="33" spans="1:6" x14ac:dyDescent="0.3">
      <c r="A33" t="s">
        <v>1059</v>
      </c>
      <c r="B33" s="1060">
        <v>5.8025197908700303E-2</v>
      </c>
      <c r="C33" s="1060">
        <v>0.12112082718011299</v>
      </c>
      <c r="D33" s="1060">
        <v>6.91983732744961E-2</v>
      </c>
      <c r="E33" s="1060">
        <v>7.5383891455237398E-2</v>
      </c>
      <c r="F33" s="1060">
        <v>4.34111575180351E-2</v>
      </c>
    </row>
    <row r="34" spans="1:6" x14ac:dyDescent="0.3">
      <c r="A34" t="s">
        <v>1060</v>
      </c>
      <c r="B34" s="1060">
        <v>6.7326294927223501E-2</v>
      </c>
      <c r="C34" s="1060">
        <v>4.65097292728067E-2</v>
      </c>
      <c r="D34" s="1060">
        <v>5.7725598689889503E-2</v>
      </c>
      <c r="E34" s="1060">
        <v>5.9424238450433299E-2</v>
      </c>
      <c r="F34" s="1060">
        <v>5.0510789433123801E-2</v>
      </c>
    </row>
    <row r="35" spans="1:6" x14ac:dyDescent="0.3">
      <c r="A35" t="s">
        <v>1061</v>
      </c>
      <c r="B35" s="1060">
        <v>8.4675701203493298E-2</v>
      </c>
      <c r="C35" s="1060">
        <v>8.09066486989478E-2</v>
      </c>
      <c r="D35" s="1060">
        <v>6.8432547938236193E-2</v>
      </c>
      <c r="E35" s="1060">
        <v>6.5619276167123694E-2</v>
      </c>
      <c r="F35" s="1060">
        <v>8.0997725857898203E-2</v>
      </c>
    </row>
    <row r="36" spans="1:6" x14ac:dyDescent="0.3">
      <c r="A36" t="s">
        <v>1062</v>
      </c>
      <c r="B36" s="1060">
        <v>7.2050406034996906E-2</v>
      </c>
      <c r="C36" s="1060">
        <v>6.8549166168664605E-2</v>
      </c>
      <c r="D36" s="1060">
        <v>6.2366553260047697E-2</v>
      </c>
      <c r="E36" s="1060">
        <v>5.8500992246239197E-2</v>
      </c>
      <c r="F36" s="1060">
        <v>7.8709215306017405E-2</v>
      </c>
    </row>
    <row r="37" spans="1:6" x14ac:dyDescent="0.3">
      <c r="A37" t="s">
        <v>1063</v>
      </c>
      <c r="B37" s="1060">
        <v>7.7759817693589403E-2</v>
      </c>
      <c r="C37" s="1060">
        <v>7.0826828171957498E-2</v>
      </c>
      <c r="D37" s="1060">
        <v>5.8580868291317999E-2</v>
      </c>
      <c r="E37" s="1060">
        <v>5.4682260590980698E-2</v>
      </c>
      <c r="F37" s="1060">
        <v>7.3455131593814296E-2</v>
      </c>
    </row>
    <row r="38" spans="1:6" x14ac:dyDescent="0.3">
      <c r="A38" t="s">
        <v>1064</v>
      </c>
      <c r="B38" s="1060">
        <v>7.7602845525897898E-2</v>
      </c>
      <c r="C38" s="1060">
        <v>7.5755853629737399E-2</v>
      </c>
      <c r="D38" s="1060">
        <v>9.8601495376907003E-2</v>
      </c>
      <c r="E38" s="1060">
        <v>0.101819091447914</v>
      </c>
      <c r="F38" s="1060">
        <v>8.5137769356933707E-2</v>
      </c>
    </row>
    <row r="39" spans="1:6" x14ac:dyDescent="0.3">
      <c r="A39" t="s">
        <v>1065</v>
      </c>
      <c r="B39" s="1060">
        <v>0.113838252689951</v>
      </c>
      <c r="C39" s="1060">
        <v>6.1815502695247999E-2</v>
      </c>
      <c r="D39" s="1060">
        <v>9.47529302659431E-2</v>
      </c>
      <c r="E39" s="1060">
        <v>9.0287471336475605E-2</v>
      </c>
      <c r="F39" s="1060">
        <v>0.11311171886032199</v>
      </c>
    </row>
    <row r="40" spans="1:6" x14ac:dyDescent="0.3">
      <c r="A40" t="s">
        <v>1066</v>
      </c>
      <c r="B40" s="1060">
        <v>0.10293672514128201</v>
      </c>
      <c r="C40" s="1060">
        <v>9.6664179784869297E-2</v>
      </c>
      <c r="D40" s="1060">
        <v>0.14258875004429</v>
      </c>
      <c r="E40" s="1060">
        <v>0.148038402658868</v>
      </c>
      <c r="F40" s="1060">
        <v>0.121960082107911</v>
      </c>
    </row>
    <row r="41" spans="1:6" x14ac:dyDescent="0.3">
      <c r="A41" t="s">
        <v>1067</v>
      </c>
      <c r="B41" s="1060">
        <v>0.100470180706661</v>
      </c>
      <c r="C41" s="1060">
        <v>9.1027084037313494E-2</v>
      </c>
      <c r="D41" s="1060">
        <v>8.0488191904446393E-2</v>
      </c>
      <c r="E41" s="1060">
        <v>7.0641984000731503E-2</v>
      </c>
      <c r="F41" s="1060">
        <v>0.118355060703055</v>
      </c>
    </row>
    <row r="42" spans="1:6" x14ac:dyDescent="0.3">
      <c r="A42" t="s">
        <v>1068</v>
      </c>
      <c r="B42" s="1060">
        <v>0.12552467874009099</v>
      </c>
      <c r="C42" s="1060">
        <v>8.1451601423466094E-2</v>
      </c>
      <c r="D42" s="1060">
        <v>0.10825796539608799</v>
      </c>
      <c r="E42" s="1060">
        <v>0.106909632651843</v>
      </c>
      <c r="F42" s="1060">
        <v>0.113864763230328</v>
      </c>
    </row>
    <row r="43" spans="1:6" x14ac:dyDescent="0.3">
      <c r="A43" t="s">
        <v>1069</v>
      </c>
      <c r="B43" s="1060">
        <v>0.101539889707692</v>
      </c>
      <c r="C43" s="1060">
        <v>0.163874229132176</v>
      </c>
      <c r="D43" s="1060">
        <v>0.11440208439959799</v>
      </c>
      <c r="E43" s="1060">
        <v>0.11299973225785501</v>
      </c>
      <c r="F43" s="1060">
        <v>0.119816075191493</v>
      </c>
    </row>
    <row r="44" spans="1:6" x14ac:dyDescent="0.3">
      <c r="A44" t="s">
        <v>1070</v>
      </c>
      <c r="B44" s="1060">
        <v>9.6919062654431398E-2</v>
      </c>
      <c r="C44" s="1060">
        <v>4.1150587007602997E-2</v>
      </c>
      <c r="D44" s="1060">
        <v>0.12045272884710399</v>
      </c>
      <c r="E44" s="1060">
        <v>0.115930396885483</v>
      </c>
      <c r="F44" s="1060">
        <v>0.138106666956619</v>
      </c>
    </row>
    <row r="45" spans="1:6" x14ac:dyDescent="0.3">
      <c r="A45" t="s">
        <v>1071</v>
      </c>
      <c r="B45" s="1060">
        <v>0.102667735598145</v>
      </c>
      <c r="C45" s="1060">
        <v>0.12591483160208999</v>
      </c>
      <c r="D45" s="1060">
        <v>0.11337694020575299</v>
      </c>
      <c r="E45" s="1060">
        <v>0.11071312036879399</v>
      </c>
      <c r="F45" s="1060">
        <v>0.12373918134004901</v>
      </c>
    </row>
    <row r="46" spans="1:6" x14ac:dyDescent="0.3">
      <c r="A46" t="s">
        <v>1072</v>
      </c>
      <c r="B46" s="1060">
        <v>0.107873886984393</v>
      </c>
      <c r="C46" s="1060">
        <v>8.2350511297398302E-2</v>
      </c>
      <c r="D46" s="1060">
        <v>0.13658484301142401</v>
      </c>
      <c r="E46" s="1060">
        <v>0.14097064786198199</v>
      </c>
      <c r="F46" s="1060">
        <v>0.118188584098933</v>
      </c>
    </row>
    <row r="47" spans="1:6" x14ac:dyDescent="0.3">
      <c r="A47" t="s">
        <v>1073</v>
      </c>
      <c r="B47" s="1060">
        <v>6.8864078536554199E-2</v>
      </c>
      <c r="C47" s="1060">
        <v>9.6264819656522296E-2</v>
      </c>
      <c r="D47" s="1060">
        <v>8.8878907174233704E-2</v>
      </c>
      <c r="E47" s="1060">
        <v>8.6310442735713797E-2</v>
      </c>
      <c r="F47" s="1060">
        <v>9.9129163647753094E-2</v>
      </c>
    </row>
    <row r="48" spans="1:6" x14ac:dyDescent="0.3">
      <c r="A48" t="s">
        <v>1074</v>
      </c>
      <c r="B48" s="1060">
        <v>6.7510216956085903E-2</v>
      </c>
      <c r="C48" s="1060">
        <v>9.0754628296435505E-2</v>
      </c>
      <c r="D48" s="1060">
        <v>5.5467923054221401E-2</v>
      </c>
      <c r="E48" s="1060">
        <v>4.8692861535788202E-2</v>
      </c>
      <c r="F48" s="1060">
        <v>8.4524586959714404E-2</v>
      </c>
    </row>
    <row r="49" spans="1:6" x14ac:dyDescent="0.3">
      <c r="A49" t="s">
        <v>1075</v>
      </c>
      <c r="B49" s="1060">
        <v>6.2684205945477106E-2</v>
      </c>
      <c r="C49" s="1060">
        <v>7.8781408158281802E-2</v>
      </c>
      <c r="D49" s="1060">
        <v>6.4687993890459206E-2</v>
      </c>
      <c r="E49" s="1060">
        <v>6.2752816594642893E-2</v>
      </c>
      <c r="F49" s="1060">
        <v>7.3171075998094998E-2</v>
      </c>
    </row>
    <row r="50" spans="1:6" x14ac:dyDescent="0.3">
      <c r="A50" t="s">
        <v>1076</v>
      </c>
      <c r="B50" s="1060">
        <v>5.1825632418063497E-2</v>
      </c>
      <c r="C50" s="1060">
        <v>6.5520529029189395E-2</v>
      </c>
      <c r="D50" s="1060">
        <v>6.9087208011217496E-2</v>
      </c>
      <c r="E50" s="1060">
        <v>7.2002334651775995E-2</v>
      </c>
      <c r="F50" s="1060">
        <v>5.7261419360111997E-2</v>
      </c>
    </row>
    <row r="51" spans="1:6" x14ac:dyDescent="0.3">
      <c r="A51" t="s">
        <v>1077</v>
      </c>
      <c r="B51" s="1060">
        <v>3.9076838958162399E-2</v>
      </c>
      <c r="C51" s="1060">
        <v>8.1541548822787496E-2</v>
      </c>
      <c r="D51" s="1060">
        <v>6.5851263986817399E-2</v>
      </c>
      <c r="E51" s="1060">
        <v>6.5317850608274997E-2</v>
      </c>
      <c r="F51" s="1060">
        <v>6.8572049720328196E-2</v>
      </c>
    </row>
    <row r="52" spans="1:6" x14ac:dyDescent="0.3">
      <c r="A52" t="s">
        <v>1078</v>
      </c>
      <c r="B52" s="1060">
        <v>6.4698202701339205E-2</v>
      </c>
      <c r="C52" s="1060">
        <v>3.4072636599968002E-2</v>
      </c>
      <c r="D52" s="1060">
        <v>6.4308025569593405E-2</v>
      </c>
      <c r="E52" s="1060">
        <v>6.8068638365729198E-2</v>
      </c>
      <c r="F52" s="1060">
        <v>4.8078704643683703E-2</v>
      </c>
    </row>
    <row r="53" spans="1:6" x14ac:dyDescent="0.3">
      <c r="A53" t="s">
        <v>1079</v>
      </c>
      <c r="B53" s="1060">
        <v>4.4829664945906803E-2</v>
      </c>
      <c r="C53" s="1060">
        <v>4.8009313734526098E-2</v>
      </c>
      <c r="D53" s="1060">
        <v>5.1841026846361597E-2</v>
      </c>
      <c r="E53" s="1060">
        <v>6.1455443169872802E-2</v>
      </c>
      <c r="F53" s="1060">
        <v>1.01606507354322E-2</v>
      </c>
    </row>
    <row r="54" spans="1:6" x14ac:dyDescent="0.3">
      <c r="A54" t="s">
        <v>1080</v>
      </c>
      <c r="B54" s="1060">
        <v>3.3496613159939903E-2</v>
      </c>
      <c r="C54" s="1060">
        <v>7.5539459294806698E-3</v>
      </c>
      <c r="D54" s="1060">
        <v>2.90743764899275E-2</v>
      </c>
      <c r="E54" s="1060">
        <v>3.4722196261408399E-2</v>
      </c>
      <c r="F54" s="1060">
        <v>3.7479666516224701E-3</v>
      </c>
    </row>
    <row r="55" spans="1:6" x14ac:dyDescent="0.3">
      <c r="A55" t="s">
        <v>1081</v>
      </c>
      <c r="B55" s="1060">
        <v>3.7100673423204902E-2</v>
      </c>
      <c r="C55" s="1060">
        <v>3.1269437697415199E-2</v>
      </c>
      <c r="D55" s="1060">
        <v>4.4549976820091701E-2</v>
      </c>
      <c r="E55" s="1060">
        <v>5.5765239502398901E-2</v>
      </c>
      <c r="F55" s="1060">
        <v>-5.3805310591299397E-3</v>
      </c>
    </row>
    <row r="56" spans="1:6" x14ac:dyDescent="0.3">
      <c r="A56" t="s">
        <v>1082</v>
      </c>
      <c r="B56" s="1060">
        <v>5.3607020035561601E-2</v>
      </c>
      <c r="C56" s="1060">
        <v>4.5007889346835098E-2</v>
      </c>
      <c r="D56" s="1060">
        <v>3.9242398900308298E-2</v>
      </c>
      <c r="E56" s="1060">
        <v>4.7632291898301399E-2</v>
      </c>
      <c r="F56" s="1060">
        <v>2.2658930308778699E-3</v>
      </c>
    </row>
    <row r="57" spans="1:6" x14ac:dyDescent="0.3">
      <c r="A57" t="s">
        <v>1083</v>
      </c>
      <c r="B57" s="1060">
        <v>2.6644627827705498E-2</v>
      </c>
      <c r="C57" s="1060">
        <v>2.64126969592136E-2</v>
      </c>
      <c r="D57" s="1060">
        <v>3.0801729671775298E-2</v>
      </c>
      <c r="E57" s="1060">
        <v>3.7969215238040602E-2</v>
      </c>
      <c r="F57" s="1060">
        <v>-1.13086488994096E-3</v>
      </c>
    </row>
    <row r="58" spans="1:6" x14ac:dyDescent="0.3">
      <c r="A58" t="s">
        <v>1084</v>
      </c>
      <c r="B58" s="1060">
        <v>4.3935723897537297E-2</v>
      </c>
      <c r="C58" s="1060">
        <v>5.28225710519643E-2</v>
      </c>
      <c r="D58" s="1060">
        <v>5.9261250188571202E-2</v>
      </c>
      <c r="E58" s="1060">
        <v>7.2018998740306803E-2</v>
      </c>
      <c r="F58" s="1060">
        <v>4.3596665649268101E-3</v>
      </c>
    </row>
    <row r="59" spans="1:6" x14ac:dyDescent="0.3">
      <c r="A59" t="s">
        <v>1085</v>
      </c>
      <c r="B59" s="1060">
        <v>3.93022623248813E-2</v>
      </c>
      <c r="C59" s="1060">
        <v>4.0487191821635002E-2</v>
      </c>
      <c r="D59" s="1060">
        <v>3.8654265357332303E-2</v>
      </c>
      <c r="E59" s="1060">
        <v>4.4330796852368702E-2</v>
      </c>
      <c r="F59" s="1060">
        <v>1.4249428601276599E-2</v>
      </c>
    </row>
    <row r="60" spans="1:6" x14ac:dyDescent="0.3">
      <c r="A60" t="s">
        <v>1086</v>
      </c>
      <c r="B60" s="1060">
        <v>3.1206818640470101E-2</v>
      </c>
      <c r="C60" s="1060">
        <v>6.08178890509075E-2</v>
      </c>
      <c r="D60" s="1060">
        <v>3.7855399838614898E-2</v>
      </c>
      <c r="E60" s="1060">
        <v>4.3619950255883798E-2</v>
      </c>
      <c r="F60" s="1060">
        <v>1.29734153291148E-2</v>
      </c>
    </row>
    <row r="61" spans="1:6" x14ac:dyDescent="0.3">
      <c r="A61" t="s">
        <v>1087</v>
      </c>
      <c r="B61" s="1060">
        <v>2.4937045869749999E-2</v>
      </c>
      <c r="C61" s="1060">
        <v>5.0188195911601098E-2</v>
      </c>
      <c r="D61" s="1060">
        <v>4.0264511763068903E-2</v>
      </c>
      <c r="E61" s="1060">
        <v>4.8053419713626901E-2</v>
      </c>
      <c r="F61" s="1060">
        <v>8.1435979249952998E-3</v>
      </c>
    </row>
    <row r="62" spans="1:6" x14ac:dyDescent="0.3">
      <c r="A62" t="s">
        <v>1088</v>
      </c>
      <c r="B62" s="1060">
        <v>4.8021891562025902E-2</v>
      </c>
      <c r="C62" s="1060">
        <v>-1.5869949670850401E-2</v>
      </c>
      <c r="D62" s="1060">
        <v>4.7998017236875197E-2</v>
      </c>
      <c r="E62" s="1060">
        <v>5.3895269710959599E-2</v>
      </c>
      <c r="F62" s="1060">
        <v>2.2424648618448499E-2</v>
      </c>
    </row>
    <row r="63" spans="1:6" x14ac:dyDescent="0.3">
      <c r="A63" t="s">
        <v>1089</v>
      </c>
      <c r="B63" s="1060">
        <v>3.2831975950411901E-2</v>
      </c>
      <c r="C63" s="1060">
        <v>9.4485381047573203E-3</v>
      </c>
      <c r="D63" s="1060">
        <v>4.0016640926136202E-2</v>
      </c>
      <c r="E63" s="1060">
        <v>4.6526948089148097E-2</v>
      </c>
      <c r="F63" s="1060">
        <v>1.2400816449865701E-2</v>
      </c>
    </row>
    <row r="64" spans="1:6" x14ac:dyDescent="0.3">
      <c r="A64" t="s">
        <v>1090</v>
      </c>
      <c r="B64" s="1060">
        <v>3.1711964087017402E-2</v>
      </c>
      <c r="C64" s="1060">
        <v>2.1519541922931699E-2</v>
      </c>
      <c r="D64" s="1060">
        <v>3.3552188262661702E-2</v>
      </c>
      <c r="E64" s="1060">
        <v>3.7630817464174598E-2</v>
      </c>
      <c r="F64" s="1060">
        <v>1.6508679737656601E-2</v>
      </c>
    </row>
    <row r="65" spans="1:6" x14ac:dyDescent="0.3">
      <c r="A65" t="s">
        <v>1091</v>
      </c>
      <c r="B65" s="1060">
        <v>2.8237310351865798E-2</v>
      </c>
      <c r="C65" s="1060">
        <v>2.6513418939119401E-2</v>
      </c>
      <c r="D65" s="1060">
        <v>3.7553677858028302E-2</v>
      </c>
      <c r="E65" s="1060">
        <v>4.0884190168569902E-2</v>
      </c>
      <c r="F65" s="1060">
        <v>2.40435812756121E-2</v>
      </c>
    </row>
    <row r="66" spans="1:6" x14ac:dyDescent="0.3">
      <c r="A66" t="s">
        <v>1092</v>
      </c>
      <c r="B66" s="1060">
        <v>2.86487834236928E-2</v>
      </c>
      <c r="C66" s="1060">
        <v>-1.00878062845416E-2</v>
      </c>
      <c r="D66" s="1060">
        <v>1.67304468496303E-2</v>
      </c>
      <c r="E66" s="1060">
        <v>1.47648166353573E-2</v>
      </c>
      <c r="F66" s="1060">
        <v>2.5106061305751201E-2</v>
      </c>
    </row>
    <row r="67" spans="1:6" x14ac:dyDescent="0.3">
      <c r="A67" t="s">
        <v>1093</v>
      </c>
      <c r="B67" s="1060">
        <v>-4.2153079272678803E-3</v>
      </c>
      <c r="C67" s="1060">
        <v>-9.8843189037382002E-3</v>
      </c>
      <c r="D67" s="1060">
        <v>1.77523591150637E-2</v>
      </c>
      <c r="E67" s="1060">
        <v>1.2042523964300099E-2</v>
      </c>
      <c r="F67" s="1060">
        <v>4.1753162692227598E-2</v>
      </c>
    </row>
    <row r="68" spans="1:6" x14ac:dyDescent="0.3">
      <c r="A68" t="s">
        <v>1094</v>
      </c>
      <c r="B68" s="1060">
        <v>2.1224970793817698E-2</v>
      </c>
      <c r="C68" s="1060">
        <v>5.6401548408471199E-3</v>
      </c>
      <c r="D68" s="1060">
        <v>3.5080502998483497E-2</v>
      </c>
      <c r="E68" s="1060">
        <v>3.4679470629119601E-2</v>
      </c>
      <c r="F68" s="1060">
        <v>3.6953475595025202E-2</v>
      </c>
    </row>
    <row r="69" spans="1:6" x14ac:dyDescent="0.3">
      <c r="A69" t="s">
        <v>1095</v>
      </c>
      <c r="B69" s="1060">
        <v>2.4413629868112598E-2</v>
      </c>
      <c r="C69" s="1060">
        <v>4.55022354216461E-3</v>
      </c>
      <c r="D69" s="1060">
        <v>5.1846529521440803E-2</v>
      </c>
      <c r="E69" s="1060">
        <v>5.3779833992726497E-2</v>
      </c>
      <c r="F69" s="1060">
        <v>4.4006184582173501E-2</v>
      </c>
    </row>
    <row r="70" spans="1:6" x14ac:dyDescent="0.3">
      <c r="A70" t="s">
        <v>1096</v>
      </c>
      <c r="B70" s="1060">
        <v>3.8220568833408297E-2</v>
      </c>
      <c r="C70" s="1060">
        <v>-6.8268953681047701E-3</v>
      </c>
      <c r="D70" s="1060">
        <v>5.8438838081356997E-2</v>
      </c>
      <c r="E70" s="1060">
        <v>6.6318650583382599E-2</v>
      </c>
      <c r="F70" s="1060">
        <v>2.5866237951436302E-2</v>
      </c>
    </row>
    <row r="71" spans="1:6" x14ac:dyDescent="0.3">
      <c r="A71" t="s">
        <v>1097</v>
      </c>
      <c r="B71" s="1060">
        <v>3.9129087464599803E-2</v>
      </c>
      <c r="C71" s="1060">
        <v>1.9164012541417402E-2</v>
      </c>
      <c r="D71" s="1060">
        <v>4.9764629047473599E-2</v>
      </c>
      <c r="E71" s="1060">
        <v>5.3726223643289599E-2</v>
      </c>
      <c r="F71" s="1060">
        <v>3.4070959420577702E-2</v>
      </c>
    </row>
    <row r="72" spans="1:6" x14ac:dyDescent="0.3">
      <c r="A72" t="s">
        <v>1098</v>
      </c>
      <c r="B72" s="1060">
        <v>3.8454021368670203E-2</v>
      </c>
      <c r="C72" s="1060">
        <v>2.9219770282175001E-2</v>
      </c>
      <c r="D72" s="1060">
        <v>4.8767596838020802E-2</v>
      </c>
      <c r="E72" s="1060">
        <v>5.1713813262120399E-2</v>
      </c>
      <c r="F72" s="1060">
        <v>3.6092988240003197E-2</v>
      </c>
    </row>
    <row r="73" spans="1:6" x14ac:dyDescent="0.3">
      <c r="A73" t="s">
        <v>1099</v>
      </c>
      <c r="B73" s="1060">
        <v>3.5013174112648898E-2</v>
      </c>
      <c r="C73" s="1060">
        <v>8.3996255435596599E-3</v>
      </c>
      <c r="D73" s="1060">
        <v>2.4017941519916701E-2</v>
      </c>
      <c r="E73" s="1060">
        <v>2.4659104438458999E-2</v>
      </c>
      <c r="F73" s="1060">
        <v>2.13651369698558E-2</v>
      </c>
    </row>
    <row r="74" spans="1:6" x14ac:dyDescent="0.3">
      <c r="A74" t="s">
        <v>1100</v>
      </c>
      <c r="B74" s="1060">
        <v>3.19577361885768E-2</v>
      </c>
      <c r="C74" s="1060">
        <v>5.5666299963321703E-2</v>
      </c>
      <c r="D74" s="1060">
        <v>2.0716352252188701E-2</v>
      </c>
      <c r="E74" s="1060">
        <v>1.7884305064996799E-2</v>
      </c>
      <c r="F74" s="1060">
        <v>3.2571809116936898E-2</v>
      </c>
    </row>
    <row r="75" spans="1:6" x14ac:dyDescent="0.3">
      <c r="A75" t="s">
        <v>1101</v>
      </c>
      <c r="B75" s="1060">
        <v>4.4899260052234199E-2</v>
      </c>
      <c r="C75" s="1060">
        <v>3.99278081765242E-2</v>
      </c>
      <c r="D75" s="1060">
        <v>3.9569529283447501E-2</v>
      </c>
      <c r="E75" s="1060">
        <v>4.3789897152202203E-2</v>
      </c>
      <c r="F75" s="1060">
        <v>2.2279292577718199E-2</v>
      </c>
    </row>
    <row r="76" spans="1:6" x14ac:dyDescent="0.3">
      <c r="A76" t="s">
        <v>1102</v>
      </c>
      <c r="B76" s="1060">
        <v>5.0215068802573502E-2</v>
      </c>
      <c r="C76" s="1060">
        <v>2.3053377277420399E-2</v>
      </c>
      <c r="D76" s="1060">
        <v>3.4095375309964898E-2</v>
      </c>
      <c r="E76" s="1060">
        <v>3.6032445200426998E-2</v>
      </c>
      <c r="F76" s="1060">
        <v>2.6056753006691701E-2</v>
      </c>
    </row>
    <row r="77" spans="1:6" x14ac:dyDescent="0.3">
      <c r="A77" t="s">
        <v>1103</v>
      </c>
      <c r="B77" s="1060">
        <v>4.1025346631292002E-2</v>
      </c>
      <c r="C77" s="1060">
        <v>3.2561998713341901E-2</v>
      </c>
      <c r="D77" s="1060">
        <v>4.6587870324487697E-2</v>
      </c>
      <c r="E77" s="1060">
        <v>5.2865449677459202E-2</v>
      </c>
      <c r="F77" s="1060">
        <v>2.13020937510979E-2</v>
      </c>
    </row>
    <row r="78" spans="1:6" x14ac:dyDescent="0.3">
      <c r="A78" t="s">
        <v>1104</v>
      </c>
      <c r="B78" s="1060">
        <v>4.6770164599538401E-2</v>
      </c>
      <c r="C78" s="1060">
        <v>3.00519488200592E-2</v>
      </c>
      <c r="D78" s="1060">
        <v>5.3649308686662497E-2</v>
      </c>
      <c r="E78" s="1060">
        <v>6.2050852369377699E-2</v>
      </c>
      <c r="F78" s="1060">
        <v>1.9463013158635498E-2</v>
      </c>
    </row>
    <row r="79" spans="1:6" x14ac:dyDescent="0.3">
      <c r="A79" t="s">
        <v>1105</v>
      </c>
      <c r="B79" s="1060">
        <v>5.4994617531312101E-2</v>
      </c>
      <c r="C79" s="1060">
        <v>2.9679316947533299E-2</v>
      </c>
      <c r="D79" s="1060">
        <v>5.5386400245833703E-2</v>
      </c>
      <c r="E79" s="1060">
        <v>6.0821876360983101E-2</v>
      </c>
      <c r="F79" s="1060">
        <v>3.2856918868300999E-2</v>
      </c>
    </row>
    <row r="80" spans="1:6" x14ac:dyDescent="0.3">
      <c r="A80" t="s">
        <v>1106</v>
      </c>
      <c r="B80" s="1060">
        <v>2.3822978628153201E-2</v>
      </c>
      <c r="C80" s="1060">
        <v>2.0057150963272801E-2</v>
      </c>
      <c r="D80" s="1060">
        <v>3.8003026529995099E-2</v>
      </c>
      <c r="E80" s="1060">
        <v>3.9922896172757301E-2</v>
      </c>
      <c r="F80" s="1060">
        <v>3.0012482573731999E-2</v>
      </c>
    </row>
    <row r="81" spans="1:6" x14ac:dyDescent="0.3">
      <c r="A81" t="s">
        <v>1107</v>
      </c>
      <c r="B81" s="1060">
        <v>3.1803231650019199E-2</v>
      </c>
      <c r="C81" s="1060">
        <v>1.4432124176051201E-2</v>
      </c>
      <c r="D81" s="1060">
        <v>5.2696414630741602E-2</v>
      </c>
      <c r="E81" s="1060">
        <v>6.0046453160524503E-2</v>
      </c>
      <c r="F81" s="1060">
        <v>2.2222434897181301E-2</v>
      </c>
    </row>
    <row r="82" spans="1:6" x14ac:dyDescent="0.3">
      <c r="A82" t="s">
        <v>1108</v>
      </c>
      <c r="B82" s="1060">
        <v>5.92740793130948E-2</v>
      </c>
      <c r="C82" s="1060">
        <v>2.8330647899498702E-2</v>
      </c>
      <c r="D82" s="1060">
        <v>5.7786451291530698E-2</v>
      </c>
      <c r="E82" s="1060">
        <v>6.4935137330784501E-2</v>
      </c>
      <c r="F82" s="1060">
        <v>2.9085137772108E-2</v>
      </c>
    </row>
    <row r="83" spans="1:6" x14ac:dyDescent="0.3">
      <c r="A83" t="s">
        <v>1109</v>
      </c>
      <c r="B83" s="1060">
        <v>3.6833081072387398E-2</v>
      </c>
      <c r="C83" s="1060">
        <v>7.0464261662823505E-2</v>
      </c>
      <c r="D83" s="1060">
        <v>4.1923258032302999E-2</v>
      </c>
      <c r="E83" s="1060">
        <v>4.34077415784246E-2</v>
      </c>
      <c r="F83" s="1060">
        <v>3.5768290293157798E-2</v>
      </c>
    </row>
    <row r="84" spans="1:6" x14ac:dyDescent="0.3">
      <c r="A84" t="s">
        <v>1110</v>
      </c>
      <c r="B84" s="1060">
        <v>5.1769155239957503E-2</v>
      </c>
      <c r="C84" s="1060">
        <v>5.3870047588526803E-3</v>
      </c>
      <c r="D84" s="1060">
        <v>5.55152082310457E-2</v>
      </c>
      <c r="E84" s="1060">
        <v>5.9429132401131797E-2</v>
      </c>
      <c r="F84" s="1060">
        <v>3.9413809912278698E-2</v>
      </c>
    </row>
    <row r="85" spans="1:6" x14ac:dyDescent="0.3">
      <c r="A85" t="s">
        <v>1111</v>
      </c>
      <c r="B85" s="1060">
        <v>5.3985249536158401E-2</v>
      </c>
      <c r="C85" s="1060">
        <v>4.8480456964960797E-2</v>
      </c>
      <c r="D85" s="1060">
        <v>6.4477110328581902E-2</v>
      </c>
      <c r="E85" s="1060">
        <v>7.7879333039596599E-2</v>
      </c>
      <c r="F85" s="1060">
        <v>1.0688095589023601E-2</v>
      </c>
    </row>
    <row r="86" spans="1:6" x14ac:dyDescent="0.3">
      <c r="A86" t="s">
        <v>1112</v>
      </c>
      <c r="B86" s="1060">
        <v>2.1158982786186002E-2</v>
      </c>
      <c r="C86" s="1060">
        <v>3.6386290478485302E-2</v>
      </c>
      <c r="D86" s="1060">
        <v>1.6920742992818399E-2</v>
      </c>
      <c r="E86" s="1060">
        <v>1.91574066493869E-2</v>
      </c>
      <c r="F86" s="1060">
        <v>7.9315148019272197E-3</v>
      </c>
    </row>
    <row r="87" spans="1:6" x14ac:dyDescent="0.3">
      <c r="A87" t="s">
        <v>1113</v>
      </c>
      <c r="B87" s="1060">
        <v>2.2052154501282398E-2</v>
      </c>
      <c r="C87" s="1060">
        <v>1.9883287825612099E-2</v>
      </c>
      <c r="D87" s="1060">
        <v>2.4424033288816999E-2</v>
      </c>
      <c r="E87" s="1060">
        <v>2.5316754451185201E-2</v>
      </c>
      <c r="F87" s="1060">
        <v>2.0767815828135701E-2</v>
      </c>
    </row>
    <row r="88" spans="1:6" x14ac:dyDescent="0.3">
      <c r="A88" t="s">
        <v>1114</v>
      </c>
      <c r="B88" s="1060">
        <v>2.7438615126695699E-2</v>
      </c>
      <c r="C88" s="1060">
        <v>5.2374465161812503E-2</v>
      </c>
      <c r="D88" s="1060">
        <v>3.33810563173942E-2</v>
      </c>
      <c r="E88" s="1060">
        <v>3.8739820782161899E-2</v>
      </c>
      <c r="F88" s="1060">
        <v>1.0657034721188501E-2</v>
      </c>
    </row>
    <row r="89" spans="1:6" x14ac:dyDescent="0.3">
      <c r="A89" t="s">
        <v>1115</v>
      </c>
      <c r="B89" s="1060">
        <v>2.9370792816648401E-2</v>
      </c>
      <c r="C89" s="1060">
        <v>4.1076934031538899E-2</v>
      </c>
      <c r="D89" s="1060">
        <v>3.5351344279153103E-2</v>
      </c>
      <c r="E89" s="1060">
        <v>4.6254885206873202E-2</v>
      </c>
      <c r="F89" s="1060">
        <v>-9.9690396175571294E-3</v>
      </c>
    </row>
    <row r="90" spans="1:6" x14ac:dyDescent="0.3">
      <c r="A90" t="s">
        <v>1116</v>
      </c>
      <c r="B90" s="1060">
        <v>2.5261592124571599E-2</v>
      </c>
      <c r="C90" s="1060">
        <v>5.8581566563336001E-3</v>
      </c>
      <c r="D90" s="1060">
        <v>2.8847885320816901E-2</v>
      </c>
      <c r="E90" s="1060">
        <v>3.8335869645315497E-2</v>
      </c>
      <c r="F90" s="1060">
        <v>-1.04267601108922E-2</v>
      </c>
    </row>
    <row r="91" spans="1:6" x14ac:dyDescent="0.3">
      <c r="A91" t="s">
        <v>1117</v>
      </c>
      <c r="B91" s="1060">
        <v>2.6883329197386899E-2</v>
      </c>
      <c r="C91" s="1060">
        <v>1.4672046081608801E-2</v>
      </c>
      <c r="D91" s="1060">
        <v>4.86062973431345E-2</v>
      </c>
      <c r="E91" s="1060">
        <v>5.5488923116520997E-2</v>
      </c>
      <c r="F91" s="1060">
        <v>1.90848323659343E-2</v>
      </c>
    </row>
    <row r="92" spans="1:6" x14ac:dyDescent="0.3">
      <c r="A92" t="s">
        <v>1118</v>
      </c>
      <c r="B92" s="1060">
        <v>2.57889573012124E-2</v>
      </c>
      <c r="C92" s="1060">
        <v>3.5352763805176303E-2</v>
      </c>
      <c r="D92" s="1060">
        <v>2.9855014538054898E-2</v>
      </c>
      <c r="E92" s="1060">
        <v>3.4689577494526398E-2</v>
      </c>
      <c r="F92" s="1060">
        <v>8.1492648352745594E-3</v>
      </c>
    </row>
    <row r="93" spans="1:6" x14ac:dyDescent="0.3">
      <c r="A93" t="s">
        <v>1119</v>
      </c>
      <c r="B93" s="1060">
        <v>2.8170464275272301E-2</v>
      </c>
      <c r="C93" s="1060">
        <v>2.5395981622951001E-2</v>
      </c>
      <c r="D93" s="1060">
        <v>2.75506450255283E-2</v>
      </c>
      <c r="E93" s="1060">
        <v>2.9547347848341E-2</v>
      </c>
      <c r="F93" s="1060">
        <v>1.8368205985927599E-2</v>
      </c>
    </row>
    <row r="94" spans="1:6" x14ac:dyDescent="0.3">
      <c r="A94" t="s">
        <v>1120</v>
      </c>
      <c r="B94" s="1060">
        <v>2.40619409805858E-2</v>
      </c>
      <c r="C94" s="1060">
        <v>9.9983702538513092E-3</v>
      </c>
      <c r="D94" s="1060">
        <v>2.3462964516600501E-2</v>
      </c>
      <c r="E94" s="1060">
        <v>2.2073085991106502E-2</v>
      </c>
      <c r="F94" s="1060">
        <v>3.0096377482488099E-2</v>
      </c>
    </row>
    <row r="95" spans="1:6" x14ac:dyDescent="0.3">
      <c r="A95" t="s">
        <v>1121</v>
      </c>
      <c r="B95" s="1060">
        <v>2.70873737268695E-2</v>
      </c>
      <c r="C95" s="1060">
        <v>1.7716185249098602E-2</v>
      </c>
      <c r="D95" s="1060">
        <v>2.3781606170840699E-2</v>
      </c>
      <c r="E95" s="1060">
        <v>2.3867747826854101E-2</v>
      </c>
      <c r="F95" s="1060">
        <v>2.3524161594785199E-2</v>
      </c>
    </row>
    <row r="96" spans="1:6" x14ac:dyDescent="0.3">
      <c r="A96" t="s">
        <v>1122</v>
      </c>
      <c r="B96" s="1060">
        <v>1.7542540867755401E-2</v>
      </c>
      <c r="C96" s="1060">
        <v>2.9283418694515902E-2</v>
      </c>
      <c r="D96" s="1060">
        <v>1.1469523622669399E-2</v>
      </c>
      <c r="E96" s="1060">
        <v>1.3096071782226999E-2</v>
      </c>
      <c r="F96" s="1060">
        <v>4.0598599880798903E-3</v>
      </c>
    </row>
    <row r="97" spans="1:6" x14ac:dyDescent="0.3">
      <c r="A97" t="s">
        <v>1123</v>
      </c>
      <c r="B97" s="1060">
        <v>2.3240038949048102E-2</v>
      </c>
      <c r="C97" s="1060">
        <v>3.6370296177081797E-2</v>
      </c>
      <c r="D97" s="1060">
        <v>2.0341173665225899E-2</v>
      </c>
      <c r="E97" s="1060">
        <v>2.0612838101556001E-2</v>
      </c>
      <c r="F97" s="1060">
        <v>1.8816279960193898E-2</v>
      </c>
    </row>
    <row r="98" spans="1:6" x14ac:dyDescent="0.3">
      <c r="A98" t="s">
        <v>1124</v>
      </c>
      <c r="B98" s="1060">
        <v>1.4387423449919501E-2</v>
      </c>
      <c r="C98" s="1060">
        <v>1.8449816517922799E-2</v>
      </c>
      <c r="D98" s="1060">
        <v>3.3070461521807398E-2</v>
      </c>
      <c r="E98" s="1060">
        <v>3.3921123111567301E-2</v>
      </c>
      <c r="F98" s="1060">
        <v>2.9526755688726598E-2</v>
      </c>
    </row>
    <row r="99" spans="1:6" x14ac:dyDescent="0.3">
      <c r="A99" t="s">
        <v>1125</v>
      </c>
      <c r="B99" s="1060">
        <v>2.2496438657089599E-2</v>
      </c>
      <c r="C99" s="1060">
        <v>3.3991498444716703E-2</v>
      </c>
      <c r="D99" s="1060">
        <v>2.2445608905782101E-2</v>
      </c>
      <c r="E99" s="1060">
        <v>2.3479894269272002E-2</v>
      </c>
      <c r="F99" s="1060">
        <v>1.7453105874537699E-2</v>
      </c>
    </row>
    <row r="100" spans="1:6" x14ac:dyDescent="0.3">
      <c r="A100" t="s">
        <v>1126</v>
      </c>
      <c r="B100" s="1060">
        <v>2.90726218207682E-2</v>
      </c>
      <c r="C100" s="1060">
        <v>2.3185974053502999E-2</v>
      </c>
      <c r="D100" s="1060">
        <v>3.5443622243840803E-2</v>
      </c>
      <c r="E100" s="1060">
        <v>3.5391871305663798E-2</v>
      </c>
      <c r="F100" s="1060">
        <v>3.5482240520336501E-2</v>
      </c>
    </row>
    <row r="101" spans="1:6" x14ac:dyDescent="0.3">
      <c r="A101" t="s">
        <v>1127</v>
      </c>
      <c r="B101" s="1060">
        <v>1.88663260541506E-2</v>
      </c>
      <c r="C101" s="1060">
        <v>3.3254108726641599E-2</v>
      </c>
      <c r="D101" s="1060">
        <v>3.4394192726805897E-2</v>
      </c>
      <c r="E101" s="1060">
        <v>3.4634574022881899E-2</v>
      </c>
      <c r="F101" s="1060">
        <v>3.3748767658719397E-2</v>
      </c>
    </row>
    <row r="102" spans="1:6" x14ac:dyDescent="0.3">
      <c r="A102" t="s">
        <v>1128</v>
      </c>
      <c r="B102" s="1060">
        <v>1.9752209109685798E-2</v>
      </c>
      <c r="C102" s="1060">
        <v>3.4122786590531799E-2</v>
      </c>
      <c r="D102" s="1060">
        <v>2.2517710999607799E-2</v>
      </c>
      <c r="E102" s="1060">
        <v>1.8555272424330301E-2</v>
      </c>
      <c r="F102" s="1060">
        <v>4.0528253340275301E-2</v>
      </c>
    </row>
    <row r="103" spans="1:6" x14ac:dyDescent="0.3">
      <c r="A103" t="s">
        <v>1129</v>
      </c>
      <c r="B103" s="1060">
        <v>2.3426148348960799E-2</v>
      </c>
      <c r="C103" s="1060">
        <v>2.6924495262994098E-2</v>
      </c>
      <c r="D103" s="1060">
        <v>3.0712351155875301E-2</v>
      </c>
      <c r="E103" s="1060">
        <v>3.10950653969519E-2</v>
      </c>
      <c r="F103" s="1060">
        <v>2.8884969324625399E-2</v>
      </c>
    </row>
    <row r="104" spans="1:6" x14ac:dyDescent="0.3">
      <c r="A104" t="s">
        <v>1130</v>
      </c>
      <c r="B104" s="1060">
        <v>1.6481276503132601E-2</v>
      </c>
      <c r="C104" s="1060">
        <v>2.0844963333619401E-2</v>
      </c>
      <c r="D104" s="1060">
        <v>1.6578342610262399E-2</v>
      </c>
      <c r="E104" s="1060">
        <v>1.5303746558651399E-2</v>
      </c>
      <c r="F104" s="1060">
        <v>2.2275298720186399E-2</v>
      </c>
    </row>
    <row r="105" spans="1:6" x14ac:dyDescent="0.3">
      <c r="A105" t="s">
        <v>1131</v>
      </c>
      <c r="B105" s="1060">
        <v>1.77105887350755E-2</v>
      </c>
      <c r="C105" s="1060">
        <v>5.6392491810183902E-2</v>
      </c>
      <c r="D105" s="1060">
        <v>1.53745683650881E-2</v>
      </c>
      <c r="E105" s="1060">
        <v>1.3670147091618101E-2</v>
      </c>
      <c r="F105" s="1060">
        <v>2.3245190160411201E-2</v>
      </c>
    </row>
    <row r="106" spans="1:6" x14ac:dyDescent="0.3">
      <c r="A106" t="s">
        <v>1132</v>
      </c>
      <c r="B106" s="1060">
        <v>2.24149830534284E-2</v>
      </c>
      <c r="C106" s="1060">
        <v>9.43340099661172E-3</v>
      </c>
      <c r="D106" s="1060">
        <v>4.0560107611520499E-2</v>
      </c>
      <c r="E106" s="1060">
        <v>4.4785324127958097E-2</v>
      </c>
      <c r="F106" s="1060">
        <v>2.1616654614663E-2</v>
      </c>
    </row>
    <row r="107" spans="1:6" x14ac:dyDescent="0.3">
      <c r="A107" t="s">
        <v>1133</v>
      </c>
      <c r="B107" s="1060">
        <v>2.7006131410312901E-2</v>
      </c>
      <c r="C107" s="1060">
        <v>-2.1272525988481301E-2</v>
      </c>
      <c r="D107" s="1060">
        <v>5.4752144077812002E-3</v>
      </c>
      <c r="E107" s="1060">
        <v>5.7381634098421204E-3</v>
      </c>
      <c r="F107" s="1060">
        <v>4.4593389946305803E-3</v>
      </c>
    </row>
    <row r="108" spans="1:6" x14ac:dyDescent="0.3">
      <c r="A108" t="s">
        <v>1134</v>
      </c>
      <c r="B108" s="1060">
        <v>1.7195373350960198E-2</v>
      </c>
      <c r="C108" s="1060">
        <v>2.3444846886997699E-2</v>
      </c>
      <c r="D108" s="1060">
        <v>2.5520395448680702E-2</v>
      </c>
      <c r="E108" s="1060">
        <v>2.6760970425558899E-2</v>
      </c>
      <c r="F108" s="1060">
        <v>1.9993530620905801E-2</v>
      </c>
    </row>
    <row r="109" spans="1:6" x14ac:dyDescent="0.3">
      <c r="A109" t="s">
        <v>1135</v>
      </c>
      <c r="B109" s="1060">
        <v>2.7544322225657499E-2</v>
      </c>
      <c r="C109" s="1060">
        <v>1.3803868113502E-2</v>
      </c>
      <c r="D109" s="1060">
        <v>2.9000220413744102E-2</v>
      </c>
      <c r="E109" s="1060">
        <v>3.2814056779429501E-2</v>
      </c>
      <c r="F109" s="1060">
        <v>1.3007743413415899E-2</v>
      </c>
    </row>
    <row r="110" spans="1:6" x14ac:dyDescent="0.3">
      <c r="A110" t="s">
        <v>1136</v>
      </c>
      <c r="B110" s="1060">
        <v>1.7773223680601899E-2</v>
      </c>
      <c r="C110" s="1060">
        <v>1.36962800731413E-2</v>
      </c>
      <c r="D110" s="1060">
        <v>2.6774170865188102E-2</v>
      </c>
      <c r="E110" s="1060">
        <v>2.76992412803541E-2</v>
      </c>
      <c r="F110" s="1060">
        <v>2.2772194889475902E-2</v>
      </c>
    </row>
    <row r="111" spans="1:6" x14ac:dyDescent="0.3">
      <c r="A111" t="s">
        <v>1137</v>
      </c>
      <c r="B111" s="1060">
        <v>1.0067171002752701E-2</v>
      </c>
      <c r="C111" s="1060">
        <v>2.65913479501769E-2</v>
      </c>
      <c r="D111" s="1060">
        <v>1.29933584708952E-2</v>
      </c>
      <c r="E111" s="1060">
        <v>9.5884799897107999E-3</v>
      </c>
      <c r="F111" s="1060">
        <v>2.7578432526699701E-2</v>
      </c>
    </row>
    <row r="112" spans="1:6" x14ac:dyDescent="0.3">
      <c r="A112" t="s">
        <v>1138</v>
      </c>
      <c r="B112" s="1060">
        <v>1.05839184448571E-2</v>
      </c>
      <c r="C112" s="1060">
        <v>9.2223862003817398E-3</v>
      </c>
      <c r="D112" s="1060">
        <v>1.75240784386392E-2</v>
      </c>
      <c r="E112" s="1060">
        <v>1.9268623425193102E-2</v>
      </c>
      <c r="F112" s="1060">
        <v>1.0181522541022199E-2</v>
      </c>
    </row>
    <row r="113" spans="1:6" x14ac:dyDescent="0.3">
      <c r="A113" t="s">
        <v>1139</v>
      </c>
      <c r="B113" s="1060">
        <v>1.26121897911931E-2</v>
      </c>
      <c r="C113" s="1060">
        <v>2.8333969394931401E-2</v>
      </c>
      <c r="D113" s="1060">
        <v>3.1679376610520997E-2</v>
      </c>
      <c r="E113" s="1060">
        <v>3.3061309623051399E-2</v>
      </c>
      <c r="F113" s="1060">
        <v>2.5996696664996499E-2</v>
      </c>
    </row>
    <row r="114" spans="1:6" x14ac:dyDescent="0.3">
      <c r="A114" t="s">
        <v>1140</v>
      </c>
      <c r="B114" s="1060">
        <v>3.2090280398078302E-4</v>
      </c>
      <c r="C114" s="1060">
        <v>-1.66473304304918E-2</v>
      </c>
      <c r="D114" s="1060">
        <v>5.4109448448214099E-3</v>
      </c>
      <c r="E114" s="1060">
        <v>6.3326118015940604E-3</v>
      </c>
      <c r="F114" s="1060">
        <v>1.3539104320199301E-3</v>
      </c>
    </row>
    <row r="115" spans="1:6" x14ac:dyDescent="0.3">
      <c r="A115" t="s">
        <v>1141</v>
      </c>
      <c r="B115" s="1060">
        <v>7.2384308298694099E-3</v>
      </c>
      <c r="C115" s="1060">
        <v>2.5981704959145799E-2</v>
      </c>
      <c r="D115" s="1060">
        <v>1.78273820322872E-2</v>
      </c>
      <c r="E115" s="1060">
        <v>2.14418814289523E-2</v>
      </c>
      <c r="F115" s="1060">
        <v>2.5146473935451202E-3</v>
      </c>
    </row>
    <row r="116" spans="1:6" x14ac:dyDescent="0.3">
      <c r="A116" t="s">
        <v>1142</v>
      </c>
      <c r="B116" s="1060">
        <v>1.2387156771827E-2</v>
      </c>
      <c r="C116" s="1060">
        <v>2.6407820145390601E-2</v>
      </c>
      <c r="D116" s="1060">
        <v>3.0298350256599701E-2</v>
      </c>
      <c r="E116" s="1060">
        <v>3.1605845001569703E-2</v>
      </c>
      <c r="F116" s="1060">
        <v>2.4885302644445099E-2</v>
      </c>
    </row>
    <row r="117" spans="1:6" x14ac:dyDescent="0.3">
      <c r="A117" t="s">
        <v>1143</v>
      </c>
      <c r="B117" s="1060">
        <v>1.0631455336088899E-2</v>
      </c>
      <c r="C117" s="1060">
        <v>1.29075602616771E-2</v>
      </c>
      <c r="D117" s="1060">
        <v>3.38428167690683E-2</v>
      </c>
      <c r="E117" s="1060">
        <v>3.6519198475668799E-2</v>
      </c>
      <c r="F117" s="1060">
        <v>2.2777873103542599E-2</v>
      </c>
    </row>
    <row r="118" spans="1:6" x14ac:dyDescent="0.3">
      <c r="A118" t="s">
        <v>1144</v>
      </c>
      <c r="B118" s="1060">
        <v>7.8778546175835001E-3</v>
      </c>
      <c r="C118" s="1060">
        <v>1.19346323256166E-2</v>
      </c>
      <c r="D118" s="1060">
        <v>3.1086541041110499E-2</v>
      </c>
      <c r="E118" s="1060">
        <v>3.4639204699016303E-2</v>
      </c>
      <c r="F118" s="1060">
        <v>1.61297394114919E-2</v>
      </c>
    </row>
    <row r="119" spans="1:6" x14ac:dyDescent="0.3">
      <c r="A119" t="s">
        <v>1145</v>
      </c>
      <c r="B119" s="1060">
        <v>2.2971603454798002E-2</v>
      </c>
      <c r="C119" s="1060">
        <v>3.4068264295770097E-2</v>
      </c>
      <c r="D119" s="1060">
        <v>5.5237990580782499E-2</v>
      </c>
      <c r="E119" s="1060">
        <v>6.1370356227924201E-2</v>
      </c>
      <c r="F119" s="1060">
        <v>2.99883116478201E-2</v>
      </c>
    </row>
    <row r="120" spans="1:6" x14ac:dyDescent="0.3">
      <c r="A120" t="s">
        <v>1146</v>
      </c>
      <c r="B120" s="1060">
        <v>2.21977740334749E-2</v>
      </c>
      <c r="C120" s="1060">
        <v>3.6824162588046098E-2</v>
      </c>
      <c r="D120" s="1060">
        <v>4.8912778707565802E-2</v>
      </c>
      <c r="E120" s="1060">
        <v>5.6562220210462498E-2</v>
      </c>
      <c r="F120" s="1060">
        <v>1.6964868305367399E-2</v>
      </c>
    </row>
    <row r="121" spans="1:6" x14ac:dyDescent="0.3">
      <c r="A121" t="s">
        <v>1147</v>
      </c>
      <c r="B121" s="1060">
        <v>2.4473399596212499E-2</v>
      </c>
      <c r="C121" s="1060">
        <v>5.00811045761866E-2</v>
      </c>
      <c r="D121" s="1060">
        <v>4.67532839936027E-2</v>
      </c>
      <c r="E121" s="1060">
        <v>4.9726482376824199E-2</v>
      </c>
      <c r="F121" s="1060">
        <v>3.4513513517111301E-2</v>
      </c>
    </row>
    <row r="122" spans="1:6" x14ac:dyDescent="0.3">
      <c r="A122" t="s">
        <v>1148</v>
      </c>
      <c r="B122" s="1060">
        <v>3.2886107964122897E-2</v>
      </c>
      <c r="C122" s="1060">
        <v>3.9540884737924602E-2</v>
      </c>
      <c r="D122" s="1060">
        <v>5.2100481054129198E-2</v>
      </c>
      <c r="E122" s="1060">
        <v>5.7040318663066601E-2</v>
      </c>
      <c r="F122" s="1060">
        <v>3.2054289459933799E-2</v>
      </c>
    </row>
    <row r="123" spans="1:6" x14ac:dyDescent="0.3">
      <c r="A123" t="s">
        <v>1149</v>
      </c>
      <c r="B123" s="1060">
        <v>1.9193585341739101E-2</v>
      </c>
      <c r="C123" s="1060">
        <v>1.5459188057563401E-2</v>
      </c>
      <c r="D123" s="1060">
        <v>4.3137591071386303E-2</v>
      </c>
      <c r="E123" s="1060">
        <v>4.2438786901308999E-2</v>
      </c>
      <c r="F123" s="1060">
        <v>4.6322155050911397E-2</v>
      </c>
    </row>
    <row r="124" spans="1:6" x14ac:dyDescent="0.3">
      <c r="A124" t="s">
        <v>1150</v>
      </c>
      <c r="B124" s="1060">
        <v>2.6053548554263901E-2</v>
      </c>
      <c r="C124" s="1060">
        <v>2.8949345820011199E-2</v>
      </c>
      <c r="D124" s="1060">
        <v>4.3621452355276299E-2</v>
      </c>
      <c r="E124" s="1060">
        <v>4.7728620369875199E-2</v>
      </c>
      <c r="F124" s="1060">
        <v>2.6457667912965801E-2</v>
      </c>
    </row>
    <row r="125" spans="1:6" x14ac:dyDescent="0.3">
      <c r="A125" t="s">
        <v>1151</v>
      </c>
      <c r="B125" s="1060">
        <v>2.2816932316492001E-2</v>
      </c>
      <c r="C125" s="1060">
        <v>1.82242710503548E-2</v>
      </c>
      <c r="D125" s="1060">
        <v>5.08936788411576E-2</v>
      </c>
      <c r="E125" s="1060">
        <v>5.7499642478727998E-2</v>
      </c>
      <c r="F125" s="1060">
        <v>2.3755596803619598E-2</v>
      </c>
    </row>
    <row r="126" spans="1:6" x14ac:dyDescent="0.3">
      <c r="A126" t="s">
        <v>1152</v>
      </c>
      <c r="B126" s="1060">
        <v>2.9937016463394299E-2</v>
      </c>
      <c r="C126" s="1060">
        <v>6.8223280329673397E-3</v>
      </c>
      <c r="D126" s="1060">
        <v>4.8648145175588901E-2</v>
      </c>
      <c r="E126" s="1060">
        <v>5.4456520671492398E-2</v>
      </c>
      <c r="F126" s="1060">
        <v>2.4902004743710501E-2</v>
      </c>
    </row>
    <row r="127" spans="1:6" x14ac:dyDescent="0.3">
      <c r="A127" t="s">
        <v>1153</v>
      </c>
      <c r="B127" s="1060">
        <v>1.8884884410707199E-2</v>
      </c>
      <c r="C127" s="1060">
        <v>2.1198789662036002E-2</v>
      </c>
      <c r="D127" s="1060">
        <v>1.5754024167145698E-2</v>
      </c>
      <c r="E127" s="1060">
        <v>1.7060457300781501E-2</v>
      </c>
      <c r="F127" s="1060">
        <v>1.0326833438175601E-2</v>
      </c>
    </row>
    <row r="128" spans="1:6" x14ac:dyDescent="0.3">
      <c r="A128" t="s">
        <v>1154</v>
      </c>
      <c r="B128" s="1060">
        <v>2.0085104332627801E-3</v>
      </c>
      <c r="C128" s="1060">
        <v>2.5873085754739799E-2</v>
      </c>
      <c r="D128" s="1060">
        <v>1.0539628000638001E-2</v>
      </c>
      <c r="E128" s="1060">
        <v>1.0084643678167899E-2</v>
      </c>
      <c r="F128" s="1060">
        <v>1.25865662000337E-2</v>
      </c>
    </row>
    <row r="129" spans="1:6" x14ac:dyDescent="0.3">
      <c r="A129" t="s">
        <v>1155</v>
      </c>
      <c r="B129" s="1060">
        <v>1.65597149400032E-3</v>
      </c>
      <c r="C129" s="1060">
        <v>2.61448943379867E-2</v>
      </c>
      <c r="D129" s="1060">
        <v>7.8026661107790697E-3</v>
      </c>
      <c r="E129" s="1060">
        <v>4.4939487008062197E-3</v>
      </c>
      <c r="F129" s="1060">
        <v>2.16417401943385E-2</v>
      </c>
    </row>
    <row r="130" spans="1:6" x14ac:dyDescent="0.3">
      <c r="A130" t="s">
        <v>1156</v>
      </c>
      <c r="B130" s="1060">
        <v>8.0448095256371293E-3</v>
      </c>
      <c r="C130" s="1060">
        <v>2.6192779718551499E-2</v>
      </c>
      <c r="D130" s="1060">
        <v>2.4568554219072301E-2</v>
      </c>
      <c r="E130" s="1060">
        <v>2.6210777008154801E-2</v>
      </c>
      <c r="F130" s="1060">
        <v>1.77439998941584E-2</v>
      </c>
    </row>
    <row r="131" spans="1:6" x14ac:dyDescent="0.3">
      <c r="A131" t="s">
        <v>1157</v>
      </c>
      <c r="B131" s="1060">
        <v>2.9998743908273201E-2</v>
      </c>
      <c r="C131" s="1060">
        <v>3.8349371649444103E-2</v>
      </c>
      <c r="D131" s="1060">
        <v>3.6466330566627299E-2</v>
      </c>
      <c r="E131" s="1060">
        <v>3.99637104830428E-2</v>
      </c>
      <c r="F131" s="1060">
        <v>2.19088618142655E-2</v>
      </c>
    </row>
    <row r="132" spans="1:6" x14ac:dyDescent="0.3">
      <c r="A132" t="s">
        <v>1158</v>
      </c>
      <c r="B132" s="1060">
        <v>2.0869776308943801E-2</v>
      </c>
      <c r="C132" s="1060">
        <v>3.4801584391165798E-2</v>
      </c>
      <c r="D132" s="1060">
        <v>2.9067453466692799E-2</v>
      </c>
      <c r="E132" s="1060">
        <v>3.3157579483975103E-2</v>
      </c>
      <c r="F132" s="1060">
        <v>1.23573378485025E-2</v>
      </c>
    </row>
    <row r="133" spans="1:6" x14ac:dyDescent="0.3">
      <c r="A133" t="s">
        <v>1159</v>
      </c>
      <c r="B133" s="1060">
        <v>1.8806157080279301E-2</v>
      </c>
      <c r="C133" s="1060">
        <v>7.6203068975526894E-2</v>
      </c>
      <c r="D133" s="1060">
        <v>3.3825009608851903E-2</v>
      </c>
      <c r="E133" s="1060">
        <v>4.04120889716926E-2</v>
      </c>
      <c r="F133" s="1060">
        <v>6.9083360828583497E-3</v>
      </c>
    </row>
    <row r="134" spans="1:6" x14ac:dyDescent="0.3">
      <c r="A134" t="s">
        <v>1160</v>
      </c>
      <c r="B134" s="1060">
        <v>3.0939531110064901E-2</v>
      </c>
      <c r="C134" s="1060">
        <v>4.5343406532494003E-2</v>
      </c>
      <c r="D134" s="1060">
        <v>5.8196726969511198E-2</v>
      </c>
      <c r="E134" s="1060">
        <v>6.4192818314913899E-2</v>
      </c>
      <c r="F134" s="1060">
        <v>3.35839967225895E-2</v>
      </c>
    </row>
    <row r="135" spans="1:6" x14ac:dyDescent="0.3">
      <c r="A135" t="s">
        <v>1161</v>
      </c>
      <c r="B135" s="1060">
        <v>4.0077661469082298E-3</v>
      </c>
      <c r="C135" s="1060">
        <v>2.8726975579467701E-2</v>
      </c>
      <c r="D135" s="1060">
        <v>2.9064873808690699E-3</v>
      </c>
      <c r="E135" s="1060">
        <v>2.60483280529056E-3</v>
      </c>
      <c r="F135" s="1060">
        <v>4.1691340309692997E-3</v>
      </c>
    </row>
    <row r="136" spans="1:6" x14ac:dyDescent="0.3">
      <c r="A136" t="s">
        <v>1162</v>
      </c>
      <c r="B136" s="1060">
        <v>2.6637470683258401E-2</v>
      </c>
      <c r="C136" s="1060">
        <v>3.6701160751028999E-2</v>
      </c>
      <c r="D136" s="1060">
        <v>2.7107556015981499E-2</v>
      </c>
      <c r="E136" s="1060">
        <v>3.2537484109284899E-2</v>
      </c>
      <c r="F136" s="1060">
        <v>5.0920666130191998E-3</v>
      </c>
    </row>
    <row r="137" spans="1:6" x14ac:dyDescent="0.3">
      <c r="A137" t="s">
        <v>1163</v>
      </c>
      <c r="B137" s="1060">
        <v>1.9809591582912799E-2</v>
      </c>
      <c r="C137" s="1060">
        <v>3.0297839189273201E-2</v>
      </c>
      <c r="D137" s="1060">
        <v>3.1739121685169701E-2</v>
      </c>
      <c r="E137" s="1060">
        <v>3.6723057880070603E-2</v>
      </c>
      <c r="F137" s="1060">
        <v>1.11208187291489E-2</v>
      </c>
    </row>
    <row r="138" spans="1:6" x14ac:dyDescent="0.3">
      <c r="A138" t="s">
        <v>1164</v>
      </c>
      <c r="B138" s="1060">
        <v>3.1204615634115699E-2</v>
      </c>
      <c r="C138" s="1060">
        <v>3.4471201135703997E-2</v>
      </c>
      <c r="D138" s="1060">
        <v>5.1558341847096401E-2</v>
      </c>
      <c r="E138" s="1060">
        <v>5.7672124037001303E-2</v>
      </c>
      <c r="F138" s="1060">
        <v>2.6313046913832801E-2</v>
      </c>
    </row>
    <row r="139" spans="1:6" x14ac:dyDescent="0.3">
      <c r="A139" t="s">
        <v>1165</v>
      </c>
      <c r="B139" s="1060">
        <v>2.7200294389546201E-2</v>
      </c>
      <c r="C139" s="1060">
        <v>3.5181669062461299E-2</v>
      </c>
      <c r="D139" s="1060">
        <v>5.8362051451558601E-2</v>
      </c>
      <c r="E139" s="1060">
        <v>5.42271951092188E-2</v>
      </c>
      <c r="F139" s="1060">
        <v>7.5544557477534205E-2</v>
      </c>
    </row>
    <row r="140" spans="1:6" x14ac:dyDescent="0.3">
      <c r="A140" t="s">
        <v>1166</v>
      </c>
      <c r="B140" s="1060">
        <v>1.9813936050087699E-2</v>
      </c>
      <c r="C140" s="1060">
        <v>3.71188179062025E-2</v>
      </c>
      <c r="D140" s="1060">
        <v>6.6372017523847596E-2</v>
      </c>
      <c r="E140" s="1060">
        <v>5.5705667373545202E-2</v>
      </c>
      <c r="F140" s="1060">
        <v>0.112118604043563</v>
      </c>
    </row>
    <row r="141" spans="1:6" x14ac:dyDescent="0.3">
      <c r="A141" t="s">
        <v>1167</v>
      </c>
      <c r="B141" s="1060">
        <v>3.4620969363609901E-2</v>
      </c>
      <c r="C141" s="1060">
        <v>3.9499400752586601E-2</v>
      </c>
      <c r="D141" s="1060">
        <v>7.0713285275577201E-2</v>
      </c>
      <c r="E141" s="1060">
        <v>6.4048552869122796E-2</v>
      </c>
      <c r="F141" s="1060">
        <v>9.9586266592777403E-2</v>
      </c>
    </row>
    <row r="142" spans="1:6" x14ac:dyDescent="0.3">
      <c r="A142" t="s">
        <v>1168</v>
      </c>
      <c r="B142" s="1060">
        <v>2.34535899973984E-2</v>
      </c>
      <c r="C142" s="1060">
        <v>5.3706890981395999E-2</v>
      </c>
      <c r="D142" s="1060">
        <v>3.6431516961551003E-2</v>
      </c>
      <c r="E142" s="1060">
        <v>3.69057460702173E-2</v>
      </c>
      <c r="F142" s="1060">
        <v>3.4210597371460802E-2</v>
      </c>
    </row>
    <row r="143" spans="1:6" x14ac:dyDescent="0.3">
      <c r="A143" t="s">
        <v>1169</v>
      </c>
      <c r="B143" s="1060">
        <v>2.5499802950129401E-2</v>
      </c>
      <c r="C143" s="1060">
        <v>3.6566859174503898E-2</v>
      </c>
      <c r="D143" s="1060">
        <v>5.21679913838453E-2</v>
      </c>
      <c r="E143" s="1060">
        <v>4.6392177019789503E-2</v>
      </c>
      <c r="F143" s="1060">
        <v>7.7400259900339399E-2</v>
      </c>
    </row>
    <row r="144" spans="1:6" x14ac:dyDescent="0.3">
      <c r="A144" t="s">
        <v>1170</v>
      </c>
      <c r="B144" s="1060">
        <v>4.3914132970667798E-2</v>
      </c>
      <c r="C144" s="1060">
        <v>4.2425430776049898E-2</v>
      </c>
      <c r="D144" s="1060">
        <v>6.5459325261808296E-2</v>
      </c>
      <c r="E144" s="1060">
        <v>5.93159029125543E-2</v>
      </c>
      <c r="F144" s="1060">
        <v>9.2099438138909306E-2</v>
      </c>
    </row>
    <row r="145" spans="1:6" x14ac:dyDescent="0.3">
      <c r="A145" t="s">
        <v>1171</v>
      </c>
      <c r="B145" s="1060">
        <v>3.2225013743436802E-2</v>
      </c>
      <c r="C145" s="1060">
        <v>2.9052051363888599E-2</v>
      </c>
      <c r="D145" s="1060">
        <v>6.6969533653351301E-2</v>
      </c>
      <c r="E145" s="1060">
        <v>6.9322056053448003E-2</v>
      </c>
      <c r="F145" s="1060">
        <v>5.6967190258747399E-2</v>
      </c>
    </row>
    <row r="146" spans="1:6" x14ac:dyDescent="0.3">
      <c r="A146" t="s">
        <v>1172</v>
      </c>
      <c r="B146" s="1060">
        <v>2.0935342800184199E-2</v>
      </c>
      <c r="C146" s="1060">
        <v>3.4093201961780999E-2</v>
      </c>
      <c r="D146" s="1060">
        <v>2.8774072598683802E-2</v>
      </c>
      <c r="E146" s="1060">
        <v>2.9725271896635399E-2</v>
      </c>
      <c r="F146" s="1060">
        <v>2.50876168066392E-2</v>
      </c>
    </row>
    <row r="147" spans="1:6" x14ac:dyDescent="0.3">
      <c r="A147" t="s">
        <v>1173</v>
      </c>
      <c r="B147" s="1060">
        <v>3.5555363218846101E-2</v>
      </c>
      <c r="C147" s="1060">
        <v>2.8135458399094499E-2</v>
      </c>
      <c r="D147" s="1060">
        <v>6.2837412602848405E-2</v>
      </c>
      <c r="E147" s="1060">
        <v>5.61203132204302E-2</v>
      </c>
      <c r="F147" s="1060">
        <v>9.1105361450751501E-2</v>
      </c>
    </row>
    <row r="148" spans="1:6" x14ac:dyDescent="0.3">
      <c r="A148" t="s">
        <v>1174</v>
      </c>
      <c r="B148" s="1060">
        <v>2.9090990484891902E-2</v>
      </c>
      <c r="C148" s="1060">
        <v>2.9966625510563099E-2</v>
      </c>
      <c r="D148" s="1060">
        <v>4.07360601876912E-2</v>
      </c>
      <c r="E148" s="1060">
        <v>3.6843754178801799E-2</v>
      </c>
      <c r="F148" s="1060">
        <v>5.6869734933791702E-2</v>
      </c>
    </row>
    <row r="149" spans="1:6" x14ac:dyDescent="0.3">
      <c r="A149" t="s">
        <v>1175</v>
      </c>
      <c r="B149" s="1060">
        <v>-6.5707467210734897E-3</v>
      </c>
      <c r="C149" s="1060">
        <v>2.09838687014814E-2</v>
      </c>
      <c r="D149" s="1060">
        <v>4.2971451015771302E-2</v>
      </c>
      <c r="E149" s="1060">
        <v>3.0338463665483501E-2</v>
      </c>
      <c r="F149" s="1060">
        <v>9.7213617262259494E-2</v>
      </c>
    </row>
    <row r="150" spans="1:6" x14ac:dyDescent="0.3">
      <c r="A150" t="s">
        <v>1176</v>
      </c>
      <c r="B150" s="1060">
        <v>3.7059917165470399E-2</v>
      </c>
      <c r="C150" s="1060">
        <v>3.4651107406359301E-2</v>
      </c>
      <c r="D150" s="1060">
        <v>7.8585662480562105E-2</v>
      </c>
      <c r="E150" s="1060">
        <v>7.2299496950969405E-2</v>
      </c>
      <c r="F150" s="1060">
        <v>0.104792955269219</v>
      </c>
    </row>
    <row r="151" spans="1:6" x14ac:dyDescent="0.3">
      <c r="A151" t="s">
        <v>1177</v>
      </c>
      <c r="B151" s="1060">
        <v>3.4406916686266602E-2</v>
      </c>
      <c r="C151" s="1060">
        <v>3.2361806516408201E-2</v>
      </c>
      <c r="D151" s="1060">
        <v>4.3801176802868498E-2</v>
      </c>
      <c r="E151" s="1060">
        <v>4.4022069506022297E-2</v>
      </c>
      <c r="F151" s="1060">
        <v>4.2476788274359099E-2</v>
      </c>
    </row>
    <row r="152" spans="1:6" x14ac:dyDescent="0.3">
      <c r="A152" t="s">
        <v>1178</v>
      </c>
      <c r="B152" s="1060">
        <v>2.2795387185985401E-2</v>
      </c>
      <c r="C152" s="1060">
        <v>2.78463672712683E-2</v>
      </c>
      <c r="D152" s="1060">
        <v>4.4222539432221097E-2</v>
      </c>
      <c r="E152" s="1060">
        <v>4.5480126137950501E-2</v>
      </c>
      <c r="F152" s="1060">
        <v>3.9088464000031499E-2</v>
      </c>
    </row>
    <row r="153" spans="1:6" x14ac:dyDescent="0.3">
      <c r="A153" t="s">
        <v>1179</v>
      </c>
      <c r="B153" s="1060">
        <v>4.1308326629664098E-2</v>
      </c>
      <c r="C153" s="1060">
        <v>3.2459146974833902E-2</v>
      </c>
      <c r="D153" s="1060">
        <v>5.9308398195111703E-2</v>
      </c>
      <c r="E153" s="1060">
        <v>6.2039731527971001E-2</v>
      </c>
      <c r="F153" s="1060">
        <v>4.7886506250196997E-2</v>
      </c>
    </row>
    <row r="154" spans="1:6" x14ac:dyDescent="0.3">
      <c r="A154" t="s">
        <v>1180</v>
      </c>
      <c r="B154" s="1060">
        <v>3.2954987594988598E-2</v>
      </c>
      <c r="C154" s="1060">
        <v>3.4144429632388298E-2</v>
      </c>
      <c r="D154" s="1060">
        <v>6.5660768227846694E-2</v>
      </c>
      <c r="E154" s="1060">
        <v>7.23147883586404E-2</v>
      </c>
      <c r="F154" s="1060">
        <v>3.8436409888859401E-2</v>
      </c>
    </row>
    <row r="155" spans="1:6" x14ac:dyDescent="0.3">
      <c r="A155" t="s">
        <v>1181</v>
      </c>
      <c r="B155" s="1060">
        <v>3.9493950261418401E-2</v>
      </c>
      <c r="C155" s="1060">
        <v>4.1602053152730099E-2</v>
      </c>
      <c r="D155" s="1060">
        <v>5.6861353066109101E-2</v>
      </c>
      <c r="E155" s="1060">
        <v>6.3263019462217004E-2</v>
      </c>
      <c r="F155" s="1060">
        <v>3.1126430511134499E-2</v>
      </c>
    </row>
    <row r="156" spans="1:6" x14ac:dyDescent="0.3">
      <c r="A156" t="s">
        <v>1182</v>
      </c>
      <c r="B156" s="1060">
        <v>4.3386852489040402E-2</v>
      </c>
      <c r="C156" s="1060">
        <v>3.03408157550791E-2</v>
      </c>
      <c r="D156" s="1060">
        <v>5.4759676802432801E-2</v>
      </c>
      <c r="E156" s="1060">
        <v>5.52136316684275E-2</v>
      </c>
      <c r="F156" s="1060">
        <v>5.2701497522020399E-2</v>
      </c>
    </row>
    <row r="157" spans="1:6" x14ac:dyDescent="0.3">
      <c r="A157" t="s">
        <v>1183</v>
      </c>
      <c r="B157" s="1060">
        <v>-6.2360196436278902E-2</v>
      </c>
      <c r="C157" s="1060">
        <v>-1.8917326805224201E-2</v>
      </c>
      <c r="D157" s="1060">
        <v>-4.6744094426787702E-2</v>
      </c>
      <c r="E157" s="1060">
        <v>-7.4155067193705196E-2</v>
      </c>
      <c r="F157" s="1060">
        <v>7.5335045349203197E-2</v>
      </c>
    </row>
    <row r="158" spans="1:6" x14ac:dyDescent="0.3">
      <c r="A158" t="s">
        <v>1184</v>
      </c>
      <c r="B158" s="1060">
        <v>-2.6731212813050201E-2</v>
      </c>
      <c r="C158" s="1060">
        <v>-3.3135327897025703E-2</v>
      </c>
      <c r="D158" s="1060">
        <v>-5.0828944700739398E-2</v>
      </c>
      <c r="E158" s="1060">
        <v>-6.8462037949067106E-2</v>
      </c>
      <c r="F158" s="1060">
        <v>2.5185264843212301E-2</v>
      </c>
    </row>
    <row r="159" spans="1:6" x14ac:dyDescent="0.3">
      <c r="A159" t="s">
        <v>1185</v>
      </c>
      <c r="B159" s="1060">
        <v>1.6004255010514602E-2</v>
      </c>
      <c r="C159" s="1060">
        <v>7.2471101838833497E-4</v>
      </c>
      <c r="D159" s="1060">
        <v>8.8167512561174704E-3</v>
      </c>
      <c r="E159" s="1060">
        <v>1.9832196265286098E-2</v>
      </c>
      <c r="F159" s="1060">
        <v>-3.4674689642026801E-2</v>
      </c>
    </row>
    <row r="160" spans="1:6" x14ac:dyDescent="0.3">
      <c r="A160" t="s">
        <v>1186</v>
      </c>
      <c r="B160" s="1060">
        <v>2.78350080421834E-2</v>
      </c>
      <c r="C160" s="1060">
        <v>1.22854862155337E-2</v>
      </c>
      <c r="D160" s="1060">
        <v>2.06173124531559E-2</v>
      </c>
      <c r="E160" s="1060">
        <v>3.47933032481611E-2</v>
      </c>
      <c r="F160" s="1060">
        <v>-3.55556982427905E-2</v>
      </c>
    </row>
    <row r="161" spans="1:6" x14ac:dyDescent="0.3">
      <c r="A161" t="s">
        <v>1187</v>
      </c>
      <c r="B161" s="1060">
        <v>3.1240948480233E-2</v>
      </c>
      <c r="C161" s="1060">
        <v>3.11127095791379E-2</v>
      </c>
      <c r="D161" s="1060">
        <v>2.9708718433870501E-2</v>
      </c>
      <c r="E161" s="1060">
        <v>3.76238534925952E-2</v>
      </c>
      <c r="F161" s="1060">
        <v>-3.0769865450653898E-3</v>
      </c>
    </row>
    <row r="162" spans="1:6" x14ac:dyDescent="0.3">
      <c r="A162" t="s">
        <v>1188</v>
      </c>
      <c r="B162" s="1060">
        <v>1.5538458112328299E-2</v>
      </c>
      <c r="C162" s="1060">
        <v>2.5706833981413501E-2</v>
      </c>
      <c r="D162" s="1060">
        <v>4.0232060366665899E-2</v>
      </c>
      <c r="E162" s="1060">
        <v>4.6975487060338501E-2</v>
      </c>
      <c r="F162" s="1060">
        <v>1.13952226394907E-2</v>
      </c>
    </row>
    <row r="163" spans="1:6" x14ac:dyDescent="0.3">
      <c r="A163" t="s">
        <v>1189</v>
      </c>
      <c r="B163" s="1060">
        <v>6.2204942357442202E-3</v>
      </c>
      <c r="C163" s="1060">
        <v>3.1017939025557401E-2</v>
      </c>
      <c r="D163" s="1060">
        <v>2.693219932312E-2</v>
      </c>
      <c r="E163" s="1060">
        <v>2.9062361366274402E-2</v>
      </c>
      <c r="F163" s="1060">
        <v>1.7491325837778699E-2</v>
      </c>
    </row>
    <row r="164" spans="1:6" x14ac:dyDescent="0.3">
      <c r="A164" t="s">
        <v>1190</v>
      </c>
      <c r="B164" s="1060">
        <v>7.72594376628044E-3</v>
      </c>
      <c r="C164" s="1060">
        <v>1.59750935835106E-2</v>
      </c>
      <c r="D164" s="1060">
        <v>2.11009160463198E-2</v>
      </c>
      <c r="E164" s="1060">
        <v>2.3067349052007899E-2</v>
      </c>
      <c r="F164" s="1060">
        <v>1.2643202128826501E-2</v>
      </c>
    </row>
    <row r="165" spans="1:6" x14ac:dyDescent="0.3">
      <c r="A165" t="s">
        <v>1191</v>
      </c>
      <c r="B165" s="1060">
        <v>2.5862689650447499E-2</v>
      </c>
      <c r="C165" s="1060">
        <v>3.29452826155043E-2</v>
      </c>
      <c r="D165" s="1060">
        <v>3.4200107003750799E-2</v>
      </c>
      <c r="E165" s="1060">
        <v>3.7879756208726099E-2</v>
      </c>
      <c r="F165" s="1060">
        <v>1.8090208281751299E-2</v>
      </c>
    </row>
    <row r="166" spans="1:6" x14ac:dyDescent="0.3">
      <c r="A166" t="s">
        <v>1192</v>
      </c>
      <c r="B166" s="1060">
        <v>3.4016266815046298E-2</v>
      </c>
      <c r="C166" s="1060">
        <v>3.64259738306612E-2</v>
      </c>
      <c r="D166" s="1060">
        <v>4.12597463779956E-2</v>
      </c>
      <c r="E166" s="1060">
        <v>4.5137017344844002E-2</v>
      </c>
      <c r="F166" s="1060">
        <v>2.4394704867924499E-2</v>
      </c>
    </row>
    <row r="167" spans="1:6" x14ac:dyDescent="0.3">
      <c r="A167" t="s">
        <v>1193</v>
      </c>
      <c r="B167" s="1060">
        <v>3.9906323464895102E-2</v>
      </c>
      <c r="C167" s="1060">
        <v>3.6682670107609103E-2</v>
      </c>
      <c r="D167" s="1060">
        <v>4.9051100435819797E-2</v>
      </c>
      <c r="E167" s="1060">
        <v>5.0829697512543702E-2</v>
      </c>
      <c r="F167" s="1060">
        <v>4.1043493786856698E-2</v>
      </c>
    </row>
    <row r="168" spans="1:6" x14ac:dyDescent="0.3">
      <c r="A168" t="s">
        <v>1194</v>
      </c>
      <c r="B168" s="1060">
        <v>1.8640626124373699E-2</v>
      </c>
      <c r="C168" s="1060">
        <v>1.39908352832361E-2</v>
      </c>
      <c r="D168" s="1060">
        <v>2.0811922414161198E-2</v>
      </c>
      <c r="E168" s="1060">
        <v>1.5247657751557699E-2</v>
      </c>
      <c r="F168" s="1060">
        <v>4.5983903903995101E-2</v>
      </c>
    </row>
    <row r="169" spans="1:6" x14ac:dyDescent="0.3">
      <c r="A169" t="s">
        <v>1195</v>
      </c>
      <c r="B169" s="1060">
        <v>1.32561299755005E-2</v>
      </c>
      <c r="C169" s="1060">
        <v>-5.33618345022691E-3</v>
      </c>
      <c r="D169" s="1060">
        <v>-4.6704458177309104E-3</v>
      </c>
      <c r="E169" s="1060">
        <v>-1.40950235359611E-2</v>
      </c>
      <c r="F169" s="1060">
        <v>3.8137779822804398E-2</v>
      </c>
    </row>
    <row r="170" spans="1:6" x14ac:dyDescent="0.3">
      <c r="A170" t="s">
        <v>1196</v>
      </c>
      <c r="B170" s="1060">
        <v>2.6761481120787502E-2</v>
      </c>
      <c r="C170" s="1060">
        <v>1.39201532997375E-2</v>
      </c>
      <c r="D170" s="1060">
        <v>4.96543347638621E-2</v>
      </c>
      <c r="E170" s="1060">
        <v>5.4116713606157101E-2</v>
      </c>
      <c r="F170" s="1060">
        <v>3.0312571909831599E-2</v>
      </c>
    </row>
    <row r="171" spans="1:6" x14ac:dyDescent="0.3">
      <c r="A171" t="s">
        <v>1197</v>
      </c>
      <c r="B171" s="1060">
        <v>9.7203652064314899E-3</v>
      </c>
      <c r="C171" s="1060">
        <v>8.8550245823753003E-3</v>
      </c>
      <c r="D171" s="1060">
        <v>4.0241651109829101E-5</v>
      </c>
      <c r="E171" s="1060">
        <v>-6.9787462524018001E-3</v>
      </c>
      <c r="F171" s="1060">
        <v>3.2273930792219303E-2</v>
      </c>
    </row>
    <row r="172" spans="1:6" x14ac:dyDescent="0.3">
      <c r="A172" t="s">
        <v>1198</v>
      </c>
      <c r="B172" s="1060">
        <v>1.1676944984941699E-2</v>
      </c>
      <c r="C172" s="1060">
        <v>7.7077122555302396E-3</v>
      </c>
      <c r="D172" s="1060">
        <v>2.3872274816542499E-2</v>
      </c>
      <c r="E172" s="1060">
        <v>2.44311343320835E-2</v>
      </c>
      <c r="F172" s="1060">
        <v>2.17207841742009E-2</v>
      </c>
    </row>
    <row r="173" spans="1:6" x14ac:dyDescent="0.3">
      <c r="A173" t="s">
        <v>1199</v>
      </c>
      <c r="B173" s="1060">
        <v>2.2614716677978E-2</v>
      </c>
      <c r="C173" s="1060">
        <v>4.9632662336496196E-3</v>
      </c>
      <c r="D173" s="1060">
        <v>4.96224168517563E-2</v>
      </c>
      <c r="E173" s="1060">
        <v>5.8918140200379103E-2</v>
      </c>
      <c r="F173" s="1060">
        <v>7.9104688711333394E-3</v>
      </c>
    </row>
    <row r="174" spans="1:6" x14ac:dyDescent="0.3">
      <c r="A174" t="s">
        <v>1200</v>
      </c>
      <c r="B174" s="1060">
        <v>1.45079389824292E-2</v>
      </c>
      <c r="C174" s="1060">
        <v>-1.9949826125076301E-4</v>
      </c>
      <c r="D174" s="1060">
        <v>4.6763117028620897E-2</v>
      </c>
      <c r="E174" s="1060">
        <v>5.3376513955371498E-2</v>
      </c>
      <c r="F174" s="1060">
        <v>1.6319173615011201E-2</v>
      </c>
    </row>
    <row r="175" spans="1:6" x14ac:dyDescent="0.3">
      <c r="A175" t="s">
        <v>1201</v>
      </c>
      <c r="B175" s="1060">
        <v>2.8548469670495202E-3</v>
      </c>
      <c r="C175" s="1060">
        <v>7.9245575399269404E-3</v>
      </c>
      <c r="D175" s="1060">
        <v>2.1306958529263599E-2</v>
      </c>
      <c r="E175" s="1060">
        <v>2.14833879994034E-2</v>
      </c>
      <c r="F175" s="1060">
        <v>2.0547855013869399E-2</v>
      </c>
    </row>
    <row r="176" spans="1:6" x14ac:dyDescent="0.3">
      <c r="A176" t="s">
        <v>1202</v>
      </c>
      <c r="B176" s="1060">
        <v>1.6326843500240801E-2</v>
      </c>
      <c r="C176" s="1060">
        <v>1.3006397529373E-2</v>
      </c>
      <c r="D176" s="1060">
        <v>3.2055840580270702E-2</v>
      </c>
      <c r="E176" s="1060">
        <v>3.4225885044726997E-2</v>
      </c>
      <c r="F176" s="1060">
        <v>2.1723337040250802E-2</v>
      </c>
    </row>
    <row r="177" spans="1:6" x14ac:dyDescent="0.3">
      <c r="A177" t="s">
        <v>1203</v>
      </c>
      <c r="B177" s="1060">
        <v>1.6859105016114002E-2</v>
      </c>
      <c r="C177" s="1060">
        <v>6.2259222369993199E-2</v>
      </c>
      <c r="D177" s="1060">
        <v>2.2986114650760201E-2</v>
      </c>
      <c r="E177" s="1060">
        <v>2.1461497744286601E-2</v>
      </c>
      <c r="F177" s="1060">
        <v>3.0554089712781E-2</v>
      </c>
    </row>
    <row r="178" spans="1:6" x14ac:dyDescent="0.3">
      <c r="A178" t="s">
        <v>1204</v>
      </c>
      <c r="B178" s="1060">
        <v>1.93744928521071E-2</v>
      </c>
      <c r="C178" s="1060">
        <v>-1.02831916231174E-2</v>
      </c>
      <c r="D178" s="1060">
        <v>3.2089816475630001E-2</v>
      </c>
      <c r="E178" s="1060">
        <v>3.4027993671362999E-2</v>
      </c>
      <c r="F178" s="1060">
        <v>2.27077607090642E-2</v>
      </c>
    </row>
    <row r="179" spans="1:6" x14ac:dyDescent="0.3">
      <c r="A179" t="s">
        <v>1205</v>
      </c>
      <c r="B179" s="1060">
        <v>2.0192934056340501E-2</v>
      </c>
      <c r="C179" s="1060">
        <v>1.7798477087045E-2</v>
      </c>
      <c r="D179" s="1060">
        <v>1.3650570477194099E-2</v>
      </c>
      <c r="E179" s="1060">
        <v>1.2683683496116101E-2</v>
      </c>
      <c r="F179" s="1060">
        <v>1.8378329285591199E-2</v>
      </c>
    </row>
    <row r="180" spans="1:6" x14ac:dyDescent="0.3">
      <c r="A180" t="s">
        <v>1206</v>
      </c>
      <c r="B180" s="1060">
        <v>1.13601398604235E-2</v>
      </c>
      <c r="C180" s="1060">
        <v>1.8827452214838801E-2</v>
      </c>
      <c r="D180" s="1060">
        <v>2.2480483340501001E-2</v>
      </c>
      <c r="E180" s="1060">
        <v>2.3098181930942801E-2</v>
      </c>
      <c r="F180" s="1060">
        <v>1.94654703730235E-2</v>
      </c>
    </row>
    <row r="181" spans="1:6" x14ac:dyDescent="0.3">
      <c r="A181" t="s">
        <v>1207</v>
      </c>
      <c r="B181" s="1060">
        <v>-4.6048768205230201E-3</v>
      </c>
      <c r="C181" s="1060">
        <v>5.3720415632923001E-3</v>
      </c>
      <c r="D181" s="1060">
        <v>-1.35664737790564E-3</v>
      </c>
      <c r="E181" s="1060">
        <v>-3.1150724387948299E-3</v>
      </c>
      <c r="F181" s="1060">
        <v>7.0678568534106E-3</v>
      </c>
    </row>
    <row r="182" spans="1:6" x14ac:dyDescent="0.3">
      <c r="A182" t="s">
        <v>1208</v>
      </c>
      <c r="B182" s="1060">
        <v>-1.65067373701384E-2</v>
      </c>
      <c r="C182" s="1060">
        <v>-6.4248737444822001E-3</v>
      </c>
      <c r="D182" s="1060">
        <v>-3.2706239119787997E-2</v>
      </c>
      <c r="E182" s="1060">
        <v>-3.9305105462135198E-2</v>
      </c>
      <c r="F182" s="1060">
        <v>-1.18502082280647E-3</v>
      </c>
    </row>
    <row r="183" spans="1:6" x14ac:dyDescent="0.3">
      <c r="A183" t="s">
        <v>1209</v>
      </c>
      <c r="B183" s="1060">
        <v>1.9548766403745001E-2</v>
      </c>
      <c r="C183" s="1060">
        <v>7.87290366046434E-3</v>
      </c>
      <c r="D183" s="1060">
        <v>2.6384745223831701E-2</v>
      </c>
      <c r="E183" s="1060">
        <v>2.82887807392058E-2</v>
      </c>
      <c r="F183" s="1060">
        <v>1.76749178700988E-2</v>
      </c>
    </row>
    <row r="184" spans="1:6" x14ac:dyDescent="0.3">
      <c r="A184" t="s">
        <v>1210</v>
      </c>
      <c r="B184" s="1060">
        <v>9.6917092109320997E-3</v>
      </c>
      <c r="C184" s="1060">
        <v>6.1419866574232698E-3</v>
      </c>
      <c r="D184" s="1060">
        <v>4.0111960578135299E-3</v>
      </c>
      <c r="E184" s="1060">
        <v>2.4162101667697402E-3</v>
      </c>
      <c r="F184" s="1060">
        <v>1.1398511762960899E-2</v>
      </c>
    </row>
    <row r="185" spans="1:6" x14ac:dyDescent="0.3">
      <c r="A185" t="s">
        <v>1211</v>
      </c>
      <c r="B185" s="1060">
        <v>-3.9403871252573497E-3</v>
      </c>
      <c r="C185" s="1060">
        <v>-3.1716537268759999E-3</v>
      </c>
      <c r="D185" s="1060">
        <v>-1.32955897973415E-2</v>
      </c>
      <c r="E185" s="1060">
        <v>-1.5664221695060501E-2</v>
      </c>
      <c r="F185" s="1060">
        <v>-2.2010123911118101E-3</v>
      </c>
    </row>
    <row r="186" spans="1:6" x14ac:dyDescent="0.3">
      <c r="A186" t="s">
        <v>1212</v>
      </c>
      <c r="B186" s="1060">
        <v>2.1316685833889801E-3</v>
      </c>
      <c r="C186" s="1060">
        <v>-9.9615046560082004E-3</v>
      </c>
      <c r="D186" s="1060">
        <v>-2.9400798500526501E-2</v>
      </c>
      <c r="E186" s="1060">
        <v>-3.3665208430493802E-2</v>
      </c>
      <c r="F186" s="1060">
        <v>-9.6550430027560995E-3</v>
      </c>
    </row>
    <row r="187" spans="1:6" x14ac:dyDescent="0.3">
      <c r="A187" t="s">
        <v>1213</v>
      </c>
      <c r="B187" s="1060">
        <v>2.5357857709627601E-2</v>
      </c>
      <c r="C187" s="1060">
        <v>2.1698746196001199E-2</v>
      </c>
      <c r="D187" s="1060">
        <v>3.1150112025238399E-2</v>
      </c>
      <c r="E187" s="1060">
        <v>3.0770998377488399E-2</v>
      </c>
      <c r="F187" s="1060">
        <v>3.3008554152673703E-2</v>
      </c>
    </row>
    <row r="188" spans="1:6" x14ac:dyDescent="0.3">
      <c r="A188" t="s">
        <v>1214</v>
      </c>
      <c r="B188" s="1060">
        <v>1.5085753101185199E-2</v>
      </c>
      <c r="C188" s="1060">
        <v>1.5625918949128799E-2</v>
      </c>
      <c r="D188" s="1060">
        <v>1.3242458778771201E-2</v>
      </c>
      <c r="E188" s="1060">
        <v>1.5469326265677499E-2</v>
      </c>
      <c r="F188" s="1060">
        <v>3.0262315011426702E-3</v>
      </c>
    </row>
    <row r="189" spans="1:6" x14ac:dyDescent="0.3">
      <c r="A189" t="s">
        <v>1215</v>
      </c>
      <c r="B189" s="1060">
        <v>1.9065277405527499E-2</v>
      </c>
      <c r="C189" s="1060">
        <v>1.9426037707255001E-2</v>
      </c>
      <c r="D189" s="1060">
        <v>1.9732026701747798E-2</v>
      </c>
      <c r="E189" s="1060">
        <v>1.98067429774604E-2</v>
      </c>
      <c r="F189" s="1060">
        <v>1.9471921944120799E-2</v>
      </c>
    </row>
    <row r="190" spans="1:6" x14ac:dyDescent="0.3">
      <c r="A190" t="s">
        <v>1216</v>
      </c>
      <c r="B190" s="1060">
        <v>2.3896314746341098E-2</v>
      </c>
      <c r="C190" s="1060">
        <v>1.9409885132803301E-2</v>
      </c>
      <c r="D190" s="1060">
        <v>3.7278658950123902E-2</v>
      </c>
      <c r="E190" s="1060">
        <v>3.9514900887574103E-2</v>
      </c>
      <c r="F190" s="1060">
        <v>2.7099611156277601E-2</v>
      </c>
    </row>
    <row r="191" spans="1:6" x14ac:dyDescent="0.3">
      <c r="A191" t="s">
        <v>1217</v>
      </c>
      <c r="B191" s="1060">
        <v>9.9328007831764892E-3</v>
      </c>
      <c r="C191" s="1060">
        <v>1.3103273651826199E-2</v>
      </c>
      <c r="D191" s="1060">
        <v>1.12864434786104E-2</v>
      </c>
      <c r="E191" s="1060">
        <v>9.0306358829268501E-3</v>
      </c>
      <c r="F191" s="1060">
        <v>2.1521193573355E-2</v>
      </c>
    </row>
    <row r="192" spans="1:6" x14ac:dyDescent="0.3">
      <c r="A192" t="s">
        <v>1218</v>
      </c>
      <c r="B192" s="1060">
        <v>1.4603017582518699E-2</v>
      </c>
      <c r="C192" s="1060">
        <v>1.7788818797953999E-2</v>
      </c>
      <c r="D192" s="1060">
        <v>3.6562690512580202E-2</v>
      </c>
      <c r="E192" s="1060">
        <v>3.6635495652026999E-2</v>
      </c>
      <c r="F192" s="1060">
        <v>3.6311211479282998E-2</v>
      </c>
    </row>
    <row r="193" spans="1:6" x14ac:dyDescent="0.3">
      <c r="A193" t="s">
        <v>1219</v>
      </c>
      <c r="B193" s="1060">
        <v>2.5719713356744601E-2</v>
      </c>
      <c r="C193" s="1060">
        <v>2.90667642529692E-2</v>
      </c>
      <c r="D193" s="1060">
        <v>5.0774987871551797E-2</v>
      </c>
      <c r="E193" s="1060">
        <v>5.7042627848445E-2</v>
      </c>
      <c r="F193" s="1060">
        <v>2.3197124388088401E-2</v>
      </c>
    </row>
    <row r="194" spans="1:6" x14ac:dyDescent="0.3">
      <c r="A194" t="s">
        <v>1220</v>
      </c>
      <c r="B194" s="1060">
        <v>2.9147369447939799E-2</v>
      </c>
      <c r="C194" s="1060">
        <v>4.11537159385129E-2</v>
      </c>
      <c r="D194" s="1060">
        <v>4.9648850800065397E-2</v>
      </c>
      <c r="E194" s="1060">
        <v>5.2316315130779299E-2</v>
      </c>
      <c r="F194" s="1060">
        <v>3.8107075575473298E-2</v>
      </c>
    </row>
    <row r="195" spans="1:6" x14ac:dyDescent="0.3">
      <c r="A195" t="s">
        <v>1221</v>
      </c>
      <c r="B195" s="1060">
        <v>2.1663179127611398E-2</v>
      </c>
      <c r="C195" s="1060">
        <v>2.95524402709311E-2</v>
      </c>
      <c r="D195" s="1060">
        <v>4.43236674984493E-2</v>
      </c>
      <c r="E195" s="1060">
        <v>4.1414814571916599E-2</v>
      </c>
      <c r="F195" s="1060">
        <v>5.71493007542314E-2</v>
      </c>
    </row>
    <row r="196" spans="1:6" x14ac:dyDescent="0.3">
      <c r="A196" t="s">
        <v>1222</v>
      </c>
      <c r="B196" s="1060">
        <v>1.4350946991545E-2</v>
      </c>
      <c r="C196" s="1060">
        <v>2.3387558006987101E-2</v>
      </c>
      <c r="D196" s="1060">
        <v>3.7181249340460402E-2</v>
      </c>
      <c r="E196" s="1060">
        <v>3.8836746328921902E-2</v>
      </c>
      <c r="F196" s="1060">
        <v>2.9745006586506799E-2</v>
      </c>
    </row>
    <row r="197" spans="1:6" x14ac:dyDescent="0.3">
      <c r="A197" t="s">
        <v>1223</v>
      </c>
      <c r="B197" s="1060">
        <v>1.51565091171486E-2</v>
      </c>
      <c r="C197" s="1060">
        <v>2.9652502701153601E-2</v>
      </c>
      <c r="D197" s="1060">
        <v>2.0739486303196001E-2</v>
      </c>
      <c r="E197" s="1060">
        <v>1.6036274889288799E-2</v>
      </c>
      <c r="F197" s="1060">
        <v>4.1912016313216102E-2</v>
      </c>
    </row>
    <row r="198" spans="1:6" x14ac:dyDescent="0.3">
      <c r="A198" t="s">
        <v>1224</v>
      </c>
      <c r="B198" s="1060">
        <v>8.3593342288621492E-3</v>
      </c>
      <c r="C198" s="1060">
        <v>4.3357912415273203E-2</v>
      </c>
      <c r="D198" s="1060">
        <v>-1.09099553725475E-2</v>
      </c>
      <c r="E198" s="1060">
        <v>-1.6750426853228501E-2</v>
      </c>
      <c r="F198" s="1060">
        <v>1.5721372171975601E-2</v>
      </c>
    </row>
    <row r="199" spans="1:6" x14ac:dyDescent="0.3">
      <c r="A199" t="s">
        <v>1225</v>
      </c>
      <c r="B199" s="1060">
        <v>2.4734353401226102E-2</v>
      </c>
      <c r="C199" s="1060">
        <v>-2.6343933972632301E-2</v>
      </c>
      <c r="D199" s="1060">
        <v>2.9915559028399701E-2</v>
      </c>
      <c r="E199" s="1060">
        <v>2.5813818283005E-2</v>
      </c>
      <c r="F199" s="1060">
        <v>4.8037769815769002E-2</v>
      </c>
    </row>
    <row r="200" spans="1:6" x14ac:dyDescent="0.3">
      <c r="A200" t="s">
        <v>1226</v>
      </c>
      <c r="B200" s="1060">
        <v>1.0490970472330399E-2</v>
      </c>
      <c r="C200" s="1060">
        <v>1.0018821110834301E-2</v>
      </c>
      <c r="D200" s="1060">
        <v>1.05275597064789E-2</v>
      </c>
      <c r="E200" s="1060">
        <v>8.6124156242581903E-3</v>
      </c>
      <c r="F200" s="1060">
        <v>1.9083730667159401E-2</v>
      </c>
    </row>
    <row r="201" spans="1:6" x14ac:dyDescent="0.3">
      <c r="A201" t="s">
        <v>1227</v>
      </c>
      <c r="B201" s="1060">
        <v>1.45690487077856E-2</v>
      </c>
      <c r="C201" s="1060">
        <v>1.6245763277308499E-2</v>
      </c>
      <c r="D201" s="1060">
        <v>1.49197048908958E-2</v>
      </c>
      <c r="E201" s="1060">
        <v>1.6996215944869601E-2</v>
      </c>
      <c r="F201" s="1060">
        <v>5.8979339636946503E-3</v>
      </c>
    </row>
    <row r="202" spans="1:6" x14ac:dyDescent="0.3">
      <c r="A202" t="s">
        <v>1228</v>
      </c>
      <c r="B202" s="1060">
        <v>1.46624987744557E-2</v>
      </c>
      <c r="C202" s="1060">
        <v>1.3591255249432201E-2</v>
      </c>
      <c r="D202" s="1060">
        <v>4.3158369252632098E-2</v>
      </c>
      <c r="E202" s="1060">
        <v>5.0660572456327199E-2</v>
      </c>
      <c r="F202" s="1060">
        <v>1.0418465412080901E-2</v>
      </c>
    </row>
    <row r="203" spans="1:6" x14ac:dyDescent="0.3">
      <c r="A203" t="s">
        <v>292</v>
      </c>
      <c r="B203" s="1060">
        <v>-1.7940859457881899E-2</v>
      </c>
      <c r="C203" s="1060">
        <v>3.31045118831508E-3</v>
      </c>
      <c r="D203" s="1060">
        <v>-2.2930962354547101E-3</v>
      </c>
      <c r="E203" s="1060">
        <v>-1.06133933402519E-3</v>
      </c>
      <c r="F203" s="1060">
        <v>-7.65559802497651E-3</v>
      </c>
    </row>
    <row r="204" spans="1:6" x14ac:dyDescent="0.3">
      <c r="A204" t="s">
        <v>293</v>
      </c>
      <c r="B204" s="1060">
        <v>3.3775526155126898E-2</v>
      </c>
      <c r="C204" s="1060">
        <v>2.5959727144998501E-2</v>
      </c>
      <c r="D204" s="1060">
        <v>3.5878370959533598E-2</v>
      </c>
      <c r="E204" s="1060">
        <v>3.4596703938155803E-2</v>
      </c>
      <c r="F204" s="1060">
        <v>4.1355015452944698E-2</v>
      </c>
    </row>
    <row r="205" spans="1:6" x14ac:dyDescent="0.3">
      <c r="A205" t="s">
        <v>294</v>
      </c>
      <c r="B205" s="1060">
        <v>1.6442937470855502E-2</v>
      </c>
      <c r="C205" s="1060">
        <v>2.4447407360365301E-2</v>
      </c>
      <c r="D205" s="1060">
        <v>4.55348943874712E-2</v>
      </c>
      <c r="E205" s="1060">
        <v>5.1547958936444697E-2</v>
      </c>
      <c r="F205" s="1060">
        <v>1.8415186976738801E-2</v>
      </c>
    </row>
    <row r="206" spans="1:6" x14ac:dyDescent="0.3">
      <c r="A206" t="s">
        <v>295</v>
      </c>
      <c r="B206" s="1060">
        <v>4.5025943450948999E-2</v>
      </c>
      <c r="C206" s="1060">
        <v>4.0827649049089101E-2</v>
      </c>
      <c r="D206" s="1060">
        <v>8.7714323909891603E-2</v>
      </c>
      <c r="E206" s="1060">
        <v>9.2834286401326696E-2</v>
      </c>
      <c r="F206" s="1060">
        <v>6.4160755006020101E-2</v>
      </c>
    </row>
    <row r="207" spans="1:6" x14ac:dyDescent="0.3">
      <c r="A207" t="s">
        <v>296</v>
      </c>
      <c r="B207" s="1060">
        <v>6.4441802743663304E-2</v>
      </c>
      <c r="C207" s="1060">
        <v>4.1247362410053098E-2</v>
      </c>
      <c r="D207" s="1060">
        <v>8.4888593948209398E-2</v>
      </c>
      <c r="E207" s="1060">
        <v>8.0575514620662397E-2</v>
      </c>
      <c r="F207" s="1060">
        <v>0.104589902157439</v>
      </c>
    </row>
    <row r="208" spans="1:6" x14ac:dyDescent="0.3">
      <c r="A208" t="s">
        <v>180</v>
      </c>
      <c r="B208" s="1060">
        <v>5.5998846943190198E-2</v>
      </c>
      <c r="C208" s="1060">
        <v>4.40178580952795E-2</v>
      </c>
      <c r="D208" s="1060">
        <v>6.9703587118332494E-2</v>
      </c>
      <c r="E208" s="1060">
        <v>6.4680375979367696E-2</v>
      </c>
      <c r="F208" s="1060">
        <v>9.3631239224950299E-2</v>
      </c>
    </row>
    <row r="209" spans="1:6" x14ac:dyDescent="0.3">
      <c r="A209" t="s">
        <v>181</v>
      </c>
      <c r="B209" s="1060">
        <v>6.1859650545573498E-2</v>
      </c>
      <c r="C209" s="1060">
        <v>4.34322998250962E-2</v>
      </c>
      <c r="D209" s="1060">
        <v>9.0463399615994505E-2</v>
      </c>
      <c r="E209" s="1060">
        <v>8.4136934840178798E-2</v>
      </c>
      <c r="F209" s="1060">
        <v>0.12124821634027599</v>
      </c>
    </row>
    <row r="210" spans="1:6" x14ac:dyDescent="0.3">
      <c r="A210" t="s">
        <v>182</v>
      </c>
      <c r="B210" s="1060">
        <v>7.4784916271317198E-2</v>
      </c>
      <c r="C210" s="1060">
        <v>5.6798579453040801E-2</v>
      </c>
      <c r="D210" s="1060">
        <v>0.10558682780244399</v>
      </c>
      <c r="E210" s="1060">
        <v>0.10120576467409099</v>
      </c>
      <c r="F210" s="1060">
        <v>0.12687792670398401</v>
      </c>
    </row>
    <row r="211" spans="1:6" x14ac:dyDescent="0.3">
      <c r="A211" t="s">
        <v>183</v>
      </c>
      <c r="B211" s="1060">
        <v>7.2922192171477093E-2</v>
      </c>
      <c r="C211" s="1060">
        <v>5.9959109255099501E-2</v>
      </c>
      <c r="D211" s="1060">
        <v>0.149798907045571</v>
      </c>
      <c r="E211" s="1060">
        <v>0.15221841372862299</v>
      </c>
      <c r="F211" s="1060">
        <v>0.13796693794697101</v>
      </c>
    </row>
    <row r="212" spans="1:6" x14ac:dyDescent="0.3">
      <c r="A212" t="s">
        <v>184</v>
      </c>
      <c r="B212" s="1060">
        <v>4.1796200977757901E-2</v>
      </c>
      <c r="C212" s="1060">
        <v>4.8377032065661102E-2</v>
      </c>
      <c r="D212" s="1060">
        <v>2.2089664458159901E-2</v>
      </c>
      <c r="E212" s="1060">
        <v>8.9811228034972802E-3</v>
      </c>
      <c r="F212" s="1060">
        <v>8.9581033951388098E-2</v>
      </c>
    </row>
    <row r="213" spans="1:6" x14ac:dyDescent="0.3">
      <c r="A213" t="s">
        <v>185</v>
      </c>
      <c r="B213" s="1060">
        <v>2.7447616796656402E-2</v>
      </c>
      <c r="C213" s="1060">
        <v>2.3249618404576101E-2</v>
      </c>
      <c r="D213" s="1060">
        <v>3.8298767461848897E-2</v>
      </c>
      <c r="E213" s="1060">
        <v>3.8298767461848897E-2</v>
      </c>
      <c r="F213" s="1060">
        <v>3.8298767461848897E-2</v>
      </c>
    </row>
    <row r="214" spans="1:6" x14ac:dyDescent="0.3">
      <c r="A214" t="s">
        <v>186</v>
      </c>
      <c r="B214" s="1060">
        <v>2.49173870638888E-2</v>
      </c>
      <c r="C214" s="1060">
        <v>2.1715756912072299E-2</v>
      </c>
      <c r="D214" s="1060">
        <v>3.6085750781477598E-2</v>
      </c>
      <c r="E214" s="1060">
        <v>3.6085750781477598E-2</v>
      </c>
      <c r="F214" s="1060">
        <v>3.6085750781477598E-2</v>
      </c>
    </row>
    <row r="215" spans="1:6" x14ac:dyDescent="0.3">
      <c r="A215" t="s">
        <v>187</v>
      </c>
      <c r="B215" s="1060">
        <v>2.33440010578361E-2</v>
      </c>
      <c r="C215" s="1060">
        <v>2.1485909848918801E-2</v>
      </c>
      <c r="D215" s="1060">
        <v>3.2005284910624002E-2</v>
      </c>
      <c r="E215" s="1060">
        <v>3.2005284910624002E-2</v>
      </c>
      <c r="F215" s="1060">
        <v>3.2005284910624002E-2</v>
      </c>
    </row>
    <row r="216" spans="1:6" x14ac:dyDescent="0.3">
      <c r="A216" t="s">
        <v>188</v>
      </c>
      <c r="B216" s="1060">
        <v>2.2676579457354702E-2</v>
      </c>
      <c r="C216" s="1060">
        <v>2.1729771469873E-2</v>
      </c>
      <c r="D216" s="1060">
        <v>2.9538555790939999E-2</v>
      </c>
      <c r="E216" s="1060">
        <v>2.9538555790939999E-2</v>
      </c>
      <c r="F216" s="1060">
        <v>2.9538555790939999E-2</v>
      </c>
    </row>
    <row r="217" spans="1:6" x14ac:dyDescent="0.3">
      <c r="A217" t="s">
        <v>189</v>
      </c>
      <c r="B217" s="1060">
        <v>2.2178287431426899E-2</v>
      </c>
      <c r="C217" s="1060">
        <v>2.22727407121028E-2</v>
      </c>
      <c r="D217" s="1060">
        <v>2.8512142036472E-2</v>
      </c>
      <c r="E217" s="1060">
        <v>2.8512142036472E-2</v>
      </c>
      <c r="F217" s="1060">
        <v>2.8512142036472E-2</v>
      </c>
    </row>
    <row r="218" spans="1:6" x14ac:dyDescent="0.3">
      <c r="A218" t="s">
        <v>190</v>
      </c>
      <c r="B218" s="1060">
        <v>2.1434276652948898E-2</v>
      </c>
      <c r="C218" s="1060">
        <v>2.23623952750127E-2</v>
      </c>
      <c r="D218" s="1060">
        <v>2.8283584176253401E-2</v>
      </c>
      <c r="E218" s="1060">
        <v>2.8283584176253401E-2</v>
      </c>
      <c r="F218" s="1060">
        <v>2.8283584176253401E-2</v>
      </c>
    </row>
    <row r="219" spans="1:6" x14ac:dyDescent="0.3">
      <c r="A219" t="s">
        <v>191</v>
      </c>
      <c r="B219" s="1060">
        <v>2.10072065089228E-2</v>
      </c>
      <c r="C219" s="1060">
        <v>2.2496789219665199E-2</v>
      </c>
      <c r="D219" s="1060">
        <v>2.7654852328046001E-2</v>
      </c>
      <c r="E219" s="1060">
        <v>2.7654852328046001E-2</v>
      </c>
      <c r="F219" s="1060">
        <v>2.7654852328046001E-2</v>
      </c>
    </row>
    <row r="220" spans="1:6" x14ac:dyDescent="0.3">
      <c r="A220" t="s">
        <v>175</v>
      </c>
      <c r="B220" s="1060">
        <v>2.0591622707038602E-2</v>
      </c>
      <c r="C220" s="1060">
        <v>2.25123599902981E-2</v>
      </c>
      <c r="D220" s="1060">
        <v>2.7753662335143502E-2</v>
      </c>
      <c r="E220" s="1060">
        <v>2.7753662335143502E-2</v>
      </c>
      <c r="F220" s="1060">
        <v>2.7753662335143502E-2</v>
      </c>
    </row>
    <row r="221" spans="1:6" x14ac:dyDescent="0.3">
      <c r="A221" t="s">
        <v>176</v>
      </c>
      <c r="B221" s="1060">
        <v>2.0347186911993099E-2</v>
      </c>
      <c r="C221" s="1060">
        <v>2.2891901714989799E-2</v>
      </c>
      <c r="D221" s="1060">
        <v>2.8110399323646899E-2</v>
      </c>
      <c r="E221" s="1060">
        <v>2.8110399323646899E-2</v>
      </c>
      <c r="F221" s="1060">
        <v>2.8110399323646899E-2</v>
      </c>
    </row>
    <row r="222" spans="1:6" x14ac:dyDescent="0.3">
      <c r="A222" t="s">
        <v>177</v>
      </c>
      <c r="B222" s="1060">
        <v>2.03844462174123E-2</v>
      </c>
      <c r="C222" s="1060">
        <v>2.2688598137850801E-2</v>
      </c>
      <c r="D222" s="1060">
        <v>2.89673943247446E-2</v>
      </c>
      <c r="E222" s="1060">
        <v>2.89673943247446E-2</v>
      </c>
      <c r="F222" s="1060">
        <v>2.89673943247446E-2</v>
      </c>
    </row>
    <row r="223" spans="1:6" x14ac:dyDescent="0.3">
      <c r="A223" t="s">
        <v>832</v>
      </c>
      <c r="B223" s="1060">
        <v>2.02121429685698E-2</v>
      </c>
      <c r="C223" s="1060">
        <v>2.2861927422401802E-2</v>
      </c>
      <c r="D223" s="1060">
        <v>2.97171972862664E-2</v>
      </c>
      <c r="E223" s="1060">
        <v>2.97171972862664E-2</v>
      </c>
      <c r="F223" s="1060">
        <v>2.97171972862664E-2</v>
      </c>
    </row>
    <row r="224" spans="1:6" x14ac:dyDescent="0.3">
      <c r="A224" t="s">
        <v>833</v>
      </c>
      <c r="B224" s="1060">
        <v>2.00951255413373E-2</v>
      </c>
      <c r="C224" s="1060">
        <v>2.2789213164977801E-2</v>
      </c>
      <c r="D224" s="1060">
        <v>2.9972823640437098E-2</v>
      </c>
      <c r="E224" s="1060">
        <v>2.9972823640437098E-2</v>
      </c>
      <c r="F224" s="1060">
        <v>2.9972823640437098E-2</v>
      </c>
    </row>
    <row r="225" spans="1:6" x14ac:dyDescent="0.3">
      <c r="A225" t="s">
        <v>834</v>
      </c>
      <c r="B225" s="1060">
        <v>2.0005533751415599E-2</v>
      </c>
      <c r="C225" s="1060">
        <v>2.30067515754304E-2</v>
      </c>
      <c r="D225" s="1060">
        <v>3.0378543432117301E-2</v>
      </c>
      <c r="E225" s="1060">
        <v>3.0378543432117301E-2</v>
      </c>
      <c r="F225" s="1060">
        <v>3.0378543432117301E-2</v>
      </c>
    </row>
    <row r="226" spans="1:6" x14ac:dyDescent="0.3">
      <c r="A226" t="s">
        <v>1253</v>
      </c>
      <c r="B226" s="1060">
        <v>1.9992497685795502E-2</v>
      </c>
      <c r="C226" s="1060">
        <v>2.28689196510703E-2</v>
      </c>
      <c r="D226" s="1060">
        <v>3.0384347471833498E-2</v>
      </c>
      <c r="E226" s="1060">
        <v>3.0384347471833498E-2</v>
      </c>
      <c r="F226" s="1060">
        <v>3.0384347471833498E-2</v>
      </c>
    </row>
    <row r="227" spans="1:6" x14ac:dyDescent="0.3">
      <c r="A227" t="s">
        <v>1254</v>
      </c>
      <c r="B227" s="1060">
        <v>1.99491524210023E-2</v>
      </c>
      <c r="C227" s="1060">
        <v>2.2952518060170599E-2</v>
      </c>
      <c r="D227" s="1060">
        <v>3.0780667439755299E-2</v>
      </c>
      <c r="E227" s="1060">
        <v>3.0780667439755299E-2</v>
      </c>
      <c r="F227" s="1060">
        <v>3.0780667439755299E-2</v>
      </c>
    </row>
    <row r="228" spans="1:6" x14ac:dyDescent="0.3">
      <c r="A228" t="s">
        <v>1255</v>
      </c>
      <c r="B228" s="1060">
        <v>1.99785657506244E-2</v>
      </c>
      <c r="C228" s="1060">
        <v>2.3092018308592099E-2</v>
      </c>
      <c r="D228" s="1060">
        <v>3.09234356698747E-2</v>
      </c>
      <c r="E228" s="1060">
        <v>3.09234356698747E-2</v>
      </c>
      <c r="F228" s="1060">
        <v>3.09234356698747E-2</v>
      </c>
    </row>
    <row r="229" spans="1:6" x14ac:dyDescent="0.3">
      <c r="A229" t="s">
        <v>1256</v>
      </c>
      <c r="B229" s="1060">
        <v>1.9973482507164499E-2</v>
      </c>
      <c r="C229" s="1060">
        <v>2.29188557927167E-2</v>
      </c>
      <c r="D229" s="1060">
        <v>3.0940126349132901E-2</v>
      </c>
      <c r="E229" s="1060">
        <v>3.0940126349132901E-2</v>
      </c>
      <c r="F229" s="1060">
        <v>3.0940126349132901E-2</v>
      </c>
    </row>
    <row r="230" spans="1:6" x14ac:dyDescent="0.3">
      <c r="A230" t="s">
        <v>1257</v>
      </c>
      <c r="B230" s="1060">
        <v>2.00262569988248E-2</v>
      </c>
      <c r="C230" s="1060">
        <v>2.34219478386497E-2</v>
      </c>
      <c r="D230" s="1060">
        <v>3.08963138434795E-2</v>
      </c>
      <c r="E230" s="1060">
        <v>3.08963138434795E-2</v>
      </c>
      <c r="F230" s="1060">
        <v>3.08963138434795E-2</v>
      </c>
    </row>
    <row r="231" spans="1:6" x14ac:dyDescent="0.3">
      <c r="A231" t="s">
        <v>1258</v>
      </c>
      <c r="B231" s="1060">
        <v>2.0068184200822601E-2</v>
      </c>
      <c r="C231" s="1060">
        <v>2.29559923804479E-2</v>
      </c>
      <c r="D231" s="1060">
        <v>3.1171169586274899E-2</v>
      </c>
      <c r="E231" s="1060">
        <v>3.1171169586274899E-2</v>
      </c>
      <c r="F231" s="1060">
        <v>3.1171169586274899E-2</v>
      </c>
    </row>
    <row r="232" spans="1:6" x14ac:dyDescent="0.3">
      <c r="A232" t="s">
        <v>1259</v>
      </c>
      <c r="B232" s="1060">
        <v>2.00733299513789E-2</v>
      </c>
      <c r="C232" s="1060">
        <v>2.3089907346120601E-2</v>
      </c>
      <c r="D232" s="1060">
        <v>3.11290252355114E-2</v>
      </c>
      <c r="E232" s="1060">
        <v>3.11290252355114E-2</v>
      </c>
      <c r="F232" s="1060">
        <v>3.11290252355114E-2</v>
      </c>
    </row>
    <row r="233" spans="1:6" x14ac:dyDescent="0.3">
      <c r="A233" t="s">
        <v>1260</v>
      </c>
      <c r="B233" s="1060">
        <v>2.00833471581769E-2</v>
      </c>
      <c r="C233" s="1060">
        <v>2.2986135275529802E-2</v>
      </c>
      <c r="D233" s="1060">
        <v>3.12799263503531E-2</v>
      </c>
      <c r="E233" s="1060">
        <v>3.12799263503531E-2</v>
      </c>
      <c r="F233" s="1060">
        <v>3.12799263503531E-2</v>
      </c>
    </row>
    <row r="234" spans="1:6" x14ac:dyDescent="0.3">
      <c r="A234" t="s">
        <v>1261</v>
      </c>
      <c r="B234" s="1060">
        <v>2.0140093939852201E-2</v>
      </c>
      <c r="C234" s="1060">
        <v>2.31414769468055E-2</v>
      </c>
      <c r="D234" s="1060">
        <v>3.1432246791632999E-2</v>
      </c>
      <c r="E234" s="1060">
        <v>3.1432246791632999E-2</v>
      </c>
      <c r="F234" s="1060">
        <v>3.1432246791632999E-2</v>
      </c>
    </row>
    <row r="235" spans="1:6" x14ac:dyDescent="0.3">
      <c r="A235" t="s">
        <v>1262</v>
      </c>
      <c r="B235" s="1060">
        <v>2.02021592909249E-2</v>
      </c>
      <c r="C235" s="1060">
        <v>2.2984714477401601E-2</v>
      </c>
      <c r="D235" s="1060">
        <v>3.1205847095053599E-2</v>
      </c>
      <c r="E235" s="1060">
        <v>3.1205847095053599E-2</v>
      </c>
      <c r="F235" s="1060">
        <v>3.1205847095053599E-2</v>
      </c>
    </row>
    <row r="236" spans="1:6" x14ac:dyDescent="0.3">
      <c r="A236" t="s">
        <v>1263</v>
      </c>
      <c r="B236" s="1060">
        <v>2.0211898969260102E-2</v>
      </c>
      <c r="C236" s="1060">
        <v>2.2913195171825301E-2</v>
      </c>
      <c r="D236" s="1060">
        <v>3.14110402970686E-2</v>
      </c>
      <c r="E236" s="1060">
        <v>3.14110402970686E-2</v>
      </c>
      <c r="F236" s="1060">
        <v>3.14110402970686E-2</v>
      </c>
    </row>
    <row r="237" spans="1:6" x14ac:dyDescent="0.3">
      <c r="A237" t="s">
        <v>1264</v>
      </c>
      <c r="B237" s="1060">
        <v>2.0290430669000999E-2</v>
      </c>
      <c r="C237" s="1060">
        <v>2.29758501503456E-2</v>
      </c>
      <c r="D237" s="1060">
        <v>3.1565029186180898E-2</v>
      </c>
      <c r="E237" s="1060">
        <v>3.1565029186180898E-2</v>
      </c>
      <c r="F237" s="1060">
        <v>3.1565029186180898E-2</v>
      </c>
    </row>
    <row r="238" spans="1:6" x14ac:dyDescent="0.3">
      <c r="A238" t="s">
        <v>1265</v>
      </c>
      <c r="B238" s="1060">
        <v>2.0308808571870299E-2</v>
      </c>
      <c r="C238" s="1060">
        <v>2.2824531954790599E-2</v>
      </c>
      <c r="D238" s="1060">
        <v>3.1531274423854297E-2</v>
      </c>
      <c r="E238" s="1060">
        <v>3.1531274423854297E-2</v>
      </c>
      <c r="F238" s="1060">
        <v>3.1531274423854297E-2</v>
      </c>
    </row>
    <row r="239" spans="1:6" x14ac:dyDescent="0.3">
      <c r="A239" t="s">
        <v>1266</v>
      </c>
      <c r="B239" s="1060">
        <v>2.03080060292413E-2</v>
      </c>
      <c r="C239" s="1060">
        <v>2.2972481063801901E-2</v>
      </c>
      <c r="D239" s="1060">
        <v>3.1542996473644003E-2</v>
      </c>
      <c r="E239" s="1060">
        <v>3.1542996473644003E-2</v>
      </c>
      <c r="F239" s="1060">
        <v>3.1542996473644003E-2</v>
      </c>
    </row>
    <row r="240" spans="1:6" x14ac:dyDescent="0.3">
      <c r="A240" t="s">
        <v>1267</v>
      </c>
      <c r="B240" s="1060">
        <v>2.0323983720006399E-2</v>
      </c>
      <c r="C240" s="1060">
        <v>2.2824566637221998E-2</v>
      </c>
      <c r="D240" s="1060">
        <v>3.1855243350590097E-2</v>
      </c>
      <c r="E240" s="1060">
        <v>3.1855243350590097E-2</v>
      </c>
      <c r="F240" s="1060">
        <v>3.1855243350590097E-2</v>
      </c>
    </row>
    <row r="241" spans="1:6" x14ac:dyDescent="0.3">
      <c r="A241" t="s">
        <v>1268</v>
      </c>
      <c r="B241" s="1060">
        <v>2.0325704902500501E-2</v>
      </c>
      <c r="C241" s="1060">
        <v>2.2886555231629101E-2</v>
      </c>
      <c r="D241" s="1060">
        <v>3.1708818720508798E-2</v>
      </c>
      <c r="E241" s="1060">
        <v>3.1708818720508798E-2</v>
      </c>
      <c r="F241" s="1060">
        <v>3.1708818720508798E-2</v>
      </c>
    </row>
    <row r="242" spans="1:6" x14ac:dyDescent="0.3">
      <c r="A242" t="s">
        <v>1269</v>
      </c>
      <c r="B242" s="1060">
        <v>2.0305041683886599E-2</v>
      </c>
      <c r="C242" s="1060">
        <v>2.29465623765257E-2</v>
      </c>
      <c r="D242" s="1060">
        <v>3.1893508731351002E-2</v>
      </c>
      <c r="E242" s="1060">
        <v>3.1893508731351002E-2</v>
      </c>
      <c r="F242" s="1060">
        <v>3.1893508731351002E-2</v>
      </c>
    </row>
    <row r="243" spans="1:6" x14ac:dyDescent="0.3">
      <c r="A243" t="s">
        <v>1270</v>
      </c>
      <c r="B243" s="1060">
        <v>2.0287096358251301E-2</v>
      </c>
      <c r="C243" s="1060">
        <v>2.2798980065175601E-2</v>
      </c>
      <c r="D243" s="1060">
        <v>3.1810408581062898E-2</v>
      </c>
      <c r="E243" s="1060">
        <v>3.1810408581062898E-2</v>
      </c>
      <c r="F243" s="1060">
        <v>3.1810408581062898E-2</v>
      </c>
    </row>
    <row r="244" spans="1:6" x14ac:dyDescent="0.3">
      <c r="A244" t="s">
        <v>1271</v>
      </c>
      <c r="B244" s="1060">
        <v>2.0271579331879098E-2</v>
      </c>
      <c r="C244" s="1060">
        <v>2.2857567238674801E-2</v>
      </c>
      <c r="D244" s="1060">
        <v>3.1611362599311098E-2</v>
      </c>
      <c r="E244" s="1060">
        <v>3.1611362599311098E-2</v>
      </c>
      <c r="F244" s="1060">
        <v>3.1611362599311098E-2</v>
      </c>
    </row>
    <row r="245" spans="1:6" x14ac:dyDescent="0.3">
      <c r="A245" t="s">
        <v>1272</v>
      </c>
      <c r="B245" s="1060">
        <v>2.0226750918557398E-2</v>
      </c>
      <c r="C245" s="1060">
        <v>2.30078651102898E-2</v>
      </c>
      <c r="D245" s="1060">
        <v>3.1895036638032601E-2</v>
      </c>
      <c r="E245" s="1060">
        <v>3.1895036638032601E-2</v>
      </c>
      <c r="F245" s="1060">
        <v>3.1895036638032601E-2</v>
      </c>
    </row>
    <row r="246" spans="1:6" x14ac:dyDescent="0.3">
      <c r="A246" t="s">
        <v>1273</v>
      </c>
      <c r="B246" s="1060">
        <v>2.0229639632362201E-2</v>
      </c>
      <c r="C246" s="1060">
        <v>2.2755662461575201E-2</v>
      </c>
      <c r="D246" s="1060">
        <v>3.1906732152356301E-2</v>
      </c>
      <c r="E246" s="1060">
        <v>3.1906732152356301E-2</v>
      </c>
      <c r="F246" s="1060">
        <v>3.1906732152356301E-2</v>
      </c>
    </row>
    <row r="247" spans="1:6" x14ac:dyDescent="0.3">
      <c r="A247" t="s">
        <v>1274</v>
      </c>
      <c r="B247" s="1060">
        <v>2.0196749252488402E-2</v>
      </c>
      <c r="C247" s="1060">
        <v>2.2817811468051102E-2</v>
      </c>
      <c r="D247" s="1060">
        <v>3.1666344390047098E-2</v>
      </c>
      <c r="E247" s="1060">
        <v>3.1666344390047098E-2</v>
      </c>
      <c r="F247" s="1060">
        <v>3.1666344390047098E-2</v>
      </c>
    </row>
    <row r="248" spans="1:6" x14ac:dyDescent="0.3">
      <c r="A248" t="s">
        <v>1275</v>
      </c>
      <c r="B248" s="1060">
        <v>2.0138226913895701E-2</v>
      </c>
      <c r="C248" s="1060">
        <v>2.3174738681931199E-2</v>
      </c>
      <c r="D248" s="1060">
        <v>3.1749922428638201E-2</v>
      </c>
      <c r="E248" s="1060">
        <v>3.1749922428638201E-2</v>
      </c>
      <c r="F248" s="1060">
        <v>3.1749922428638201E-2</v>
      </c>
    </row>
    <row r="249" spans="1:6" x14ac:dyDescent="0.3">
      <c r="A249" t="s">
        <v>1276</v>
      </c>
      <c r="B249" s="1060">
        <v>2.0129535533826501E-2</v>
      </c>
      <c r="C249" s="1060">
        <v>2.27379267080541E-2</v>
      </c>
      <c r="D249" s="1060">
        <v>3.1908648163189397E-2</v>
      </c>
      <c r="E249" s="1060">
        <v>3.1908648163189397E-2</v>
      </c>
      <c r="F249" s="1060">
        <v>3.1908648163189397E-2</v>
      </c>
    </row>
    <row r="250" spans="1:6" x14ac:dyDescent="0.3">
      <c r="A250" t="s">
        <v>1277</v>
      </c>
      <c r="B250" s="1060">
        <v>2.0106884793451098E-2</v>
      </c>
      <c r="C250" s="1060">
        <v>2.3093327603912001E-2</v>
      </c>
      <c r="D250" s="1060">
        <v>3.1692204125751702E-2</v>
      </c>
      <c r="E250" s="1060">
        <v>3.1692204125751702E-2</v>
      </c>
      <c r="F250" s="1060">
        <v>3.1692204125751702E-2</v>
      </c>
    </row>
    <row r="251" spans="1:6" x14ac:dyDescent="0.3">
      <c r="A251" t="s">
        <v>1278</v>
      </c>
      <c r="B251" s="1060">
        <v>2.0037252982960399E-2</v>
      </c>
      <c r="C251" s="1060">
        <v>2.2853757020905099E-2</v>
      </c>
      <c r="D251" s="1060">
        <v>3.1763978164364597E-2</v>
      </c>
      <c r="E251" s="1060">
        <v>3.1763978164364597E-2</v>
      </c>
      <c r="F251" s="1060">
        <v>3.1763978164364597E-2</v>
      </c>
    </row>
    <row r="252" spans="1:6" x14ac:dyDescent="0.3">
      <c r="A252" t="s">
        <v>1279</v>
      </c>
      <c r="B252" s="1060">
        <v>2.0056022895238401E-2</v>
      </c>
      <c r="C252" s="1060">
        <v>2.2713969923905002E-2</v>
      </c>
      <c r="D252" s="1060">
        <v>3.17278315390737E-2</v>
      </c>
      <c r="E252" s="1060">
        <v>3.17278315390737E-2</v>
      </c>
      <c r="F252" s="1060">
        <v>3.17278315390737E-2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CDAFA-FBDC-4D98-9311-5F62FB2B698C}">
  <dimension ref="A1:I442"/>
  <sheetViews>
    <sheetView topLeftCell="A238" workbookViewId="0">
      <selection activeCell="I250" sqref="I250"/>
    </sheetView>
  </sheetViews>
  <sheetFormatPr defaultRowHeight="14.4" x14ac:dyDescent="0.3"/>
  <sheetData>
    <row r="1" spans="1:9" x14ac:dyDescent="0.3">
      <c r="A1" t="str">
        <f>deflators_raw!A1</f>
        <v>date</v>
      </c>
      <c r="B1" s="1064" t="str">
        <f>deflators_raw!B1</f>
        <v>consumption_deflator_growth_ann</v>
      </c>
      <c r="C1" s="1064" t="str">
        <f>deflators_raw!C1</f>
        <v>federal_purchases_deflator_growth_ann</v>
      </c>
      <c r="D1" s="1064" t="str">
        <f>deflators_raw!D1</f>
        <v>state_purchases_deflator_growth_ann</v>
      </c>
      <c r="E1" s="1064" t="str">
        <f>deflators_raw!E1</f>
        <v>consumption_grants_deflator_growth_ann</v>
      </c>
      <c r="F1" s="1064" t="str">
        <f>deflators_raw!F1</f>
        <v>investment_grants_deflator_growth_ann</v>
      </c>
      <c r="G1" s="1064">
        <f>deflators_raw!G1</f>
        <v>0</v>
      </c>
      <c r="H1" s="1064"/>
      <c r="I1" s="1064"/>
    </row>
    <row r="2" spans="1:9" x14ac:dyDescent="0.3">
      <c r="A2" s="1064" t="str">
        <f>deflators_raw!A2</f>
        <v>1970 Q1</v>
      </c>
      <c r="B2" s="1064">
        <f>deflators_raw!B2</f>
        <v>4.5079018442711401E-2</v>
      </c>
      <c r="C2" s="1064">
        <f>deflators_raw!C2</f>
        <v>5.3878515900577198E-2</v>
      </c>
      <c r="D2" s="1064">
        <f>deflators_raw!D2</f>
        <v>8.7669475195773797E-2</v>
      </c>
      <c r="E2" s="1064">
        <f>deflators_raw!E2</f>
        <v>8.2063006909154398E-2</v>
      </c>
      <c r="F2" s="1064">
        <f>deflators_raw!F2</f>
        <v>0.104421067414309</v>
      </c>
      <c r="G2" s="1064">
        <f>deflators_raw!G2</f>
        <v>0</v>
      </c>
    </row>
    <row r="3" spans="1:9" x14ac:dyDescent="0.3">
      <c r="A3" s="1064" t="str">
        <f>deflators_raw!A3</f>
        <v>1970 Q2</v>
      </c>
      <c r="B3" s="1064">
        <f>deflators_raw!B3</f>
        <v>4.5079018442711401E-2</v>
      </c>
      <c r="C3" s="1064">
        <f>deflators_raw!C3</f>
        <v>5.3878515900577198E-2</v>
      </c>
      <c r="D3" s="1064">
        <f>deflators_raw!D3</f>
        <v>8.7669475195773797E-2</v>
      </c>
      <c r="E3" s="1064">
        <f>deflators_raw!E3</f>
        <v>8.2063006909154398E-2</v>
      </c>
      <c r="F3" s="1064">
        <f>deflators_raw!F3</f>
        <v>0.104421067414309</v>
      </c>
      <c r="G3" s="1064">
        <f>deflators_raw!G3</f>
        <v>0</v>
      </c>
    </row>
    <row r="4" spans="1:9" x14ac:dyDescent="0.3">
      <c r="A4" s="1064" t="str">
        <f>deflators_raw!A4</f>
        <v>1970 Q3</v>
      </c>
      <c r="B4" s="1064">
        <f>deflators_raw!B4</f>
        <v>3.9419555818651898E-2</v>
      </c>
      <c r="C4" s="1064">
        <f>deflators_raw!C4</f>
        <v>6.9938689583740596E-2</v>
      </c>
      <c r="D4" s="1064">
        <f>deflators_raw!D4</f>
        <v>7.4285235367281197E-2</v>
      </c>
      <c r="E4" s="1064">
        <f>deflators_raw!E4</f>
        <v>7.2508506661211405E-2</v>
      </c>
      <c r="F4" s="1064">
        <f>deflators_raw!F4</f>
        <v>7.9737360467493398E-2</v>
      </c>
      <c r="G4" s="1064">
        <f>deflators_raw!G4</f>
        <v>0</v>
      </c>
    </row>
    <row r="5" spans="1:9" x14ac:dyDescent="0.3">
      <c r="A5" s="1064" t="str">
        <f>deflators_raw!A5</f>
        <v>1970 Q4</v>
      </c>
      <c r="B5" s="1064">
        <f>deflators_raw!B5</f>
        <v>5.2824828770235303E-2</v>
      </c>
      <c r="C5" s="1064">
        <f>deflators_raw!C5</f>
        <v>5.1823422551402501E-2</v>
      </c>
      <c r="D5" s="1064">
        <f>deflators_raw!D5</f>
        <v>7.7970827818693703E-2</v>
      </c>
      <c r="E5" s="1064">
        <f>deflators_raw!E5</f>
        <v>6.9052453854286294E-2</v>
      </c>
      <c r="F5" s="1064">
        <f>deflators_raw!F5</f>
        <v>0.10539397910227</v>
      </c>
      <c r="G5" s="1064">
        <f>deflators_raw!G5</f>
        <v>0</v>
      </c>
    </row>
    <row r="6" spans="1:9" x14ac:dyDescent="0.3">
      <c r="A6" s="1064" t="str">
        <f>deflators_raw!A6</f>
        <v>1971 Q1</v>
      </c>
      <c r="B6" s="1064">
        <f>deflators_raw!B6</f>
        <v>3.85286878692137E-2</v>
      </c>
      <c r="C6" s="1064">
        <f>deflators_raw!C6</f>
        <v>0.132788480581229</v>
      </c>
      <c r="D6" s="1064">
        <f>deflators_raw!D6</f>
        <v>9.3760823124779499E-2</v>
      </c>
      <c r="E6" s="1064">
        <f>deflators_raw!E6</f>
        <v>0.10231116414477499</v>
      </c>
      <c r="F6" s="1064">
        <f>deflators_raw!F6</f>
        <v>6.9175988166702701E-2</v>
      </c>
      <c r="G6" s="1064">
        <f>deflators_raw!G6</f>
        <v>0</v>
      </c>
    </row>
    <row r="7" spans="1:9" x14ac:dyDescent="0.3">
      <c r="A7" s="1064" t="str">
        <f>deflators_raw!A7</f>
        <v>1971 Q2</v>
      </c>
      <c r="B7" s="1064">
        <f>deflators_raw!B7</f>
        <v>4.6230845754161802E-2</v>
      </c>
      <c r="C7" s="1064">
        <f>deflators_raw!C7</f>
        <v>7.6806429060699302E-2</v>
      </c>
      <c r="D7" s="1064">
        <f>deflators_raw!D7</f>
        <v>7.4455751629846495E-2</v>
      </c>
      <c r="E7" s="1064">
        <f>deflators_raw!E7</f>
        <v>7.6908368677740299E-2</v>
      </c>
      <c r="F7" s="1064">
        <f>deflators_raw!F7</f>
        <v>6.5481053360561203E-2</v>
      </c>
      <c r="G7" s="1064">
        <f>deflators_raw!G7</f>
        <v>0</v>
      </c>
    </row>
    <row r="8" spans="1:9" x14ac:dyDescent="0.3">
      <c r="A8" s="1064" t="str">
        <f>deflators_raw!A8</f>
        <v>1971 Q3</v>
      </c>
      <c r="B8" s="1064">
        <f>deflators_raw!B8</f>
        <v>4.0000704948734103E-2</v>
      </c>
      <c r="C8" s="1064">
        <f>deflators_raw!C8</f>
        <v>5.9184461037305798E-2</v>
      </c>
      <c r="D8" s="1064">
        <f>deflators_raw!D8</f>
        <v>5.75589148550519E-2</v>
      </c>
      <c r="E8" s="1064">
        <f>deflators_raw!E8</f>
        <v>6.1773509542664397E-2</v>
      </c>
      <c r="F8" s="1064">
        <f>deflators_raw!F8</f>
        <v>4.4315280925248897E-2</v>
      </c>
      <c r="G8" s="1064">
        <f>deflators_raw!G8</f>
        <v>0</v>
      </c>
    </row>
    <row r="9" spans="1:9" x14ac:dyDescent="0.3">
      <c r="A9" s="1064" t="str">
        <f>deflators_raw!A9</f>
        <v>1971 Q4</v>
      </c>
      <c r="B9" s="1064">
        <f>deflators_raw!B9</f>
        <v>2.5035607973723999E-2</v>
      </c>
      <c r="C9" s="1064">
        <f>deflators_raw!C9</f>
        <v>8.3819893360376693E-2</v>
      </c>
      <c r="D9" s="1064">
        <f>deflators_raw!D9</f>
        <v>4.4288971780713303E-2</v>
      </c>
      <c r="E9" s="1064">
        <f>deflators_raw!E9</f>
        <v>3.6793688078589702E-2</v>
      </c>
      <c r="F9" s="1064">
        <f>deflators_raw!F9</f>
        <v>7.0854524877743894E-2</v>
      </c>
      <c r="G9" s="1064">
        <f>deflators_raw!G9</f>
        <v>0</v>
      </c>
    </row>
    <row r="10" spans="1:9" x14ac:dyDescent="0.3">
      <c r="A10" s="1064" t="str">
        <f>deflators_raw!A10</f>
        <v>1972 Q1</v>
      </c>
      <c r="B10" s="1064">
        <f>deflators_raw!B10</f>
        <v>4.2906681103859E-2</v>
      </c>
      <c r="C10" s="1064">
        <f>deflators_raw!C10</f>
        <v>0.175097239288524</v>
      </c>
      <c r="D10" s="1064">
        <f>deflators_raw!D10</f>
        <v>9.26129607439308E-2</v>
      </c>
      <c r="E10" s="1064">
        <f>deflators_raw!E10</f>
        <v>0.10446834522691199</v>
      </c>
      <c r="F10" s="1064">
        <f>deflators_raw!F10</f>
        <v>5.2157088254066501E-2</v>
      </c>
      <c r="G10" s="1064">
        <f>deflators_raw!G10</f>
        <v>0</v>
      </c>
    </row>
    <row r="11" spans="1:9" x14ac:dyDescent="0.3">
      <c r="A11" s="1064" t="str">
        <f>deflators_raw!A11</f>
        <v>1972 Q2</v>
      </c>
      <c r="B11" s="1064">
        <f>deflators_raw!B11</f>
        <v>2.3157030840978501E-2</v>
      </c>
      <c r="C11" s="1064">
        <f>deflators_raw!C11</f>
        <v>4.0963848741786497E-2</v>
      </c>
      <c r="D11" s="1064">
        <f>deflators_raw!D11</f>
        <v>4.8049614688522098E-2</v>
      </c>
      <c r="E11" s="1064">
        <f>deflators_raw!E11</f>
        <v>5.35423244430666E-2</v>
      </c>
      <c r="F11" s="1064">
        <f>deflators_raw!F11</f>
        <v>2.83404365976123E-2</v>
      </c>
      <c r="G11" s="1064">
        <f>deflators_raw!G11</f>
        <v>0</v>
      </c>
    </row>
    <row r="12" spans="1:9" x14ac:dyDescent="0.3">
      <c r="A12" s="1064" t="str">
        <f>deflators_raw!A12</f>
        <v>1972 Q3</v>
      </c>
      <c r="B12" s="1064">
        <f>deflators_raw!B12</f>
        <v>3.55986781186481E-2</v>
      </c>
      <c r="C12" s="1064">
        <f>deflators_raw!C12</f>
        <v>3.3186191278740597E-2</v>
      </c>
      <c r="D12" s="1064">
        <f>deflators_raw!D12</f>
        <v>6.2282208901687001E-2</v>
      </c>
      <c r="E12" s="1064">
        <f>deflators_raw!E12</f>
        <v>6.3703129067968198E-2</v>
      </c>
      <c r="F12" s="1064">
        <f>deflators_raw!F12</f>
        <v>5.6658506033298299E-2</v>
      </c>
      <c r="G12" s="1064">
        <f>deflators_raw!G12</f>
        <v>0</v>
      </c>
    </row>
    <row r="13" spans="1:9" x14ac:dyDescent="0.3">
      <c r="A13" s="1064" t="str">
        <f>deflators_raw!A13</f>
        <v>1972 Q4</v>
      </c>
      <c r="B13" s="1064">
        <f>deflators_raw!B13</f>
        <v>3.3109052200751603E-2</v>
      </c>
      <c r="C13" s="1064">
        <f>deflators_raw!C13</f>
        <v>8.9944620716435594E-2</v>
      </c>
      <c r="D13" s="1064">
        <f>deflators_raw!D13</f>
        <v>5.6197298009031102E-2</v>
      </c>
      <c r="E13" s="1064">
        <f>deflators_raw!E13</f>
        <v>5.0679215853917103E-2</v>
      </c>
      <c r="F13" s="1064">
        <f>deflators_raw!F13</f>
        <v>7.6848944278385095E-2</v>
      </c>
      <c r="G13" s="1064">
        <f>deflators_raw!G13</f>
        <v>0</v>
      </c>
    </row>
    <row r="14" spans="1:9" x14ac:dyDescent="0.3">
      <c r="A14" s="1064" t="str">
        <f>deflators_raw!A14</f>
        <v>1973 Q1</v>
      </c>
      <c r="B14" s="1064">
        <f>deflators_raw!B14</f>
        <v>4.91014015888558E-2</v>
      </c>
      <c r="C14" s="1064">
        <f>deflators_raw!C14</f>
        <v>6.5908483031781095E-2</v>
      </c>
      <c r="D14" s="1064">
        <f>deflators_raw!D14</f>
        <v>8.1146420382343501E-2</v>
      </c>
      <c r="E14" s="1064">
        <f>deflators_raw!E14</f>
        <v>8.1389738888574495E-2</v>
      </c>
      <c r="F14" s="1064">
        <f>deflators_raw!F14</f>
        <v>7.93845743471608E-2</v>
      </c>
      <c r="G14" s="1064">
        <f>deflators_raw!G14</f>
        <v>0</v>
      </c>
    </row>
    <row r="15" spans="1:9" x14ac:dyDescent="0.3">
      <c r="A15" s="1064" t="str">
        <f>deflators_raw!A15</f>
        <v>1973 Q2</v>
      </c>
      <c r="B15" s="1064">
        <f>deflators_raw!B15</f>
        <v>7.9177652454341899E-2</v>
      </c>
      <c r="C15" s="1064">
        <f>deflators_raw!C15</f>
        <v>7.1493559288280994E-2</v>
      </c>
      <c r="D15" s="1064">
        <f>deflators_raw!D15</f>
        <v>7.3002132438402506E-2</v>
      </c>
      <c r="E15" s="1064">
        <f>deflators_raw!E15</f>
        <v>6.9283063617710403E-2</v>
      </c>
      <c r="F15" s="1064">
        <f>deflators_raw!F15</f>
        <v>8.6922582910256702E-2</v>
      </c>
      <c r="G15" s="1064">
        <f>deflators_raw!G15</f>
        <v>0</v>
      </c>
    </row>
    <row r="16" spans="1:9" x14ac:dyDescent="0.3">
      <c r="A16" s="1064" t="str">
        <f>deflators_raw!A16</f>
        <v>1973 Q3</v>
      </c>
      <c r="B16" s="1064">
        <f>deflators_raw!B16</f>
        <v>7.4767520593947104E-2</v>
      </c>
      <c r="C16" s="1064">
        <f>deflators_raw!C16</f>
        <v>8.5362600720222198E-2</v>
      </c>
      <c r="D16" s="1064">
        <f>deflators_raw!D16</f>
        <v>5.48179115604608E-2</v>
      </c>
      <c r="E16" s="1064">
        <f>deflators_raw!E16</f>
        <v>4.7217464684975501E-2</v>
      </c>
      <c r="F16" s="1064">
        <f>deflators_raw!F16</f>
        <v>8.4062519785650797E-2</v>
      </c>
      <c r="G16" s="1064">
        <f>deflators_raw!G16</f>
        <v>0</v>
      </c>
    </row>
    <row r="17" spans="1:7" x14ac:dyDescent="0.3">
      <c r="A17" s="1064" t="str">
        <f>deflators_raw!A17</f>
        <v>1973 Q4</v>
      </c>
      <c r="B17" s="1064">
        <f>deflators_raw!B17</f>
        <v>8.4354048501589896E-2</v>
      </c>
      <c r="C17" s="1064">
        <f>deflators_raw!C17</f>
        <v>8.8313277531109999E-2</v>
      </c>
      <c r="D17" s="1064">
        <f>deflators_raw!D17</f>
        <v>7.8016517586817699E-2</v>
      </c>
      <c r="E17" s="1064">
        <f>deflators_raw!E17</f>
        <v>6.8825586736247696E-2</v>
      </c>
      <c r="F17" s="1064">
        <f>deflators_raw!F17</f>
        <v>0.111750672708145</v>
      </c>
      <c r="G17" s="1064">
        <f>deflators_raw!G17</f>
        <v>0</v>
      </c>
    </row>
    <row r="18" spans="1:7" x14ac:dyDescent="0.3">
      <c r="A18" s="1064" t="str">
        <f>deflators_raw!A18</f>
        <v>1974 Q1</v>
      </c>
      <c r="B18" s="1064">
        <f>deflators_raw!B18</f>
        <v>0.124536540877934</v>
      </c>
      <c r="C18" s="1064">
        <f>deflators_raw!C18</f>
        <v>4.1616768277239702E-2</v>
      </c>
      <c r="D18" s="1064">
        <f>deflators_raw!D18</f>
        <v>0.121191831225751</v>
      </c>
      <c r="E18" s="1064">
        <f>deflators_raw!E18</f>
        <v>0.100709384145876</v>
      </c>
      <c r="F18" s="1064">
        <f>deflators_raw!F18</f>
        <v>0.19875533747763099</v>
      </c>
      <c r="G18" s="1064">
        <f>deflators_raw!G18</f>
        <v>0</v>
      </c>
    </row>
    <row r="19" spans="1:7" x14ac:dyDescent="0.3">
      <c r="A19" s="1064" t="str">
        <f>deflators_raw!A19</f>
        <v>1974 Q2</v>
      </c>
      <c r="B19" s="1064">
        <f>deflators_raw!B19</f>
        <v>0.118186339709689</v>
      </c>
      <c r="C19" s="1064">
        <f>deflators_raw!C19</f>
        <v>7.4336480554695494E-2</v>
      </c>
      <c r="D19" s="1064">
        <f>deflators_raw!D19</f>
        <v>0.14658250041933499</v>
      </c>
      <c r="E19" s="1064">
        <f>deflators_raw!E19</f>
        <v>0.111980004946894</v>
      </c>
      <c r="F19" s="1064">
        <f>deflators_raw!F19</f>
        <v>0.27614966476000502</v>
      </c>
      <c r="G19" s="1064">
        <f>deflators_raw!G19</f>
        <v>0</v>
      </c>
    </row>
    <row r="20" spans="1:7" x14ac:dyDescent="0.3">
      <c r="A20" s="1064" t="str">
        <f>deflators_raw!A20</f>
        <v>1974 Q3</v>
      </c>
      <c r="B20" s="1064">
        <f>deflators_raw!B20</f>
        <v>0.112285409166716</v>
      </c>
      <c r="C20" s="1064">
        <f>deflators_raw!C20</f>
        <v>0.121923532437656</v>
      </c>
      <c r="D20" s="1064">
        <f>deflators_raw!D20</f>
        <v>0.154128633937411</v>
      </c>
      <c r="E20" s="1064">
        <f>deflators_raw!E20</f>
        <v>0.119951580753957</v>
      </c>
      <c r="F20" s="1064">
        <f>deflators_raw!F20</f>
        <v>0.28126959643585903</v>
      </c>
      <c r="G20" s="1064">
        <f>deflators_raw!G20</f>
        <v>0</v>
      </c>
    </row>
    <row r="21" spans="1:7" x14ac:dyDescent="0.3">
      <c r="A21" s="1064" t="str">
        <f>deflators_raw!A21</f>
        <v>1974 Q4</v>
      </c>
      <c r="B21" s="1064">
        <f>deflators_raw!B21</f>
        <v>0.10564888426900799</v>
      </c>
      <c r="C21" s="1064">
        <f>deflators_raw!C21</f>
        <v>0.139689749601554</v>
      </c>
      <c r="D21" s="1064">
        <f>deflators_raw!D21</f>
        <v>0.12293988936914101</v>
      </c>
      <c r="E21" s="1064">
        <f>deflators_raw!E21</f>
        <v>0.10861792322335199</v>
      </c>
      <c r="F21" s="1064">
        <f>deflators_raw!F21</f>
        <v>0.17691984955710299</v>
      </c>
      <c r="G21" s="1064">
        <f>deflators_raw!G21</f>
        <v>0</v>
      </c>
    </row>
    <row r="22" spans="1:7" x14ac:dyDescent="0.3">
      <c r="A22" s="1064" t="str">
        <f>deflators_raw!A22</f>
        <v>1975 Q1</v>
      </c>
      <c r="B22" s="1064">
        <f>deflators_raw!B22</f>
        <v>7.7418031911128199E-2</v>
      </c>
      <c r="C22" s="1064">
        <f>deflators_raw!C22</f>
        <v>7.47377264200315E-2</v>
      </c>
      <c r="D22" s="1064">
        <f>deflators_raw!D22</f>
        <v>8.2897074604326895E-2</v>
      </c>
      <c r="E22" s="1064">
        <f>deflators_raw!E22</f>
        <v>8.2414004288707196E-2</v>
      </c>
      <c r="F22" s="1064">
        <f>deflators_raw!F22</f>
        <v>8.77241949354641E-2</v>
      </c>
      <c r="G22" s="1064">
        <f>deflators_raw!G22</f>
        <v>0</v>
      </c>
    </row>
    <row r="23" spans="1:7" x14ac:dyDescent="0.3">
      <c r="A23" s="1064" t="str">
        <f>deflators_raw!A23</f>
        <v>1975 Q2</v>
      </c>
      <c r="B23" s="1064">
        <f>deflators_raw!B23</f>
        <v>5.00188837807687E-2</v>
      </c>
      <c r="C23" s="1064">
        <f>deflators_raw!C23</f>
        <v>5.9076854521070303E-2</v>
      </c>
      <c r="D23" s="1064">
        <f>deflators_raw!D23</f>
        <v>8.1628736402345095E-2</v>
      </c>
      <c r="E23" s="1064">
        <f>deflators_raw!E23</f>
        <v>9.99907756879512E-2</v>
      </c>
      <c r="F23" s="1064">
        <f>deflators_raw!F23</f>
        <v>1.9938623083631101E-2</v>
      </c>
      <c r="G23" s="1064">
        <f>deflators_raw!G23</f>
        <v>0</v>
      </c>
    </row>
    <row r="24" spans="1:7" x14ac:dyDescent="0.3">
      <c r="A24" s="1064" t="str">
        <f>deflators_raw!A24</f>
        <v>1975 Q3</v>
      </c>
      <c r="B24" s="1064">
        <f>deflators_raw!B24</f>
        <v>7.6956317974106001E-2</v>
      </c>
      <c r="C24" s="1064">
        <f>deflators_raw!C24</f>
        <v>5.5091330920863602E-2</v>
      </c>
      <c r="D24" s="1064">
        <f>deflators_raw!D24</f>
        <v>5.2088066977946899E-2</v>
      </c>
      <c r="E24" s="1064">
        <f>deflators_raw!E24</f>
        <v>6.2847909413525901E-2</v>
      </c>
      <c r="F24" s="1064">
        <f>deflators_raw!F24</f>
        <v>1.2710174962932599E-2</v>
      </c>
      <c r="G24" s="1064">
        <f>deflators_raw!G24</f>
        <v>0</v>
      </c>
    </row>
    <row r="25" spans="1:7" x14ac:dyDescent="0.3">
      <c r="A25" s="1064" t="str">
        <f>deflators_raw!A25</f>
        <v>1975 Q4</v>
      </c>
      <c r="B25" s="1064">
        <f>deflators_raw!B25</f>
        <v>6.8882772668885706E-2</v>
      </c>
      <c r="C25" s="1064">
        <f>deflators_raw!C25</f>
        <v>9.5097426388938394E-2</v>
      </c>
      <c r="D25" s="1064">
        <f>deflators_raw!D25</f>
        <v>5.2203706076527197E-2</v>
      </c>
      <c r="E25" s="1064">
        <f>deflators_raw!E25</f>
        <v>5.9557775023163499E-2</v>
      </c>
      <c r="F25" s="1064">
        <f>deflators_raw!F25</f>
        <v>2.4583979224767301E-2</v>
      </c>
      <c r="G25" s="1064">
        <f>deflators_raw!G25</f>
        <v>0</v>
      </c>
    </row>
    <row r="26" spans="1:7" x14ac:dyDescent="0.3">
      <c r="A26" s="1064" t="str">
        <f>deflators_raw!A26</f>
        <v>1976 Q1</v>
      </c>
      <c r="B26" s="1064">
        <f>deflators_raw!B26</f>
        <v>4.46796784787249E-2</v>
      </c>
      <c r="C26" s="1064">
        <f>deflators_raw!C26</f>
        <v>5.9702158874865199E-2</v>
      </c>
      <c r="D26" s="1064">
        <f>deflators_raw!D26</f>
        <v>4.59237991295069E-2</v>
      </c>
      <c r="E26" s="1064">
        <f>deflators_raw!E26</f>
        <v>5.3094918319799497E-2</v>
      </c>
      <c r="F26" s="1064">
        <f>deflators_raw!F26</f>
        <v>1.9800669277978002E-2</v>
      </c>
      <c r="G26" s="1064">
        <f>deflators_raw!G26</f>
        <v>0</v>
      </c>
    </row>
    <row r="27" spans="1:7" x14ac:dyDescent="0.3">
      <c r="A27" s="1064" t="str">
        <f>deflators_raw!A27</f>
        <v>1976 Q2</v>
      </c>
      <c r="B27" s="1064">
        <f>deflators_raw!B27</f>
        <v>3.3979822161052303E-2</v>
      </c>
      <c r="C27" s="1064">
        <f>deflators_raw!C27</f>
        <v>3.3961135638896502E-2</v>
      </c>
      <c r="D27" s="1064">
        <f>deflators_raw!D27</f>
        <v>4.9414114166727703E-2</v>
      </c>
      <c r="E27" s="1064">
        <f>deflators_raw!E27</f>
        <v>5.3215140717762302E-2</v>
      </c>
      <c r="F27" s="1064">
        <f>deflators_raw!F27</f>
        <v>3.4743180507705002E-2</v>
      </c>
      <c r="G27" s="1064">
        <f>deflators_raw!G27</f>
        <v>0</v>
      </c>
    </row>
    <row r="28" spans="1:7" x14ac:dyDescent="0.3">
      <c r="A28" s="1064" t="str">
        <f>deflators_raw!A28</f>
        <v>1976 Q3</v>
      </c>
      <c r="B28" s="1064">
        <f>deflators_raw!B28</f>
        <v>6.2157602764701697E-2</v>
      </c>
      <c r="C28" s="1064">
        <f>deflators_raw!C28</f>
        <v>4.6572413553721298E-2</v>
      </c>
      <c r="D28" s="1064">
        <f>deflators_raw!D28</f>
        <v>3.0046072001909799E-2</v>
      </c>
      <c r="E28" s="1064">
        <f>deflators_raw!E28</f>
        <v>3.5515485276211803E-2</v>
      </c>
      <c r="F28" s="1064">
        <f>deflators_raw!F28</f>
        <v>8.7412684077270396E-3</v>
      </c>
      <c r="G28" s="1064">
        <f>deflators_raw!G28</f>
        <v>0</v>
      </c>
    </row>
    <row r="29" spans="1:7" x14ac:dyDescent="0.3">
      <c r="A29" s="1064" t="str">
        <f>deflators_raw!A29</f>
        <v>1976 Q4</v>
      </c>
      <c r="B29" s="1064">
        <f>deflators_raw!B29</f>
        <v>6.4679796349943294E-2</v>
      </c>
      <c r="C29" s="1064">
        <f>deflators_raw!C29</f>
        <v>0.11140543202132699</v>
      </c>
      <c r="D29" s="1064">
        <f>deflators_raw!D29</f>
        <v>4.8632403600481003E-2</v>
      </c>
      <c r="E29" s="1064">
        <f>deflators_raw!E29</f>
        <v>5.3847641567893498E-2</v>
      </c>
      <c r="F29" s="1064">
        <f>deflators_raw!F29</f>
        <v>2.7482019859727602E-2</v>
      </c>
      <c r="G29" s="1064">
        <f>deflators_raw!G29</f>
        <v>0</v>
      </c>
    </row>
    <row r="30" spans="1:7" x14ac:dyDescent="0.3">
      <c r="A30" s="1064" t="str">
        <f>deflators_raw!A30</f>
        <v>1977 Q1</v>
      </c>
      <c r="B30" s="1064">
        <f>deflators_raw!B30</f>
        <v>7.4088172350420103E-2</v>
      </c>
      <c r="C30" s="1064">
        <f>deflators_raw!C30</f>
        <v>5.7739458159661701E-2</v>
      </c>
      <c r="D30" s="1064">
        <f>deflators_raw!D30</f>
        <v>7.7620410648789898E-2</v>
      </c>
      <c r="E30" s="1064">
        <f>deflators_raw!E30</f>
        <v>8.3796072481744796E-2</v>
      </c>
      <c r="F30" s="1064">
        <f>deflators_raw!F30</f>
        <v>5.2825931688943499E-2</v>
      </c>
      <c r="G30" s="1064">
        <f>deflators_raw!G30</f>
        <v>0</v>
      </c>
    </row>
    <row r="31" spans="1:7" x14ac:dyDescent="0.3">
      <c r="A31" s="1064" t="str">
        <f>deflators_raw!A31</f>
        <v>1977 Q2</v>
      </c>
      <c r="B31" s="1064">
        <f>deflators_raw!B31</f>
        <v>7.0308632461715301E-2</v>
      </c>
      <c r="C31" s="1064">
        <f>deflators_raw!C31</f>
        <v>4.6296846180206901E-2</v>
      </c>
      <c r="D31" s="1064">
        <f>deflators_raw!D31</f>
        <v>7.3549798211318906E-2</v>
      </c>
      <c r="E31" s="1064">
        <f>deflators_raw!E31</f>
        <v>8.1880476726010801E-2</v>
      </c>
      <c r="F31" s="1064">
        <f>deflators_raw!F31</f>
        <v>4.0048809702137603E-2</v>
      </c>
      <c r="G31" s="1064">
        <f>deflators_raw!G31</f>
        <v>0</v>
      </c>
    </row>
    <row r="32" spans="1:7" x14ac:dyDescent="0.3">
      <c r="A32" s="1064" t="str">
        <f>deflators_raw!A32</f>
        <v>1977 Q3</v>
      </c>
      <c r="B32" s="1064">
        <f>deflators_raw!B32</f>
        <v>6.1553542794543503E-2</v>
      </c>
      <c r="C32" s="1064">
        <f>deflators_raw!C32</f>
        <v>1.98663105662467E-2</v>
      </c>
      <c r="D32" s="1064">
        <f>deflators_raw!D32</f>
        <v>6.9862554007581706E-2</v>
      </c>
      <c r="E32" s="1064">
        <f>deflators_raw!E32</f>
        <v>7.3501873886998997E-2</v>
      </c>
      <c r="F32" s="1064">
        <f>deflators_raw!F32</f>
        <v>5.4874269706492597E-2</v>
      </c>
      <c r="G32" s="1064">
        <f>deflators_raw!G32</f>
        <v>0</v>
      </c>
    </row>
    <row r="33" spans="1:7" x14ac:dyDescent="0.3">
      <c r="A33" s="1064" t="str">
        <f>deflators_raw!A33</f>
        <v>1977 Q4</v>
      </c>
      <c r="B33" s="1064">
        <f>deflators_raw!B33</f>
        <v>5.8025197908700303E-2</v>
      </c>
      <c r="C33" s="1064">
        <f>deflators_raw!C33</f>
        <v>0.12112082718011299</v>
      </c>
      <c r="D33" s="1064">
        <f>deflators_raw!D33</f>
        <v>6.91983732744961E-2</v>
      </c>
      <c r="E33" s="1064">
        <f>deflators_raw!E33</f>
        <v>7.5383891455237398E-2</v>
      </c>
      <c r="F33" s="1064">
        <f>deflators_raw!F33</f>
        <v>4.34111575180351E-2</v>
      </c>
      <c r="G33" s="1064">
        <f>deflators_raw!G33</f>
        <v>0</v>
      </c>
    </row>
    <row r="34" spans="1:7" x14ac:dyDescent="0.3">
      <c r="A34" s="1064" t="str">
        <f>deflators_raw!A34</f>
        <v>1978 Q1</v>
      </c>
      <c r="B34" s="1064">
        <f>deflators_raw!B34</f>
        <v>6.7326294927223501E-2</v>
      </c>
      <c r="C34" s="1064">
        <f>deflators_raw!C34</f>
        <v>4.65097292728067E-2</v>
      </c>
      <c r="D34" s="1064">
        <f>deflators_raw!D34</f>
        <v>5.7725598689889503E-2</v>
      </c>
      <c r="E34" s="1064">
        <f>deflators_raw!E34</f>
        <v>5.9424238450433299E-2</v>
      </c>
      <c r="F34" s="1064">
        <f>deflators_raw!F34</f>
        <v>5.0510789433123801E-2</v>
      </c>
      <c r="G34" s="1064">
        <f>deflators_raw!G34</f>
        <v>0</v>
      </c>
    </row>
    <row r="35" spans="1:7" x14ac:dyDescent="0.3">
      <c r="A35" s="1064" t="str">
        <f>deflators_raw!A35</f>
        <v>1978 Q2</v>
      </c>
      <c r="B35" s="1064">
        <f>deflators_raw!B35</f>
        <v>8.4675701203493298E-2</v>
      </c>
      <c r="C35" s="1064">
        <f>deflators_raw!C35</f>
        <v>8.09066486989478E-2</v>
      </c>
      <c r="D35" s="1064">
        <f>deflators_raw!D35</f>
        <v>6.8432547938236193E-2</v>
      </c>
      <c r="E35" s="1064">
        <f>deflators_raw!E35</f>
        <v>6.5619276167123694E-2</v>
      </c>
      <c r="F35" s="1064">
        <f>deflators_raw!F35</f>
        <v>8.0997725857898203E-2</v>
      </c>
      <c r="G35" s="1064">
        <f>deflators_raw!G35</f>
        <v>0</v>
      </c>
    </row>
    <row r="36" spans="1:7" x14ac:dyDescent="0.3">
      <c r="A36" s="1064" t="str">
        <f>deflators_raw!A36</f>
        <v>1978 Q3</v>
      </c>
      <c r="B36" s="1064">
        <f>deflators_raw!B36</f>
        <v>7.2050406034996906E-2</v>
      </c>
      <c r="C36" s="1064">
        <f>deflators_raw!C36</f>
        <v>6.8549166168664605E-2</v>
      </c>
      <c r="D36" s="1064">
        <f>deflators_raw!D36</f>
        <v>6.2366553260047697E-2</v>
      </c>
      <c r="E36" s="1064">
        <f>deflators_raw!E36</f>
        <v>5.8500992246239197E-2</v>
      </c>
      <c r="F36" s="1064">
        <f>deflators_raw!F36</f>
        <v>7.8709215306017405E-2</v>
      </c>
      <c r="G36" s="1064">
        <f>deflators_raw!G36</f>
        <v>0</v>
      </c>
    </row>
    <row r="37" spans="1:7" x14ac:dyDescent="0.3">
      <c r="A37" s="1064" t="str">
        <f>deflators_raw!A37</f>
        <v>1978 Q4</v>
      </c>
      <c r="B37" s="1064">
        <f>deflators_raw!B37</f>
        <v>7.7759817693589403E-2</v>
      </c>
      <c r="C37" s="1064">
        <f>deflators_raw!C37</f>
        <v>7.0826828171957498E-2</v>
      </c>
      <c r="D37" s="1064">
        <f>deflators_raw!D37</f>
        <v>5.8580868291317999E-2</v>
      </c>
      <c r="E37" s="1064">
        <f>deflators_raw!E37</f>
        <v>5.4682260590980698E-2</v>
      </c>
      <c r="F37" s="1064">
        <f>deflators_raw!F37</f>
        <v>7.3455131593814296E-2</v>
      </c>
      <c r="G37" s="1064">
        <f>deflators_raw!G37</f>
        <v>0</v>
      </c>
    </row>
    <row r="38" spans="1:7" x14ac:dyDescent="0.3">
      <c r="A38" s="1064" t="str">
        <f>deflators_raw!A38</f>
        <v>1979 Q1</v>
      </c>
      <c r="B38" s="1064">
        <f>deflators_raw!B38</f>
        <v>7.7602845525897898E-2</v>
      </c>
      <c r="C38" s="1064">
        <f>deflators_raw!C38</f>
        <v>7.5755853629737399E-2</v>
      </c>
      <c r="D38" s="1064">
        <f>deflators_raw!D38</f>
        <v>9.8601495376907003E-2</v>
      </c>
      <c r="E38" s="1064">
        <f>deflators_raw!E38</f>
        <v>0.101819091447914</v>
      </c>
      <c r="F38" s="1064">
        <f>deflators_raw!F38</f>
        <v>8.5137769356933707E-2</v>
      </c>
      <c r="G38" s="1064">
        <f>deflators_raw!G38</f>
        <v>0</v>
      </c>
    </row>
    <row r="39" spans="1:7" x14ac:dyDescent="0.3">
      <c r="A39" s="1064" t="str">
        <f>deflators_raw!A39</f>
        <v>1979 Q2</v>
      </c>
      <c r="B39" s="1064">
        <f>deflators_raw!B39</f>
        <v>0.113838252689951</v>
      </c>
      <c r="C39" s="1064">
        <f>deflators_raw!C39</f>
        <v>6.1815502695247999E-2</v>
      </c>
      <c r="D39" s="1064">
        <f>deflators_raw!D39</f>
        <v>9.47529302659431E-2</v>
      </c>
      <c r="E39" s="1064">
        <f>deflators_raw!E39</f>
        <v>9.0287471336475605E-2</v>
      </c>
      <c r="F39" s="1064">
        <f>deflators_raw!F39</f>
        <v>0.11311171886032199</v>
      </c>
      <c r="G39" s="1064">
        <f>deflators_raw!G39</f>
        <v>0</v>
      </c>
    </row>
    <row r="40" spans="1:7" x14ac:dyDescent="0.3">
      <c r="A40" s="1064" t="str">
        <f>deflators_raw!A40</f>
        <v>1979 Q3</v>
      </c>
      <c r="B40" s="1064">
        <f>deflators_raw!B40</f>
        <v>0.10293672514128201</v>
      </c>
      <c r="C40" s="1064">
        <f>deflators_raw!C40</f>
        <v>9.6664179784869297E-2</v>
      </c>
      <c r="D40" s="1064">
        <f>deflators_raw!D40</f>
        <v>0.14258875004429</v>
      </c>
      <c r="E40" s="1064">
        <f>deflators_raw!E40</f>
        <v>0.148038402658868</v>
      </c>
      <c r="F40" s="1064">
        <f>deflators_raw!F40</f>
        <v>0.121960082107911</v>
      </c>
      <c r="G40" s="1064">
        <f>deflators_raw!G40</f>
        <v>0</v>
      </c>
    </row>
    <row r="41" spans="1:7" x14ac:dyDescent="0.3">
      <c r="A41" s="1064" t="str">
        <f>deflators_raw!A41</f>
        <v>1979 Q4</v>
      </c>
      <c r="B41" s="1064">
        <f>deflators_raw!B41</f>
        <v>0.100470180706661</v>
      </c>
      <c r="C41" s="1064">
        <f>deflators_raw!C41</f>
        <v>9.1027084037313494E-2</v>
      </c>
      <c r="D41" s="1064">
        <f>deflators_raw!D41</f>
        <v>8.0488191904446393E-2</v>
      </c>
      <c r="E41" s="1064">
        <f>deflators_raw!E41</f>
        <v>7.0641984000731503E-2</v>
      </c>
      <c r="F41" s="1064">
        <f>deflators_raw!F41</f>
        <v>0.118355060703055</v>
      </c>
      <c r="G41" s="1064">
        <f>deflators_raw!G41</f>
        <v>0</v>
      </c>
    </row>
    <row r="42" spans="1:7" x14ac:dyDescent="0.3">
      <c r="A42" s="1064" t="str">
        <f>deflators_raw!A42</f>
        <v>1980 Q1</v>
      </c>
      <c r="B42" s="1064">
        <f>deflators_raw!B42</f>
        <v>0.12552467874009099</v>
      </c>
      <c r="C42" s="1064">
        <f>deflators_raw!C42</f>
        <v>8.1451601423466094E-2</v>
      </c>
      <c r="D42" s="1064">
        <f>deflators_raw!D42</f>
        <v>0.10825796539608799</v>
      </c>
      <c r="E42" s="1064">
        <f>deflators_raw!E42</f>
        <v>0.106909632651843</v>
      </c>
      <c r="F42" s="1064">
        <f>deflators_raw!F42</f>
        <v>0.113864763230328</v>
      </c>
      <c r="G42" s="1064">
        <f>deflators_raw!G42</f>
        <v>0</v>
      </c>
    </row>
    <row r="43" spans="1:7" x14ac:dyDescent="0.3">
      <c r="A43" s="1064" t="str">
        <f>deflators_raw!A43</f>
        <v>1980 Q2</v>
      </c>
      <c r="B43" s="1064">
        <f>deflators_raw!B43</f>
        <v>0.101539889707692</v>
      </c>
      <c r="C43" s="1064">
        <f>deflators_raw!C43</f>
        <v>0.163874229132176</v>
      </c>
      <c r="D43" s="1064">
        <f>deflators_raw!D43</f>
        <v>0.11440208439959799</v>
      </c>
      <c r="E43" s="1064">
        <f>deflators_raw!E43</f>
        <v>0.11299973225785501</v>
      </c>
      <c r="F43" s="1064">
        <f>deflators_raw!F43</f>
        <v>0.119816075191493</v>
      </c>
      <c r="G43" s="1064">
        <f>deflators_raw!G43</f>
        <v>0</v>
      </c>
    </row>
    <row r="44" spans="1:7" x14ac:dyDescent="0.3">
      <c r="A44" s="1064" t="str">
        <f>deflators_raw!A44</f>
        <v>1980 Q3</v>
      </c>
      <c r="B44" s="1064">
        <f>deflators_raw!B44</f>
        <v>9.6919062654431398E-2</v>
      </c>
      <c r="C44" s="1064">
        <f>deflators_raw!C44</f>
        <v>4.1150587007602997E-2</v>
      </c>
      <c r="D44" s="1064">
        <f>deflators_raw!D44</f>
        <v>0.12045272884710399</v>
      </c>
      <c r="E44" s="1064">
        <f>deflators_raw!E44</f>
        <v>0.115930396885483</v>
      </c>
      <c r="F44" s="1064">
        <f>deflators_raw!F44</f>
        <v>0.138106666956619</v>
      </c>
      <c r="G44" s="1064">
        <f>deflators_raw!G44</f>
        <v>0</v>
      </c>
    </row>
    <row r="45" spans="1:7" x14ac:dyDescent="0.3">
      <c r="A45" s="1064" t="str">
        <f>deflators_raw!A45</f>
        <v>1980 Q4</v>
      </c>
      <c r="B45" s="1064">
        <f>deflators_raw!B45</f>
        <v>0.102667735598145</v>
      </c>
      <c r="C45" s="1064">
        <f>deflators_raw!C45</f>
        <v>0.12591483160208999</v>
      </c>
      <c r="D45" s="1064">
        <f>deflators_raw!D45</f>
        <v>0.11337694020575299</v>
      </c>
      <c r="E45" s="1064">
        <f>deflators_raw!E45</f>
        <v>0.11071312036879399</v>
      </c>
      <c r="F45" s="1064">
        <f>deflators_raw!F45</f>
        <v>0.12373918134004901</v>
      </c>
      <c r="G45" s="1064">
        <f>deflators_raw!G45</f>
        <v>0</v>
      </c>
    </row>
    <row r="46" spans="1:7" x14ac:dyDescent="0.3">
      <c r="A46" s="1064" t="str">
        <f>deflators_raw!A46</f>
        <v>1981 Q1</v>
      </c>
      <c r="B46" s="1064">
        <f>deflators_raw!B46</f>
        <v>0.107873886984393</v>
      </c>
      <c r="C46" s="1064">
        <f>deflators_raw!C46</f>
        <v>8.2350511297398302E-2</v>
      </c>
      <c r="D46" s="1064">
        <f>deflators_raw!D46</f>
        <v>0.13658484301142401</v>
      </c>
      <c r="E46" s="1064">
        <f>deflators_raw!E46</f>
        <v>0.14097064786198199</v>
      </c>
      <c r="F46" s="1064">
        <f>deflators_raw!F46</f>
        <v>0.118188584098933</v>
      </c>
      <c r="G46" s="1064">
        <f>deflators_raw!G46</f>
        <v>0</v>
      </c>
    </row>
    <row r="47" spans="1:7" x14ac:dyDescent="0.3">
      <c r="A47" s="1064" t="str">
        <f>deflators_raw!A47</f>
        <v>1981 Q2</v>
      </c>
      <c r="B47" s="1064">
        <f>deflators_raw!B47</f>
        <v>6.8864078536554199E-2</v>
      </c>
      <c r="C47" s="1064">
        <f>deflators_raw!C47</f>
        <v>9.6264819656522296E-2</v>
      </c>
      <c r="D47" s="1064">
        <f>deflators_raw!D47</f>
        <v>8.8878907174233704E-2</v>
      </c>
      <c r="E47" s="1064">
        <f>deflators_raw!E47</f>
        <v>8.6310442735713797E-2</v>
      </c>
      <c r="F47" s="1064">
        <f>deflators_raw!F47</f>
        <v>9.9129163647753094E-2</v>
      </c>
      <c r="G47" s="1064">
        <f>deflators_raw!G47</f>
        <v>0</v>
      </c>
    </row>
    <row r="48" spans="1:7" x14ac:dyDescent="0.3">
      <c r="A48" s="1064" t="str">
        <f>deflators_raw!A48</f>
        <v>1981 Q3</v>
      </c>
      <c r="B48" s="1064">
        <f>deflators_raw!B48</f>
        <v>6.7510216956085903E-2</v>
      </c>
      <c r="C48" s="1064">
        <f>deflators_raw!C48</f>
        <v>9.0754628296435505E-2</v>
      </c>
      <c r="D48" s="1064">
        <f>deflators_raw!D48</f>
        <v>5.5467923054221401E-2</v>
      </c>
      <c r="E48" s="1064">
        <f>deflators_raw!E48</f>
        <v>4.8692861535788202E-2</v>
      </c>
      <c r="F48" s="1064">
        <f>deflators_raw!F48</f>
        <v>8.4524586959714404E-2</v>
      </c>
      <c r="G48" s="1064">
        <f>deflators_raw!G48</f>
        <v>0</v>
      </c>
    </row>
    <row r="49" spans="1:7" x14ac:dyDescent="0.3">
      <c r="A49" s="1064" t="str">
        <f>deflators_raw!A49</f>
        <v>1981 Q4</v>
      </c>
      <c r="B49" s="1064">
        <f>deflators_raw!B49</f>
        <v>6.2684205945477106E-2</v>
      </c>
      <c r="C49" s="1064">
        <f>deflators_raw!C49</f>
        <v>7.8781408158281802E-2</v>
      </c>
      <c r="D49" s="1064">
        <f>deflators_raw!D49</f>
        <v>6.4687993890459206E-2</v>
      </c>
      <c r="E49" s="1064">
        <f>deflators_raw!E49</f>
        <v>6.2752816594642893E-2</v>
      </c>
      <c r="F49" s="1064">
        <f>deflators_raw!F49</f>
        <v>7.3171075998094998E-2</v>
      </c>
      <c r="G49" s="1064">
        <f>deflators_raw!G49</f>
        <v>0</v>
      </c>
    </row>
    <row r="50" spans="1:7" x14ac:dyDescent="0.3">
      <c r="A50" s="1064" t="str">
        <f>deflators_raw!A50</f>
        <v>1982 Q1</v>
      </c>
      <c r="B50" s="1064">
        <f>deflators_raw!B50</f>
        <v>5.1825632418063497E-2</v>
      </c>
      <c r="C50" s="1064">
        <f>deflators_raw!C50</f>
        <v>6.5520529029189395E-2</v>
      </c>
      <c r="D50" s="1064">
        <f>deflators_raw!D50</f>
        <v>6.9087208011217496E-2</v>
      </c>
      <c r="E50" s="1064">
        <f>deflators_raw!E50</f>
        <v>7.2002334651775995E-2</v>
      </c>
      <c r="F50" s="1064">
        <f>deflators_raw!F50</f>
        <v>5.7261419360111997E-2</v>
      </c>
      <c r="G50" s="1064">
        <f>deflators_raw!G50</f>
        <v>0</v>
      </c>
    </row>
    <row r="51" spans="1:7" x14ac:dyDescent="0.3">
      <c r="A51" s="1064" t="str">
        <f>deflators_raw!A51</f>
        <v>1982 Q2</v>
      </c>
      <c r="B51" s="1064">
        <f>deflators_raw!B51</f>
        <v>3.9076838958162399E-2</v>
      </c>
      <c r="C51" s="1064">
        <f>deflators_raw!C51</f>
        <v>8.1541548822787496E-2</v>
      </c>
      <c r="D51" s="1064">
        <f>deflators_raw!D51</f>
        <v>6.5851263986817399E-2</v>
      </c>
      <c r="E51" s="1064">
        <f>deflators_raw!E51</f>
        <v>6.5317850608274997E-2</v>
      </c>
      <c r="F51" s="1064">
        <f>deflators_raw!F51</f>
        <v>6.8572049720328196E-2</v>
      </c>
      <c r="G51" s="1064">
        <f>deflators_raw!G51</f>
        <v>0</v>
      </c>
    </row>
    <row r="52" spans="1:7" x14ac:dyDescent="0.3">
      <c r="A52" s="1064" t="str">
        <f>deflators_raw!A52</f>
        <v>1982 Q3</v>
      </c>
      <c r="B52" s="1064">
        <f>deflators_raw!B52</f>
        <v>6.4698202701339205E-2</v>
      </c>
      <c r="C52" s="1064">
        <f>deflators_raw!C52</f>
        <v>3.4072636599968002E-2</v>
      </c>
      <c r="D52" s="1064">
        <f>deflators_raw!D52</f>
        <v>6.4308025569593405E-2</v>
      </c>
      <c r="E52" s="1064">
        <f>deflators_raw!E52</f>
        <v>6.8068638365729198E-2</v>
      </c>
      <c r="F52" s="1064">
        <f>deflators_raw!F52</f>
        <v>4.8078704643683703E-2</v>
      </c>
      <c r="G52" s="1064">
        <f>deflators_raw!G52</f>
        <v>0</v>
      </c>
    </row>
    <row r="53" spans="1:7" x14ac:dyDescent="0.3">
      <c r="A53" s="1064" t="str">
        <f>deflators_raw!A53</f>
        <v>1982 Q4</v>
      </c>
      <c r="B53" s="1064">
        <f>deflators_raw!B53</f>
        <v>4.4829664945906803E-2</v>
      </c>
      <c r="C53" s="1064">
        <f>deflators_raw!C53</f>
        <v>4.8009313734526098E-2</v>
      </c>
      <c r="D53" s="1064">
        <f>deflators_raw!D53</f>
        <v>5.1841026846361597E-2</v>
      </c>
      <c r="E53" s="1064">
        <f>deflators_raw!E53</f>
        <v>6.1455443169872802E-2</v>
      </c>
      <c r="F53" s="1064">
        <f>deflators_raw!F53</f>
        <v>1.01606507354322E-2</v>
      </c>
      <c r="G53" s="1064">
        <f>deflators_raw!G53</f>
        <v>0</v>
      </c>
    </row>
    <row r="54" spans="1:7" x14ac:dyDescent="0.3">
      <c r="A54" s="1064" t="str">
        <f>deflators_raw!A54</f>
        <v>1983 Q1</v>
      </c>
      <c r="B54" s="1064">
        <f>deflators_raw!B54</f>
        <v>3.3496613159939903E-2</v>
      </c>
      <c r="C54" s="1064">
        <f>deflators_raw!C54</f>
        <v>7.5539459294806698E-3</v>
      </c>
      <c r="D54" s="1064">
        <f>deflators_raw!D54</f>
        <v>2.90743764899275E-2</v>
      </c>
      <c r="E54" s="1064">
        <f>deflators_raw!E54</f>
        <v>3.4722196261408399E-2</v>
      </c>
      <c r="F54" s="1064">
        <f>deflators_raw!F54</f>
        <v>3.7479666516224701E-3</v>
      </c>
      <c r="G54" s="1064">
        <f>deflators_raw!G54</f>
        <v>0</v>
      </c>
    </row>
    <row r="55" spans="1:7" x14ac:dyDescent="0.3">
      <c r="A55" s="1064" t="str">
        <f>deflators_raw!A55</f>
        <v>1983 Q2</v>
      </c>
      <c r="B55" s="1064">
        <f>deflators_raw!B55</f>
        <v>3.7100673423204902E-2</v>
      </c>
      <c r="C55" s="1064">
        <f>deflators_raw!C55</f>
        <v>3.1269437697415199E-2</v>
      </c>
      <c r="D55" s="1064">
        <f>deflators_raw!D55</f>
        <v>4.4549976820091701E-2</v>
      </c>
      <c r="E55" s="1064">
        <f>deflators_raw!E55</f>
        <v>5.5765239502398901E-2</v>
      </c>
      <c r="F55" s="1064">
        <f>deflators_raw!F55</f>
        <v>-5.3805310591299397E-3</v>
      </c>
      <c r="G55" s="1064">
        <f>deflators_raw!G55</f>
        <v>0</v>
      </c>
    </row>
    <row r="56" spans="1:7" x14ac:dyDescent="0.3">
      <c r="A56" s="1064" t="str">
        <f>deflators_raw!A56</f>
        <v>1983 Q3</v>
      </c>
      <c r="B56" s="1064">
        <f>deflators_raw!B56</f>
        <v>5.3607020035561601E-2</v>
      </c>
      <c r="C56" s="1064">
        <f>deflators_raw!C56</f>
        <v>4.5007889346835098E-2</v>
      </c>
      <c r="D56" s="1064">
        <f>deflators_raw!D56</f>
        <v>3.9242398900308298E-2</v>
      </c>
      <c r="E56" s="1064">
        <f>deflators_raw!E56</f>
        <v>4.7632291898301399E-2</v>
      </c>
      <c r="F56" s="1064">
        <f>deflators_raw!F56</f>
        <v>2.2658930308778699E-3</v>
      </c>
      <c r="G56" s="1064">
        <f>deflators_raw!G56</f>
        <v>0</v>
      </c>
    </row>
    <row r="57" spans="1:7" x14ac:dyDescent="0.3">
      <c r="A57" s="1064" t="str">
        <f>deflators_raw!A57</f>
        <v>1983 Q4</v>
      </c>
      <c r="B57" s="1064">
        <f>deflators_raw!B57</f>
        <v>2.6644627827705498E-2</v>
      </c>
      <c r="C57" s="1064">
        <f>deflators_raw!C57</f>
        <v>2.64126969592136E-2</v>
      </c>
      <c r="D57" s="1064">
        <f>deflators_raw!D57</f>
        <v>3.0801729671775298E-2</v>
      </c>
      <c r="E57" s="1064">
        <f>deflators_raw!E57</f>
        <v>3.7969215238040602E-2</v>
      </c>
      <c r="F57" s="1064">
        <f>deflators_raw!F57</f>
        <v>-1.13086488994096E-3</v>
      </c>
      <c r="G57" s="1064">
        <f>deflators_raw!G57</f>
        <v>0</v>
      </c>
    </row>
    <row r="58" spans="1:7" x14ac:dyDescent="0.3">
      <c r="A58" s="1064" t="str">
        <f>deflators_raw!A58</f>
        <v>1984 Q1</v>
      </c>
      <c r="B58" s="1064">
        <f>deflators_raw!B58</f>
        <v>4.3935723897537297E-2</v>
      </c>
      <c r="C58" s="1064">
        <f>deflators_raw!C58</f>
        <v>5.28225710519643E-2</v>
      </c>
      <c r="D58" s="1064">
        <f>deflators_raw!D58</f>
        <v>5.9261250188571202E-2</v>
      </c>
      <c r="E58" s="1064">
        <f>deflators_raw!E58</f>
        <v>7.2018998740306803E-2</v>
      </c>
      <c r="F58" s="1064">
        <f>deflators_raw!F58</f>
        <v>4.3596665649268101E-3</v>
      </c>
      <c r="G58" s="1064">
        <f>deflators_raw!G58</f>
        <v>0</v>
      </c>
    </row>
    <row r="59" spans="1:7" x14ac:dyDescent="0.3">
      <c r="A59" s="1064" t="str">
        <f>deflators_raw!A59</f>
        <v>1984 Q2</v>
      </c>
      <c r="B59" s="1064">
        <f>deflators_raw!B59</f>
        <v>3.93022623248813E-2</v>
      </c>
      <c r="C59" s="1064">
        <f>deflators_raw!C59</f>
        <v>4.0487191821635002E-2</v>
      </c>
      <c r="D59" s="1064">
        <f>deflators_raw!D59</f>
        <v>3.8654265357332303E-2</v>
      </c>
      <c r="E59" s="1064">
        <f>deflators_raw!E59</f>
        <v>4.4330796852368702E-2</v>
      </c>
      <c r="F59" s="1064">
        <f>deflators_raw!F59</f>
        <v>1.4249428601276599E-2</v>
      </c>
      <c r="G59" s="1064">
        <f>deflators_raw!G59</f>
        <v>0</v>
      </c>
    </row>
    <row r="60" spans="1:7" x14ac:dyDescent="0.3">
      <c r="A60" s="1064" t="str">
        <f>deflators_raw!A60</f>
        <v>1984 Q3</v>
      </c>
      <c r="B60" s="1064">
        <f>deflators_raw!B60</f>
        <v>3.1206818640470101E-2</v>
      </c>
      <c r="C60" s="1064">
        <f>deflators_raw!C60</f>
        <v>6.08178890509075E-2</v>
      </c>
      <c r="D60" s="1064">
        <f>deflators_raw!D60</f>
        <v>3.7855399838614898E-2</v>
      </c>
      <c r="E60" s="1064">
        <f>deflators_raw!E60</f>
        <v>4.3619950255883798E-2</v>
      </c>
      <c r="F60" s="1064">
        <f>deflators_raw!F60</f>
        <v>1.29734153291148E-2</v>
      </c>
      <c r="G60" s="1064">
        <f>deflators_raw!G60</f>
        <v>0</v>
      </c>
    </row>
    <row r="61" spans="1:7" x14ac:dyDescent="0.3">
      <c r="A61" s="1064" t="str">
        <f>deflators_raw!A61</f>
        <v>1984 Q4</v>
      </c>
      <c r="B61" s="1064">
        <f>deflators_raw!B61</f>
        <v>2.4937045869749999E-2</v>
      </c>
      <c r="C61" s="1064">
        <f>deflators_raw!C61</f>
        <v>5.0188195911601098E-2</v>
      </c>
      <c r="D61" s="1064">
        <f>deflators_raw!D61</f>
        <v>4.0264511763068903E-2</v>
      </c>
      <c r="E61" s="1064">
        <f>deflators_raw!E61</f>
        <v>4.8053419713626901E-2</v>
      </c>
      <c r="F61" s="1064">
        <f>deflators_raw!F61</f>
        <v>8.1435979249952998E-3</v>
      </c>
      <c r="G61" s="1064">
        <f>deflators_raw!G61</f>
        <v>0</v>
      </c>
    </row>
    <row r="62" spans="1:7" x14ac:dyDescent="0.3">
      <c r="A62" s="1064" t="str">
        <f>deflators_raw!A62</f>
        <v>1985 Q1</v>
      </c>
      <c r="B62" s="1064">
        <f>deflators_raw!B62</f>
        <v>4.8021891562025902E-2</v>
      </c>
      <c r="C62" s="1064">
        <f>deflators_raw!C62</f>
        <v>-1.5869949670850401E-2</v>
      </c>
      <c r="D62" s="1064">
        <f>deflators_raw!D62</f>
        <v>4.7998017236875197E-2</v>
      </c>
      <c r="E62" s="1064">
        <f>deflators_raw!E62</f>
        <v>5.3895269710959599E-2</v>
      </c>
      <c r="F62" s="1064">
        <f>deflators_raw!F62</f>
        <v>2.2424648618448499E-2</v>
      </c>
      <c r="G62" s="1064">
        <f>deflators_raw!G62</f>
        <v>0</v>
      </c>
    </row>
    <row r="63" spans="1:7" x14ac:dyDescent="0.3">
      <c r="A63" s="1064" t="str">
        <f>deflators_raw!A63</f>
        <v>1985 Q2</v>
      </c>
      <c r="B63" s="1064">
        <f>deflators_raw!B63</f>
        <v>3.2831975950411901E-2</v>
      </c>
      <c r="C63" s="1064">
        <f>deflators_raw!C63</f>
        <v>9.4485381047573203E-3</v>
      </c>
      <c r="D63" s="1064">
        <f>deflators_raw!D63</f>
        <v>4.0016640926136202E-2</v>
      </c>
      <c r="E63" s="1064">
        <f>deflators_raw!E63</f>
        <v>4.6526948089148097E-2</v>
      </c>
      <c r="F63" s="1064">
        <f>deflators_raw!F63</f>
        <v>1.2400816449865701E-2</v>
      </c>
      <c r="G63" s="1064">
        <f>deflators_raw!G63</f>
        <v>0</v>
      </c>
    </row>
    <row r="64" spans="1:7" x14ac:dyDescent="0.3">
      <c r="A64" s="1064" t="str">
        <f>deflators_raw!A64</f>
        <v>1985 Q3</v>
      </c>
      <c r="B64" s="1064">
        <f>deflators_raw!B64</f>
        <v>3.1711964087017402E-2</v>
      </c>
      <c r="C64" s="1064">
        <f>deflators_raw!C64</f>
        <v>2.1519541922931699E-2</v>
      </c>
      <c r="D64" s="1064">
        <f>deflators_raw!D64</f>
        <v>3.3552188262661702E-2</v>
      </c>
      <c r="E64" s="1064">
        <f>deflators_raw!E64</f>
        <v>3.7630817464174598E-2</v>
      </c>
      <c r="F64" s="1064">
        <f>deflators_raw!F64</f>
        <v>1.6508679737656601E-2</v>
      </c>
      <c r="G64" s="1064">
        <f>deflators_raw!G64</f>
        <v>0</v>
      </c>
    </row>
    <row r="65" spans="1:7" x14ac:dyDescent="0.3">
      <c r="A65" s="1064" t="str">
        <f>deflators_raw!A65</f>
        <v>1985 Q4</v>
      </c>
      <c r="B65" s="1064">
        <f>deflators_raw!B65</f>
        <v>2.8237310351865798E-2</v>
      </c>
      <c r="C65" s="1064">
        <f>deflators_raw!C65</f>
        <v>2.6513418939119401E-2</v>
      </c>
      <c r="D65" s="1064">
        <f>deflators_raw!D65</f>
        <v>3.7553677858028302E-2</v>
      </c>
      <c r="E65" s="1064">
        <f>deflators_raw!E65</f>
        <v>4.0884190168569902E-2</v>
      </c>
      <c r="F65" s="1064">
        <f>deflators_raw!F65</f>
        <v>2.40435812756121E-2</v>
      </c>
      <c r="G65" s="1064">
        <f>deflators_raw!G65</f>
        <v>0</v>
      </c>
    </row>
    <row r="66" spans="1:7" x14ac:dyDescent="0.3">
      <c r="A66" s="1064" t="str">
        <f>deflators_raw!A66</f>
        <v>1986 Q1</v>
      </c>
      <c r="B66" s="1064">
        <f>deflators_raw!B66</f>
        <v>2.86487834236928E-2</v>
      </c>
      <c r="C66" s="1064">
        <f>deflators_raw!C66</f>
        <v>-1.00878062845416E-2</v>
      </c>
      <c r="D66" s="1064">
        <f>deflators_raw!D66</f>
        <v>1.67304468496303E-2</v>
      </c>
      <c r="E66" s="1064">
        <f>deflators_raw!E66</f>
        <v>1.47648166353573E-2</v>
      </c>
      <c r="F66" s="1064">
        <f>deflators_raw!F66</f>
        <v>2.5106061305751201E-2</v>
      </c>
      <c r="G66" s="1064">
        <f>deflators_raw!G66</f>
        <v>0</v>
      </c>
    </row>
    <row r="67" spans="1:7" x14ac:dyDescent="0.3">
      <c r="A67" s="1064" t="str">
        <f>deflators_raw!A67</f>
        <v>1986 Q2</v>
      </c>
      <c r="B67" s="1064">
        <f>deflators_raw!B67</f>
        <v>-4.2153079272678803E-3</v>
      </c>
      <c r="C67" s="1064">
        <f>deflators_raw!C67</f>
        <v>-9.8843189037382002E-3</v>
      </c>
      <c r="D67" s="1064">
        <f>deflators_raw!D67</f>
        <v>1.77523591150637E-2</v>
      </c>
      <c r="E67" s="1064">
        <f>deflators_raw!E67</f>
        <v>1.2042523964300099E-2</v>
      </c>
      <c r="F67" s="1064">
        <f>deflators_raw!F67</f>
        <v>4.1753162692227598E-2</v>
      </c>
      <c r="G67" s="1064">
        <f>deflators_raw!G67</f>
        <v>0</v>
      </c>
    </row>
    <row r="68" spans="1:7" x14ac:dyDescent="0.3">
      <c r="A68" s="1064" t="str">
        <f>deflators_raw!A68</f>
        <v>1986 Q3</v>
      </c>
      <c r="B68" s="1064">
        <f>deflators_raw!B68</f>
        <v>2.1224970793817698E-2</v>
      </c>
      <c r="C68" s="1064">
        <f>deflators_raw!C68</f>
        <v>5.6401548408471199E-3</v>
      </c>
      <c r="D68" s="1064">
        <f>deflators_raw!D68</f>
        <v>3.5080502998483497E-2</v>
      </c>
      <c r="E68" s="1064">
        <f>deflators_raw!E68</f>
        <v>3.4679470629119601E-2</v>
      </c>
      <c r="F68" s="1064">
        <f>deflators_raw!F68</f>
        <v>3.6953475595025202E-2</v>
      </c>
      <c r="G68" s="1064">
        <f>deflators_raw!G68</f>
        <v>0</v>
      </c>
    </row>
    <row r="69" spans="1:7" x14ac:dyDescent="0.3">
      <c r="A69" s="1064" t="str">
        <f>deflators_raw!A69</f>
        <v>1986 Q4</v>
      </c>
      <c r="B69" s="1064">
        <f>deflators_raw!B69</f>
        <v>2.4413629868112598E-2</v>
      </c>
      <c r="C69" s="1064">
        <f>deflators_raw!C69</f>
        <v>4.55022354216461E-3</v>
      </c>
      <c r="D69" s="1064">
        <f>deflators_raw!D69</f>
        <v>5.1846529521440803E-2</v>
      </c>
      <c r="E69" s="1064">
        <f>deflators_raw!E69</f>
        <v>5.3779833992726497E-2</v>
      </c>
      <c r="F69" s="1064">
        <f>deflators_raw!F69</f>
        <v>4.4006184582173501E-2</v>
      </c>
      <c r="G69" s="1064">
        <f>deflators_raw!G69</f>
        <v>0</v>
      </c>
    </row>
    <row r="70" spans="1:7" x14ac:dyDescent="0.3">
      <c r="A70" s="1064" t="str">
        <f>deflators_raw!A70</f>
        <v>1987 Q1</v>
      </c>
      <c r="B70" s="1064">
        <f>deflators_raw!B70</f>
        <v>3.8220568833408297E-2</v>
      </c>
      <c r="C70" s="1064">
        <f>deflators_raw!C70</f>
        <v>-6.8268953681047701E-3</v>
      </c>
      <c r="D70" s="1064">
        <f>deflators_raw!D70</f>
        <v>5.8438838081356997E-2</v>
      </c>
      <c r="E70" s="1064">
        <f>deflators_raw!E70</f>
        <v>6.6318650583382599E-2</v>
      </c>
      <c r="F70" s="1064">
        <f>deflators_raw!F70</f>
        <v>2.5866237951436302E-2</v>
      </c>
      <c r="G70" s="1064">
        <f>deflators_raw!G70</f>
        <v>0</v>
      </c>
    </row>
    <row r="71" spans="1:7" x14ac:dyDescent="0.3">
      <c r="A71" s="1064" t="str">
        <f>deflators_raw!A71</f>
        <v>1987 Q2</v>
      </c>
      <c r="B71" s="1064">
        <f>deflators_raw!B71</f>
        <v>3.9129087464599803E-2</v>
      </c>
      <c r="C71" s="1064">
        <f>deflators_raw!C71</f>
        <v>1.9164012541417402E-2</v>
      </c>
      <c r="D71" s="1064">
        <f>deflators_raw!D71</f>
        <v>4.9764629047473599E-2</v>
      </c>
      <c r="E71" s="1064">
        <f>deflators_raw!E71</f>
        <v>5.3726223643289599E-2</v>
      </c>
      <c r="F71" s="1064">
        <f>deflators_raw!F71</f>
        <v>3.4070959420577702E-2</v>
      </c>
      <c r="G71" s="1064">
        <f>deflators_raw!G71</f>
        <v>0</v>
      </c>
    </row>
    <row r="72" spans="1:7" x14ac:dyDescent="0.3">
      <c r="A72" s="1064" t="str">
        <f>deflators_raw!A72</f>
        <v>1987 Q3</v>
      </c>
      <c r="B72" s="1064">
        <f>deflators_raw!B72</f>
        <v>3.8454021368670203E-2</v>
      </c>
      <c r="C72" s="1064">
        <f>deflators_raw!C72</f>
        <v>2.9219770282175001E-2</v>
      </c>
      <c r="D72" s="1064">
        <f>deflators_raw!D72</f>
        <v>4.8767596838020802E-2</v>
      </c>
      <c r="E72" s="1064">
        <f>deflators_raw!E72</f>
        <v>5.1713813262120399E-2</v>
      </c>
      <c r="F72" s="1064">
        <f>deflators_raw!F72</f>
        <v>3.6092988240003197E-2</v>
      </c>
      <c r="G72" s="1064">
        <f>deflators_raw!G72</f>
        <v>0</v>
      </c>
    </row>
    <row r="73" spans="1:7" x14ac:dyDescent="0.3">
      <c r="A73" s="1064" t="str">
        <f>deflators_raw!A73</f>
        <v>1987 Q4</v>
      </c>
      <c r="B73" s="1064">
        <f>deflators_raw!B73</f>
        <v>3.5013174112648898E-2</v>
      </c>
      <c r="C73" s="1064">
        <f>deflators_raw!C73</f>
        <v>8.3996255435596599E-3</v>
      </c>
      <c r="D73" s="1064">
        <f>deflators_raw!D73</f>
        <v>2.4017941519916701E-2</v>
      </c>
      <c r="E73" s="1064">
        <f>deflators_raw!E73</f>
        <v>2.4659104438458999E-2</v>
      </c>
      <c r="F73" s="1064">
        <f>deflators_raw!F73</f>
        <v>2.13651369698558E-2</v>
      </c>
      <c r="G73" s="1064">
        <f>deflators_raw!G73</f>
        <v>0</v>
      </c>
    </row>
    <row r="74" spans="1:7" x14ac:dyDescent="0.3">
      <c r="A74" s="1064" t="str">
        <f>deflators_raw!A74</f>
        <v>1988 Q1</v>
      </c>
      <c r="B74" s="1064">
        <f>deflators_raw!B74</f>
        <v>3.19577361885768E-2</v>
      </c>
      <c r="C74" s="1064">
        <f>deflators_raw!C74</f>
        <v>5.5666299963321703E-2</v>
      </c>
      <c r="D74" s="1064">
        <f>deflators_raw!D74</f>
        <v>2.0716352252188701E-2</v>
      </c>
      <c r="E74" s="1064">
        <f>deflators_raw!E74</f>
        <v>1.7884305064996799E-2</v>
      </c>
      <c r="F74" s="1064">
        <f>deflators_raw!F74</f>
        <v>3.2571809116936898E-2</v>
      </c>
      <c r="G74" s="1064">
        <f>deflators_raw!G74</f>
        <v>0</v>
      </c>
    </row>
    <row r="75" spans="1:7" x14ac:dyDescent="0.3">
      <c r="A75" s="1064" t="str">
        <f>deflators_raw!A75</f>
        <v>1988 Q2</v>
      </c>
      <c r="B75" s="1064">
        <f>deflators_raw!B75</f>
        <v>4.4899260052234199E-2</v>
      </c>
      <c r="C75" s="1064">
        <f>deflators_raw!C75</f>
        <v>3.99278081765242E-2</v>
      </c>
      <c r="D75" s="1064">
        <f>deflators_raw!D75</f>
        <v>3.9569529283447501E-2</v>
      </c>
      <c r="E75" s="1064">
        <f>deflators_raw!E75</f>
        <v>4.3789897152202203E-2</v>
      </c>
      <c r="F75" s="1064">
        <f>deflators_raw!F75</f>
        <v>2.2279292577718199E-2</v>
      </c>
      <c r="G75" s="1064">
        <f>deflators_raw!G75</f>
        <v>0</v>
      </c>
    </row>
    <row r="76" spans="1:7" x14ac:dyDescent="0.3">
      <c r="A76" s="1064" t="str">
        <f>deflators_raw!A76</f>
        <v>1988 Q3</v>
      </c>
      <c r="B76" s="1064">
        <f>deflators_raw!B76</f>
        <v>5.0215068802573502E-2</v>
      </c>
      <c r="C76" s="1064">
        <f>deflators_raw!C76</f>
        <v>2.3053377277420399E-2</v>
      </c>
      <c r="D76" s="1064">
        <f>deflators_raw!D76</f>
        <v>3.4095375309964898E-2</v>
      </c>
      <c r="E76" s="1064">
        <f>deflators_raw!E76</f>
        <v>3.6032445200426998E-2</v>
      </c>
      <c r="F76" s="1064">
        <f>deflators_raw!F76</f>
        <v>2.6056753006691701E-2</v>
      </c>
      <c r="G76" s="1064">
        <f>deflators_raw!G76</f>
        <v>0</v>
      </c>
    </row>
    <row r="77" spans="1:7" x14ac:dyDescent="0.3">
      <c r="A77" s="1064" t="str">
        <f>deflators_raw!A77</f>
        <v>1988 Q4</v>
      </c>
      <c r="B77" s="1064">
        <f>deflators_raw!B77</f>
        <v>4.1025346631292002E-2</v>
      </c>
      <c r="C77" s="1064">
        <f>deflators_raw!C77</f>
        <v>3.2561998713341901E-2</v>
      </c>
      <c r="D77" s="1064">
        <f>deflators_raw!D77</f>
        <v>4.6587870324487697E-2</v>
      </c>
      <c r="E77" s="1064">
        <f>deflators_raw!E77</f>
        <v>5.2865449677459202E-2</v>
      </c>
      <c r="F77" s="1064">
        <f>deflators_raw!F77</f>
        <v>2.13020937510979E-2</v>
      </c>
      <c r="G77" s="1064">
        <f>deflators_raw!G77</f>
        <v>0</v>
      </c>
    </row>
    <row r="78" spans="1:7" x14ac:dyDescent="0.3">
      <c r="A78" s="1064" t="str">
        <f>deflators_raw!A78</f>
        <v>1989 Q1</v>
      </c>
      <c r="B78" s="1064">
        <f>deflators_raw!B78</f>
        <v>4.6770164599538401E-2</v>
      </c>
      <c r="C78" s="1064">
        <f>deflators_raw!C78</f>
        <v>3.00519488200592E-2</v>
      </c>
      <c r="D78" s="1064">
        <f>deflators_raw!D78</f>
        <v>5.3649308686662497E-2</v>
      </c>
      <c r="E78" s="1064">
        <f>deflators_raw!E78</f>
        <v>6.2050852369377699E-2</v>
      </c>
      <c r="F78" s="1064">
        <f>deflators_raw!F78</f>
        <v>1.9463013158635498E-2</v>
      </c>
      <c r="G78" s="1064">
        <f>deflators_raw!G78</f>
        <v>0</v>
      </c>
    </row>
    <row r="79" spans="1:7" x14ac:dyDescent="0.3">
      <c r="A79" s="1064" t="str">
        <f>deflators_raw!A79</f>
        <v>1989 Q2</v>
      </c>
      <c r="B79" s="1064">
        <f>deflators_raw!B79</f>
        <v>5.4994617531312101E-2</v>
      </c>
      <c r="C79" s="1064">
        <f>deflators_raw!C79</f>
        <v>2.9679316947533299E-2</v>
      </c>
      <c r="D79" s="1064">
        <f>deflators_raw!D79</f>
        <v>5.5386400245833703E-2</v>
      </c>
      <c r="E79" s="1064">
        <f>deflators_raw!E79</f>
        <v>6.0821876360983101E-2</v>
      </c>
      <c r="F79" s="1064">
        <f>deflators_raw!F79</f>
        <v>3.2856918868300999E-2</v>
      </c>
      <c r="G79" s="1064">
        <f>deflators_raw!G79</f>
        <v>0</v>
      </c>
    </row>
    <row r="80" spans="1:7" x14ac:dyDescent="0.3">
      <c r="A80" s="1064" t="str">
        <f>deflators_raw!A80</f>
        <v>1989 Q3</v>
      </c>
      <c r="B80" s="1064">
        <f>deflators_raw!B80</f>
        <v>2.3822978628153201E-2</v>
      </c>
      <c r="C80" s="1064">
        <f>deflators_raw!C80</f>
        <v>2.0057150963272801E-2</v>
      </c>
      <c r="D80" s="1064">
        <f>deflators_raw!D80</f>
        <v>3.8003026529995099E-2</v>
      </c>
      <c r="E80" s="1064">
        <f>deflators_raw!E80</f>
        <v>3.9922896172757301E-2</v>
      </c>
      <c r="F80" s="1064">
        <f>deflators_raw!F80</f>
        <v>3.0012482573731999E-2</v>
      </c>
      <c r="G80" s="1064">
        <f>deflators_raw!G80</f>
        <v>0</v>
      </c>
    </row>
    <row r="81" spans="1:7" x14ac:dyDescent="0.3">
      <c r="A81" s="1064" t="str">
        <f>deflators_raw!A81</f>
        <v>1989 Q4</v>
      </c>
      <c r="B81" s="1064">
        <f>deflators_raw!B81</f>
        <v>3.1803231650019199E-2</v>
      </c>
      <c r="C81" s="1064">
        <f>deflators_raw!C81</f>
        <v>1.4432124176051201E-2</v>
      </c>
      <c r="D81" s="1064">
        <f>deflators_raw!D81</f>
        <v>5.2696414630741602E-2</v>
      </c>
      <c r="E81" s="1064">
        <f>deflators_raw!E81</f>
        <v>6.0046453160524503E-2</v>
      </c>
      <c r="F81" s="1064">
        <f>deflators_raw!F81</f>
        <v>2.2222434897181301E-2</v>
      </c>
      <c r="G81" s="1064">
        <f>deflators_raw!G81</f>
        <v>0</v>
      </c>
    </row>
    <row r="82" spans="1:7" x14ac:dyDescent="0.3">
      <c r="A82" s="1064" t="str">
        <f>deflators_raw!A82</f>
        <v>1990 Q1</v>
      </c>
      <c r="B82" s="1064">
        <f>deflators_raw!B82</f>
        <v>5.92740793130948E-2</v>
      </c>
      <c r="C82" s="1064">
        <f>deflators_raw!C82</f>
        <v>2.8330647899498702E-2</v>
      </c>
      <c r="D82" s="1064">
        <f>deflators_raw!D82</f>
        <v>5.7786451291530698E-2</v>
      </c>
      <c r="E82" s="1064">
        <f>deflators_raw!E82</f>
        <v>6.4935137330784501E-2</v>
      </c>
      <c r="F82" s="1064">
        <f>deflators_raw!F82</f>
        <v>2.9085137772108E-2</v>
      </c>
      <c r="G82" s="1064">
        <f>deflators_raw!G82</f>
        <v>0</v>
      </c>
    </row>
    <row r="83" spans="1:7" x14ac:dyDescent="0.3">
      <c r="A83" s="1064" t="str">
        <f>deflators_raw!A83</f>
        <v>1990 Q2</v>
      </c>
      <c r="B83" s="1064">
        <f>deflators_raw!B83</f>
        <v>3.6833081072387398E-2</v>
      </c>
      <c r="C83" s="1064">
        <f>deflators_raw!C83</f>
        <v>7.0464261662823505E-2</v>
      </c>
      <c r="D83" s="1064">
        <f>deflators_raw!D83</f>
        <v>4.1923258032302999E-2</v>
      </c>
      <c r="E83" s="1064">
        <f>deflators_raw!E83</f>
        <v>4.34077415784246E-2</v>
      </c>
      <c r="F83" s="1064">
        <f>deflators_raw!F83</f>
        <v>3.5768290293157798E-2</v>
      </c>
      <c r="G83" s="1064">
        <f>deflators_raw!G83</f>
        <v>0</v>
      </c>
    </row>
    <row r="84" spans="1:7" x14ac:dyDescent="0.3">
      <c r="A84" s="1064" t="str">
        <f>deflators_raw!A84</f>
        <v>1990 Q3</v>
      </c>
      <c r="B84" s="1064">
        <f>deflators_raw!B84</f>
        <v>5.1769155239957503E-2</v>
      </c>
      <c r="C84" s="1064">
        <f>deflators_raw!C84</f>
        <v>5.3870047588526803E-3</v>
      </c>
      <c r="D84" s="1064">
        <f>deflators_raw!D84</f>
        <v>5.55152082310457E-2</v>
      </c>
      <c r="E84" s="1064">
        <f>deflators_raw!E84</f>
        <v>5.9429132401131797E-2</v>
      </c>
      <c r="F84" s="1064">
        <f>deflators_raw!F84</f>
        <v>3.9413809912278698E-2</v>
      </c>
      <c r="G84" s="1064">
        <f>deflators_raw!G84</f>
        <v>0</v>
      </c>
    </row>
    <row r="85" spans="1:7" x14ac:dyDescent="0.3">
      <c r="A85" s="1064" t="str">
        <f>deflators_raw!A85</f>
        <v>1990 Q4</v>
      </c>
      <c r="B85" s="1064">
        <f>deflators_raw!B85</f>
        <v>5.3985249536158401E-2</v>
      </c>
      <c r="C85" s="1064">
        <f>deflators_raw!C85</f>
        <v>4.8480456964960797E-2</v>
      </c>
      <c r="D85" s="1064">
        <f>deflators_raw!D85</f>
        <v>6.4477110328581902E-2</v>
      </c>
      <c r="E85" s="1064">
        <f>deflators_raw!E85</f>
        <v>7.7879333039596599E-2</v>
      </c>
      <c r="F85" s="1064">
        <f>deflators_raw!F85</f>
        <v>1.0688095589023601E-2</v>
      </c>
      <c r="G85" s="1064">
        <f>deflators_raw!G85</f>
        <v>0</v>
      </c>
    </row>
    <row r="86" spans="1:7" x14ac:dyDescent="0.3">
      <c r="A86" s="1064" t="str">
        <f>deflators_raw!A86</f>
        <v>1991 Q1</v>
      </c>
      <c r="B86" s="1064">
        <f>deflators_raw!B86</f>
        <v>2.1158982786186002E-2</v>
      </c>
      <c r="C86" s="1064">
        <f>deflators_raw!C86</f>
        <v>3.6386290478485302E-2</v>
      </c>
      <c r="D86" s="1064">
        <f>deflators_raw!D86</f>
        <v>1.6920742992818399E-2</v>
      </c>
      <c r="E86" s="1064">
        <f>deflators_raw!E86</f>
        <v>1.91574066493869E-2</v>
      </c>
      <c r="F86" s="1064">
        <f>deflators_raw!F86</f>
        <v>7.9315148019272197E-3</v>
      </c>
      <c r="G86" s="1064">
        <f>deflators_raw!G86</f>
        <v>0</v>
      </c>
    </row>
    <row r="87" spans="1:7" x14ac:dyDescent="0.3">
      <c r="A87" s="1064" t="str">
        <f>deflators_raw!A87</f>
        <v>1991 Q2</v>
      </c>
      <c r="B87" s="1064">
        <f>deflators_raw!B87</f>
        <v>2.2052154501282398E-2</v>
      </c>
      <c r="C87" s="1064">
        <f>deflators_raw!C87</f>
        <v>1.9883287825612099E-2</v>
      </c>
      <c r="D87" s="1064">
        <f>deflators_raw!D87</f>
        <v>2.4424033288816999E-2</v>
      </c>
      <c r="E87" s="1064">
        <f>deflators_raw!E87</f>
        <v>2.5316754451185201E-2</v>
      </c>
      <c r="F87" s="1064">
        <f>deflators_raw!F87</f>
        <v>2.0767815828135701E-2</v>
      </c>
      <c r="G87" s="1064">
        <f>deflators_raw!G87</f>
        <v>0</v>
      </c>
    </row>
    <row r="88" spans="1:7" x14ac:dyDescent="0.3">
      <c r="A88" s="1064" t="str">
        <f>deflators_raw!A88</f>
        <v>1991 Q3</v>
      </c>
      <c r="B88" s="1064">
        <f>deflators_raw!B88</f>
        <v>2.7438615126695699E-2</v>
      </c>
      <c r="C88" s="1064">
        <f>deflators_raw!C88</f>
        <v>5.2374465161812503E-2</v>
      </c>
      <c r="D88" s="1064">
        <f>deflators_raw!D88</f>
        <v>3.33810563173942E-2</v>
      </c>
      <c r="E88" s="1064">
        <f>deflators_raw!E88</f>
        <v>3.8739820782161899E-2</v>
      </c>
      <c r="F88" s="1064">
        <f>deflators_raw!F88</f>
        <v>1.0657034721188501E-2</v>
      </c>
      <c r="G88" s="1064">
        <f>deflators_raw!G88</f>
        <v>0</v>
      </c>
    </row>
    <row r="89" spans="1:7" x14ac:dyDescent="0.3">
      <c r="A89" s="1064" t="str">
        <f>deflators_raw!A89</f>
        <v>1991 Q4</v>
      </c>
      <c r="B89" s="1064">
        <f>deflators_raw!B89</f>
        <v>2.9370792816648401E-2</v>
      </c>
      <c r="C89" s="1064">
        <f>deflators_raw!C89</f>
        <v>4.1076934031538899E-2</v>
      </c>
      <c r="D89" s="1064">
        <f>deflators_raw!D89</f>
        <v>3.5351344279153103E-2</v>
      </c>
      <c r="E89" s="1064">
        <f>deflators_raw!E89</f>
        <v>4.6254885206873202E-2</v>
      </c>
      <c r="F89" s="1064">
        <f>deflators_raw!F89</f>
        <v>-9.9690396175571294E-3</v>
      </c>
      <c r="G89" s="1064">
        <f>deflators_raw!G89</f>
        <v>0</v>
      </c>
    </row>
    <row r="90" spans="1:7" x14ac:dyDescent="0.3">
      <c r="A90" s="1064" t="str">
        <f>deflators_raw!A90</f>
        <v>1992 Q1</v>
      </c>
      <c r="B90" s="1064">
        <f>deflators_raw!B90</f>
        <v>2.5261592124571599E-2</v>
      </c>
      <c r="C90" s="1064">
        <f>deflators_raw!C90</f>
        <v>5.8581566563336001E-3</v>
      </c>
      <c r="D90" s="1064">
        <f>deflators_raw!D90</f>
        <v>2.8847885320816901E-2</v>
      </c>
      <c r="E90" s="1064">
        <f>deflators_raw!E90</f>
        <v>3.8335869645315497E-2</v>
      </c>
      <c r="F90" s="1064">
        <f>deflators_raw!F90</f>
        <v>-1.04267601108922E-2</v>
      </c>
      <c r="G90" s="1064">
        <f>deflators_raw!G90</f>
        <v>0</v>
      </c>
    </row>
    <row r="91" spans="1:7" x14ac:dyDescent="0.3">
      <c r="A91" s="1064" t="str">
        <f>deflators_raw!A91</f>
        <v>1992 Q2</v>
      </c>
      <c r="B91" s="1064">
        <f>deflators_raw!B91</f>
        <v>2.6883329197386899E-2</v>
      </c>
      <c r="C91" s="1064">
        <f>deflators_raw!C91</f>
        <v>1.4672046081608801E-2</v>
      </c>
      <c r="D91" s="1064">
        <f>deflators_raw!D91</f>
        <v>4.86062973431345E-2</v>
      </c>
      <c r="E91" s="1064">
        <f>deflators_raw!E91</f>
        <v>5.5488923116520997E-2</v>
      </c>
      <c r="F91" s="1064">
        <f>deflators_raw!F91</f>
        <v>1.90848323659343E-2</v>
      </c>
      <c r="G91" s="1064">
        <f>deflators_raw!G91</f>
        <v>0</v>
      </c>
    </row>
    <row r="92" spans="1:7" x14ac:dyDescent="0.3">
      <c r="A92" s="1064" t="str">
        <f>deflators_raw!A92</f>
        <v>1992 Q3</v>
      </c>
      <c r="B92" s="1064">
        <f>deflators_raw!B92</f>
        <v>2.57889573012124E-2</v>
      </c>
      <c r="C92" s="1064">
        <f>deflators_raw!C92</f>
        <v>3.5352763805176303E-2</v>
      </c>
      <c r="D92" s="1064">
        <f>deflators_raw!D92</f>
        <v>2.9855014538054898E-2</v>
      </c>
      <c r="E92" s="1064">
        <f>deflators_raw!E92</f>
        <v>3.4689577494526398E-2</v>
      </c>
      <c r="F92" s="1064">
        <f>deflators_raw!F92</f>
        <v>8.1492648352745594E-3</v>
      </c>
      <c r="G92" s="1064">
        <f>deflators_raw!G92</f>
        <v>0</v>
      </c>
    </row>
    <row r="93" spans="1:7" x14ac:dyDescent="0.3">
      <c r="A93" s="1064" t="str">
        <f>deflators_raw!A93</f>
        <v>1992 Q4</v>
      </c>
      <c r="B93" s="1064">
        <f>deflators_raw!B93</f>
        <v>2.8170464275272301E-2</v>
      </c>
      <c r="C93" s="1064">
        <f>deflators_raw!C93</f>
        <v>2.5395981622951001E-2</v>
      </c>
      <c r="D93" s="1064">
        <f>deflators_raw!D93</f>
        <v>2.75506450255283E-2</v>
      </c>
      <c r="E93" s="1064">
        <f>deflators_raw!E93</f>
        <v>2.9547347848341E-2</v>
      </c>
      <c r="F93" s="1064">
        <f>deflators_raw!F93</f>
        <v>1.8368205985927599E-2</v>
      </c>
      <c r="G93" s="1064">
        <f>deflators_raw!G93</f>
        <v>0</v>
      </c>
    </row>
    <row r="94" spans="1:7" x14ac:dyDescent="0.3">
      <c r="A94" s="1064" t="str">
        <f>deflators_raw!A94</f>
        <v>1993 Q1</v>
      </c>
      <c r="B94" s="1064">
        <f>deflators_raw!B94</f>
        <v>2.40619409805858E-2</v>
      </c>
      <c r="C94" s="1064">
        <f>deflators_raw!C94</f>
        <v>9.9983702538513092E-3</v>
      </c>
      <c r="D94" s="1064">
        <f>deflators_raw!D94</f>
        <v>2.3462964516600501E-2</v>
      </c>
      <c r="E94" s="1064">
        <f>deflators_raw!E94</f>
        <v>2.2073085991106502E-2</v>
      </c>
      <c r="F94" s="1064">
        <f>deflators_raw!F94</f>
        <v>3.0096377482488099E-2</v>
      </c>
      <c r="G94" s="1064">
        <f>deflators_raw!G94</f>
        <v>0</v>
      </c>
    </row>
    <row r="95" spans="1:7" x14ac:dyDescent="0.3">
      <c r="A95" s="1064" t="str">
        <f>deflators_raw!A95</f>
        <v>1993 Q2</v>
      </c>
      <c r="B95" s="1064">
        <f>deflators_raw!B95</f>
        <v>2.70873737268695E-2</v>
      </c>
      <c r="C95" s="1064">
        <f>deflators_raw!C95</f>
        <v>1.7716185249098602E-2</v>
      </c>
      <c r="D95" s="1064">
        <f>deflators_raw!D95</f>
        <v>2.3781606170840699E-2</v>
      </c>
      <c r="E95" s="1064">
        <f>deflators_raw!E95</f>
        <v>2.3867747826854101E-2</v>
      </c>
      <c r="F95" s="1064">
        <f>deflators_raw!F95</f>
        <v>2.3524161594785199E-2</v>
      </c>
      <c r="G95" s="1064">
        <f>deflators_raw!G95</f>
        <v>0</v>
      </c>
    </row>
    <row r="96" spans="1:7" x14ac:dyDescent="0.3">
      <c r="A96" s="1064" t="str">
        <f>deflators_raw!A96</f>
        <v>1993 Q3</v>
      </c>
      <c r="B96" s="1064">
        <f>deflators_raw!B96</f>
        <v>1.7542540867755401E-2</v>
      </c>
      <c r="C96" s="1064">
        <f>deflators_raw!C96</f>
        <v>2.9283418694515902E-2</v>
      </c>
      <c r="D96" s="1064">
        <f>deflators_raw!D96</f>
        <v>1.1469523622669399E-2</v>
      </c>
      <c r="E96" s="1064">
        <f>deflators_raw!E96</f>
        <v>1.3096071782226999E-2</v>
      </c>
      <c r="F96" s="1064">
        <f>deflators_raw!F96</f>
        <v>4.0598599880798903E-3</v>
      </c>
      <c r="G96" s="1064">
        <f>deflators_raw!G96</f>
        <v>0</v>
      </c>
    </row>
    <row r="97" spans="1:7" x14ac:dyDescent="0.3">
      <c r="A97" s="1064" t="str">
        <f>deflators_raw!A97</f>
        <v>1993 Q4</v>
      </c>
      <c r="B97" s="1064">
        <f>deflators_raw!B97</f>
        <v>2.3240038949048102E-2</v>
      </c>
      <c r="C97" s="1064">
        <f>deflators_raw!C97</f>
        <v>3.6370296177081797E-2</v>
      </c>
      <c r="D97" s="1064">
        <f>deflators_raw!D97</f>
        <v>2.0341173665225899E-2</v>
      </c>
      <c r="E97" s="1064">
        <f>deflators_raw!E97</f>
        <v>2.0612838101556001E-2</v>
      </c>
      <c r="F97" s="1064">
        <f>deflators_raw!F97</f>
        <v>1.8816279960193898E-2</v>
      </c>
      <c r="G97" s="1064">
        <f>deflators_raw!G97</f>
        <v>0</v>
      </c>
    </row>
    <row r="98" spans="1:7" x14ac:dyDescent="0.3">
      <c r="A98" s="1064" t="str">
        <f>deflators_raw!A98</f>
        <v>1994 Q1</v>
      </c>
      <c r="B98" s="1064">
        <f>deflators_raw!B98</f>
        <v>1.4387423449919501E-2</v>
      </c>
      <c r="C98" s="1064">
        <f>deflators_raw!C98</f>
        <v>1.8449816517922799E-2</v>
      </c>
      <c r="D98" s="1064">
        <f>deflators_raw!D98</f>
        <v>3.3070461521807398E-2</v>
      </c>
      <c r="E98" s="1064">
        <f>deflators_raw!E98</f>
        <v>3.3921123111567301E-2</v>
      </c>
      <c r="F98" s="1064">
        <f>deflators_raw!F98</f>
        <v>2.9526755688726598E-2</v>
      </c>
      <c r="G98" s="1064">
        <f>deflators_raw!G98</f>
        <v>0</v>
      </c>
    </row>
    <row r="99" spans="1:7" x14ac:dyDescent="0.3">
      <c r="A99" s="1064" t="str">
        <f>deflators_raw!A99</f>
        <v>1994 Q2</v>
      </c>
      <c r="B99" s="1064">
        <f>deflators_raw!B99</f>
        <v>2.2496438657089599E-2</v>
      </c>
      <c r="C99" s="1064">
        <f>deflators_raw!C99</f>
        <v>3.3991498444716703E-2</v>
      </c>
      <c r="D99" s="1064">
        <f>deflators_raw!D99</f>
        <v>2.2445608905782101E-2</v>
      </c>
      <c r="E99" s="1064">
        <f>deflators_raw!E99</f>
        <v>2.3479894269272002E-2</v>
      </c>
      <c r="F99" s="1064">
        <f>deflators_raw!F99</f>
        <v>1.7453105874537699E-2</v>
      </c>
      <c r="G99" s="1064">
        <f>deflators_raw!G99</f>
        <v>0</v>
      </c>
    </row>
    <row r="100" spans="1:7" x14ac:dyDescent="0.3">
      <c r="A100" s="1064" t="str">
        <f>deflators_raw!A100</f>
        <v>1994 Q3</v>
      </c>
      <c r="B100" s="1064">
        <f>deflators_raw!B100</f>
        <v>2.90726218207682E-2</v>
      </c>
      <c r="C100" s="1064">
        <f>deflators_raw!C100</f>
        <v>2.3185974053502999E-2</v>
      </c>
      <c r="D100" s="1064">
        <f>deflators_raw!D100</f>
        <v>3.5443622243840803E-2</v>
      </c>
      <c r="E100" s="1064">
        <f>deflators_raw!E100</f>
        <v>3.5391871305663798E-2</v>
      </c>
      <c r="F100" s="1064">
        <f>deflators_raw!F100</f>
        <v>3.5482240520336501E-2</v>
      </c>
      <c r="G100" s="1064">
        <f>deflators_raw!G100</f>
        <v>0</v>
      </c>
    </row>
    <row r="101" spans="1:7" x14ac:dyDescent="0.3">
      <c r="A101" s="1064" t="str">
        <f>deflators_raw!A101</f>
        <v>1994 Q4</v>
      </c>
      <c r="B101" s="1064">
        <f>deflators_raw!B101</f>
        <v>1.88663260541506E-2</v>
      </c>
      <c r="C101" s="1064">
        <f>deflators_raw!C101</f>
        <v>3.3254108726641599E-2</v>
      </c>
      <c r="D101" s="1064">
        <f>deflators_raw!D101</f>
        <v>3.4394192726805897E-2</v>
      </c>
      <c r="E101" s="1064">
        <f>deflators_raw!E101</f>
        <v>3.4634574022881899E-2</v>
      </c>
      <c r="F101" s="1064">
        <f>deflators_raw!F101</f>
        <v>3.3748767658719397E-2</v>
      </c>
      <c r="G101" s="1064">
        <f>deflators_raw!G101</f>
        <v>0</v>
      </c>
    </row>
    <row r="102" spans="1:7" x14ac:dyDescent="0.3">
      <c r="A102" s="1064" t="str">
        <f>deflators_raw!A102</f>
        <v>1995 Q1</v>
      </c>
      <c r="B102" s="1064">
        <f>deflators_raw!B102</f>
        <v>1.9752209109685798E-2</v>
      </c>
      <c r="C102" s="1064">
        <f>deflators_raw!C102</f>
        <v>3.4122786590531799E-2</v>
      </c>
      <c r="D102" s="1064">
        <f>deflators_raw!D102</f>
        <v>2.2517710999607799E-2</v>
      </c>
      <c r="E102" s="1064">
        <f>deflators_raw!E102</f>
        <v>1.8555272424330301E-2</v>
      </c>
      <c r="F102" s="1064">
        <f>deflators_raw!F102</f>
        <v>4.0528253340275301E-2</v>
      </c>
      <c r="G102" s="1064">
        <f>deflators_raw!G102</f>
        <v>0</v>
      </c>
    </row>
    <row r="103" spans="1:7" x14ac:dyDescent="0.3">
      <c r="A103" s="1064" t="str">
        <f>deflators_raw!A103</f>
        <v>1995 Q2</v>
      </c>
      <c r="B103" s="1064">
        <f>deflators_raw!B103</f>
        <v>2.3426148348960799E-2</v>
      </c>
      <c r="C103" s="1064">
        <f>deflators_raw!C103</f>
        <v>2.6924495262994098E-2</v>
      </c>
      <c r="D103" s="1064">
        <f>deflators_raw!D103</f>
        <v>3.0712351155875301E-2</v>
      </c>
      <c r="E103" s="1064">
        <f>deflators_raw!E103</f>
        <v>3.10950653969519E-2</v>
      </c>
      <c r="F103" s="1064">
        <f>deflators_raw!F103</f>
        <v>2.8884969324625399E-2</v>
      </c>
      <c r="G103" s="1064">
        <f>deflators_raw!G103</f>
        <v>0</v>
      </c>
    </row>
    <row r="104" spans="1:7" x14ac:dyDescent="0.3">
      <c r="A104" s="1064" t="str">
        <f>deflators_raw!A104</f>
        <v>1995 Q3</v>
      </c>
      <c r="B104" s="1064">
        <f>deflators_raw!B104</f>
        <v>1.6481276503132601E-2</v>
      </c>
      <c r="C104" s="1064">
        <f>deflators_raw!C104</f>
        <v>2.0844963333619401E-2</v>
      </c>
      <c r="D104" s="1064">
        <f>deflators_raw!D104</f>
        <v>1.6578342610262399E-2</v>
      </c>
      <c r="E104" s="1064">
        <f>deflators_raw!E104</f>
        <v>1.5303746558651399E-2</v>
      </c>
      <c r="F104" s="1064">
        <f>deflators_raw!F104</f>
        <v>2.2275298720186399E-2</v>
      </c>
      <c r="G104" s="1064">
        <f>deflators_raw!G104</f>
        <v>0</v>
      </c>
    </row>
    <row r="105" spans="1:7" x14ac:dyDescent="0.3">
      <c r="A105" s="1064" t="str">
        <f>deflators_raw!A105</f>
        <v>1995 Q4</v>
      </c>
      <c r="B105" s="1064">
        <f>deflators_raw!B105</f>
        <v>1.77105887350755E-2</v>
      </c>
      <c r="C105" s="1064">
        <f>deflators_raw!C105</f>
        <v>5.6392491810183902E-2</v>
      </c>
      <c r="D105" s="1064">
        <f>deflators_raw!D105</f>
        <v>1.53745683650881E-2</v>
      </c>
      <c r="E105" s="1064">
        <f>deflators_raw!E105</f>
        <v>1.3670147091618101E-2</v>
      </c>
      <c r="F105" s="1064">
        <f>deflators_raw!F105</f>
        <v>2.3245190160411201E-2</v>
      </c>
      <c r="G105" s="1064">
        <f>deflators_raw!G105</f>
        <v>0</v>
      </c>
    </row>
    <row r="106" spans="1:7" x14ac:dyDescent="0.3">
      <c r="A106" s="1064" t="str">
        <f>deflators_raw!A106</f>
        <v>1996 Q1</v>
      </c>
      <c r="B106" s="1064">
        <f>deflators_raw!B106</f>
        <v>2.24149830534284E-2</v>
      </c>
      <c r="C106" s="1064">
        <f>deflators_raw!C106</f>
        <v>9.43340099661172E-3</v>
      </c>
      <c r="D106" s="1064">
        <f>deflators_raw!D106</f>
        <v>4.0560107611520499E-2</v>
      </c>
      <c r="E106" s="1064">
        <f>deflators_raw!E106</f>
        <v>4.4785324127958097E-2</v>
      </c>
      <c r="F106" s="1064">
        <f>deflators_raw!F106</f>
        <v>2.1616654614663E-2</v>
      </c>
      <c r="G106" s="1064">
        <f>deflators_raw!G106</f>
        <v>0</v>
      </c>
    </row>
    <row r="107" spans="1:7" x14ac:dyDescent="0.3">
      <c r="A107" s="1064" t="str">
        <f>deflators_raw!A107</f>
        <v>1996 Q2</v>
      </c>
      <c r="B107" s="1064">
        <f>deflators_raw!B107</f>
        <v>2.7006131410312901E-2</v>
      </c>
      <c r="C107" s="1064">
        <f>deflators_raw!C107</f>
        <v>-2.1272525988481301E-2</v>
      </c>
      <c r="D107" s="1064">
        <f>deflators_raw!D107</f>
        <v>5.4752144077812002E-3</v>
      </c>
      <c r="E107" s="1064">
        <f>deflators_raw!E107</f>
        <v>5.7381634098421204E-3</v>
      </c>
      <c r="F107" s="1064">
        <f>deflators_raw!F107</f>
        <v>4.4593389946305803E-3</v>
      </c>
      <c r="G107" s="1064">
        <f>deflators_raw!G107</f>
        <v>0</v>
      </c>
    </row>
    <row r="108" spans="1:7" x14ac:dyDescent="0.3">
      <c r="A108" s="1064" t="str">
        <f>deflators_raw!A108</f>
        <v>1996 Q3</v>
      </c>
      <c r="B108" s="1064">
        <f>deflators_raw!B108</f>
        <v>1.7195373350960198E-2</v>
      </c>
      <c r="C108" s="1064">
        <f>deflators_raw!C108</f>
        <v>2.3444846886997699E-2</v>
      </c>
      <c r="D108" s="1064">
        <f>deflators_raw!D108</f>
        <v>2.5520395448680702E-2</v>
      </c>
      <c r="E108" s="1064">
        <f>deflators_raw!E108</f>
        <v>2.6760970425558899E-2</v>
      </c>
      <c r="F108" s="1064">
        <f>deflators_raw!F108</f>
        <v>1.9993530620905801E-2</v>
      </c>
      <c r="G108" s="1064">
        <f>deflators_raw!G108</f>
        <v>0</v>
      </c>
    </row>
    <row r="109" spans="1:7" x14ac:dyDescent="0.3">
      <c r="A109" s="1064" t="str">
        <f>deflators_raw!A109</f>
        <v>1996 Q4</v>
      </c>
      <c r="B109" s="1064">
        <f>deflators_raw!B109</f>
        <v>2.7544322225657499E-2</v>
      </c>
      <c r="C109" s="1064">
        <f>deflators_raw!C109</f>
        <v>1.3803868113502E-2</v>
      </c>
      <c r="D109" s="1064">
        <f>deflators_raw!D109</f>
        <v>2.9000220413744102E-2</v>
      </c>
      <c r="E109" s="1064">
        <f>deflators_raw!E109</f>
        <v>3.2814056779429501E-2</v>
      </c>
      <c r="F109" s="1064">
        <f>deflators_raw!F109</f>
        <v>1.3007743413415899E-2</v>
      </c>
      <c r="G109" s="1064">
        <f>deflators_raw!G109</f>
        <v>0</v>
      </c>
    </row>
    <row r="110" spans="1:7" x14ac:dyDescent="0.3">
      <c r="A110" s="1064" t="str">
        <f>deflators_raw!A110</f>
        <v>1997 Q1</v>
      </c>
      <c r="B110" s="1064">
        <f>deflators_raw!B110</f>
        <v>1.7773223680601899E-2</v>
      </c>
      <c r="C110" s="1064">
        <f>deflators_raw!C110</f>
        <v>1.36962800731413E-2</v>
      </c>
      <c r="D110" s="1064">
        <f>deflators_raw!D110</f>
        <v>2.6774170865188102E-2</v>
      </c>
      <c r="E110" s="1064">
        <f>deflators_raw!E110</f>
        <v>2.76992412803541E-2</v>
      </c>
      <c r="F110" s="1064">
        <f>deflators_raw!F110</f>
        <v>2.2772194889475902E-2</v>
      </c>
      <c r="G110" s="1064">
        <f>deflators_raw!G110</f>
        <v>0</v>
      </c>
    </row>
    <row r="111" spans="1:7" x14ac:dyDescent="0.3">
      <c r="A111" s="1064" t="str">
        <f>deflators_raw!A111</f>
        <v>1997 Q2</v>
      </c>
      <c r="B111" s="1064">
        <f>deflators_raw!B111</f>
        <v>1.0067171002752701E-2</v>
      </c>
      <c r="C111" s="1064">
        <f>deflators_raw!C111</f>
        <v>2.65913479501769E-2</v>
      </c>
      <c r="D111" s="1064">
        <f>deflators_raw!D111</f>
        <v>1.29933584708952E-2</v>
      </c>
      <c r="E111" s="1064">
        <f>deflators_raw!E111</f>
        <v>9.5884799897107999E-3</v>
      </c>
      <c r="F111" s="1064">
        <f>deflators_raw!F111</f>
        <v>2.7578432526699701E-2</v>
      </c>
      <c r="G111" s="1064">
        <f>deflators_raw!G111</f>
        <v>0</v>
      </c>
    </row>
    <row r="112" spans="1:7" x14ac:dyDescent="0.3">
      <c r="A112" s="1064" t="str">
        <f>deflators_raw!A112</f>
        <v>1997 Q3</v>
      </c>
      <c r="B112" s="1064">
        <f>deflators_raw!B112</f>
        <v>1.05839184448571E-2</v>
      </c>
      <c r="C112" s="1064">
        <f>deflators_raw!C112</f>
        <v>9.2223862003817398E-3</v>
      </c>
      <c r="D112" s="1064">
        <f>deflators_raw!D112</f>
        <v>1.75240784386392E-2</v>
      </c>
      <c r="E112" s="1064">
        <f>deflators_raw!E112</f>
        <v>1.9268623425193102E-2</v>
      </c>
      <c r="F112" s="1064">
        <f>deflators_raw!F112</f>
        <v>1.0181522541022199E-2</v>
      </c>
      <c r="G112" s="1064">
        <f>deflators_raw!G112</f>
        <v>0</v>
      </c>
    </row>
    <row r="113" spans="1:7" x14ac:dyDescent="0.3">
      <c r="A113" s="1064" t="str">
        <f>deflators_raw!A113</f>
        <v>1997 Q4</v>
      </c>
      <c r="B113" s="1064">
        <f>deflators_raw!B113</f>
        <v>1.26121897911931E-2</v>
      </c>
      <c r="C113" s="1064">
        <f>deflators_raw!C113</f>
        <v>2.8333969394931401E-2</v>
      </c>
      <c r="D113" s="1064">
        <f>deflators_raw!D113</f>
        <v>3.1679376610520997E-2</v>
      </c>
      <c r="E113" s="1064">
        <f>deflators_raw!E113</f>
        <v>3.3061309623051399E-2</v>
      </c>
      <c r="F113" s="1064">
        <f>deflators_raw!F113</f>
        <v>2.5996696664996499E-2</v>
      </c>
      <c r="G113" s="1064">
        <f>deflators_raw!G113</f>
        <v>0</v>
      </c>
    </row>
    <row r="114" spans="1:7" x14ac:dyDescent="0.3">
      <c r="A114" s="1064" t="str">
        <f>deflators_raw!A114</f>
        <v>1998 Q1</v>
      </c>
      <c r="B114" s="1064">
        <f>deflators_raw!B114</f>
        <v>3.2090280398078302E-4</v>
      </c>
      <c r="C114" s="1064">
        <f>deflators_raw!C114</f>
        <v>-1.66473304304918E-2</v>
      </c>
      <c r="D114" s="1064">
        <f>deflators_raw!D114</f>
        <v>5.4109448448214099E-3</v>
      </c>
      <c r="E114" s="1064">
        <f>deflators_raw!E114</f>
        <v>6.3326118015940604E-3</v>
      </c>
      <c r="F114" s="1064">
        <f>deflators_raw!F114</f>
        <v>1.3539104320199301E-3</v>
      </c>
      <c r="G114" s="1064">
        <f>deflators_raw!G114</f>
        <v>0</v>
      </c>
    </row>
    <row r="115" spans="1:7" x14ac:dyDescent="0.3">
      <c r="A115" s="1064" t="str">
        <f>deflators_raw!A115</f>
        <v>1998 Q2</v>
      </c>
      <c r="B115" s="1064">
        <f>deflators_raw!B115</f>
        <v>7.2384308298694099E-3</v>
      </c>
      <c r="C115" s="1064">
        <f>deflators_raw!C115</f>
        <v>2.5981704959145799E-2</v>
      </c>
      <c r="D115" s="1064">
        <f>deflators_raw!D115</f>
        <v>1.78273820322872E-2</v>
      </c>
      <c r="E115" s="1064">
        <f>deflators_raw!E115</f>
        <v>2.14418814289523E-2</v>
      </c>
      <c r="F115" s="1064">
        <f>deflators_raw!F115</f>
        <v>2.5146473935451202E-3</v>
      </c>
      <c r="G115" s="1064">
        <f>deflators_raw!G115</f>
        <v>0</v>
      </c>
    </row>
    <row r="116" spans="1:7" x14ac:dyDescent="0.3">
      <c r="A116" s="1064" t="str">
        <f>deflators_raw!A116</f>
        <v>1998 Q3</v>
      </c>
      <c r="B116" s="1064">
        <f>deflators_raw!B116</f>
        <v>1.2387156771827E-2</v>
      </c>
      <c r="C116" s="1064">
        <f>deflators_raw!C116</f>
        <v>2.6407820145390601E-2</v>
      </c>
      <c r="D116" s="1064">
        <f>deflators_raw!D116</f>
        <v>3.0298350256599701E-2</v>
      </c>
      <c r="E116" s="1064">
        <f>deflators_raw!E116</f>
        <v>3.1605845001569703E-2</v>
      </c>
      <c r="F116" s="1064">
        <f>deflators_raw!F116</f>
        <v>2.4885302644445099E-2</v>
      </c>
      <c r="G116" s="1064">
        <f>deflators_raw!G116</f>
        <v>0</v>
      </c>
    </row>
    <row r="117" spans="1:7" x14ac:dyDescent="0.3">
      <c r="A117" s="1064" t="str">
        <f>deflators_raw!A117</f>
        <v>1998 Q4</v>
      </c>
      <c r="B117" s="1064">
        <f>deflators_raw!B117</f>
        <v>1.0631455336088899E-2</v>
      </c>
      <c r="C117" s="1064">
        <f>deflators_raw!C117</f>
        <v>1.29075602616771E-2</v>
      </c>
      <c r="D117" s="1064">
        <f>deflators_raw!D117</f>
        <v>3.38428167690683E-2</v>
      </c>
      <c r="E117" s="1064">
        <f>deflators_raw!E117</f>
        <v>3.6519198475668799E-2</v>
      </c>
      <c r="F117" s="1064">
        <f>deflators_raw!F117</f>
        <v>2.2777873103542599E-2</v>
      </c>
      <c r="G117" s="1064">
        <f>deflators_raw!G117</f>
        <v>0</v>
      </c>
    </row>
    <row r="118" spans="1:7" x14ac:dyDescent="0.3">
      <c r="A118" s="1064" t="str">
        <f>deflators_raw!A118</f>
        <v>1999 Q1</v>
      </c>
      <c r="B118" s="1064">
        <f>deflators_raw!B118</f>
        <v>7.8778546175835001E-3</v>
      </c>
      <c r="C118" s="1064">
        <f>deflators_raw!C118</f>
        <v>1.19346323256166E-2</v>
      </c>
      <c r="D118" s="1064">
        <f>deflators_raw!D118</f>
        <v>3.1086541041110499E-2</v>
      </c>
      <c r="E118" s="1064">
        <f>deflators_raw!E118</f>
        <v>3.4639204699016303E-2</v>
      </c>
      <c r="F118" s="1064">
        <f>deflators_raw!F118</f>
        <v>1.61297394114919E-2</v>
      </c>
      <c r="G118" s="1064">
        <f>deflators_raw!G118</f>
        <v>0</v>
      </c>
    </row>
    <row r="119" spans="1:7" x14ac:dyDescent="0.3">
      <c r="A119" s="1064" t="str">
        <f>deflators_raw!A119</f>
        <v>1999 Q2</v>
      </c>
      <c r="B119" s="1064">
        <f>deflators_raw!B119</f>
        <v>2.2971603454798002E-2</v>
      </c>
      <c r="C119" s="1064">
        <f>deflators_raw!C119</f>
        <v>3.4068264295770097E-2</v>
      </c>
      <c r="D119" s="1064">
        <f>deflators_raw!D119</f>
        <v>5.5237990580782499E-2</v>
      </c>
      <c r="E119" s="1064">
        <f>deflators_raw!E119</f>
        <v>6.1370356227924201E-2</v>
      </c>
      <c r="F119" s="1064">
        <f>deflators_raw!F119</f>
        <v>2.99883116478201E-2</v>
      </c>
      <c r="G119" s="1064">
        <f>deflators_raw!G119</f>
        <v>0</v>
      </c>
    </row>
    <row r="120" spans="1:7" x14ac:dyDescent="0.3">
      <c r="A120" s="1064" t="str">
        <f>deflators_raw!A120</f>
        <v>1999 Q3</v>
      </c>
      <c r="B120" s="1064">
        <f>deflators_raw!B120</f>
        <v>2.21977740334749E-2</v>
      </c>
      <c r="C120" s="1064">
        <f>deflators_raw!C120</f>
        <v>3.6824162588046098E-2</v>
      </c>
      <c r="D120" s="1064">
        <f>deflators_raw!D120</f>
        <v>4.8912778707565802E-2</v>
      </c>
      <c r="E120" s="1064">
        <f>deflators_raw!E120</f>
        <v>5.6562220210462498E-2</v>
      </c>
      <c r="F120" s="1064">
        <f>deflators_raw!F120</f>
        <v>1.6964868305367399E-2</v>
      </c>
      <c r="G120" s="1064">
        <f>deflators_raw!G120</f>
        <v>0</v>
      </c>
    </row>
    <row r="121" spans="1:7" x14ac:dyDescent="0.3">
      <c r="A121" s="1064" t="str">
        <f>deflators_raw!A121</f>
        <v>1999 Q4</v>
      </c>
      <c r="B121" s="1064">
        <f>deflators_raw!B121</f>
        <v>2.4473399596212499E-2</v>
      </c>
      <c r="C121" s="1064">
        <f>deflators_raw!C121</f>
        <v>5.00811045761866E-2</v>
      </c>
      <c r="D121" s="1064">
        <f>deflators_raw!D121</f>
        <v>4.67532839936027E-2</v>
      </c>
      <c r="E121" s="1064">
        <f>deflators_raw!E121</f>
        <v>4.9726482376824199E-2</v>
      </c>
      <c r="F121" s="1064">
        <f>deflators_raw!F121</f>
        <v>3.4513513517111301E-2</v>
      </c>
      <c r="G121" s="1064">
        <f>deflators_raw!G121</f>
        <v>0</v>
      </c>
    </row>
    <row r="122" spans="1:7" x14ac:dyDescent="0.3">
      <c r="A122" s="1064" t="str">
        <f>deflators_raw!A122</f>
        <v>2000 Q1</v>
      </c>
      <c r="B122" s="1064">
        <f>deflators_raw!B122</f>
        <v>3.2886107964122897E-2</v>
      </c>
      <c r="C122" s="1064">
        <f>deflators_raw!C122</f>
        <v>3.9540884737924602E-2</v>
      </c>
      <c r="D122" s="1064">
        <f>deflators_raw!D122</f>
        <v>5.2100481054129198E-2</v>
      </c>
      <c r="E122" s="1064">
        <f>deflators_raw!E122</f>
        <v>5.7040318663066601E-2</v>
      </c>
      <c r="F122" s="1064">
        <f>deflators_raw!F122</f>
        <v>3.2054289459933799E-2</v>
      </c>
      <c r="G122" s="1064">
        <f>deflators_raw!G122</f>
        <v>0</v>
      </c>
    </row>
    <row r="123" spans="1:7" x14ac:dyDescent="0.3">
      <c r="A123" s="1064" t="str">
        <f>deflators_raw!A123</f>
        <v>2000 Q2</v>
      </c>
      <c r="B123" s="1064">
        <f>deflators_raw!B123</f>
        <v>1.9193585341739101E-2</v>
      </c>
      <c r="C123" s="1064">
        <f>deflators_raw!C123</f>
        <v>1.5459188057563401E-2</v>
      </c>
      <c r="D123" s="1064">
        <f>deflators_raw!D123</f>
        <v>4.3137591071386303E-2</v>
      </c>
      <c r="E123" s="1064">
        <f>deflators_raw!E123</f>
        <v>4.2438786901308999E-2</v>
      </c>
      <c r="F123" s="1064">
        <f>deflators_raw!F123</f>
        <v>4.6322155050911397E-2</v>
      </c>
      <c r="G123" s="1064">
        <f>deflators_raw!G123</f>
        <v>0</v>
      </c>
    </row>
    <row r="124" spans="1:7" x14ac:dyDescent="0.3">
      <c r="A124" s="1064" t="str">
        <f>deflators_raw!A124</f>
        <v>2000 Q3</v>
      </c>
      <c r="B124" s="1064">
        <f>deflators_raw!B124</f>
        <v>2.6053548554263901E-2</v>
      </c>
      <c r="C124" s="1064">
        <f>deflators_raw!C124</f>
        <v>2.8949345820011199E-2</v>
      </c>
      <c r="D124" s="1064">
        <f>deflators_raw!D124</f>
        <v>4.3621452355276299E-2</v>
      </c>
      <c r="E124" s="1064">
        <f>deflators_raw!E124</f>
        <v>4.7728620369875199E-2</v>
      </c>
      <c r="F124" s="1064">
        <f>deflators_raw!F124</f>
        <v>2.6457667912965801E-2</v>
      </c>
      <c r="G124" s="1064">
        <f>deflators_raw!G124</f>
        <v>0</v>
      </c>
    </row>
    <row r="125" spans="1:7" x14ac:dyDescent="0.3">
      <c r="A125" s="1064" t="str">
        <f>deflators_raw!A125</f>
        <v>2000 Q4</v>
      </c>
      <c r="B125" s="1064">
        <f>deflators_raw!B125</f>
        <v>2.2816932316492001E-2</v>
      </c>
      <c r="C125" s="1064">
        <f>deflators_raw!C125</f>
        <v>1.82242710503548E-2</v>
      </c>
      <c r="D125" s="1064">
        <f>deflators_raw!D125</f>
        <v>5.08936788411576E-2</v>
      </c>
      <c r="E125" s="1064">
        <f>deflators_raw!E125</f>
        <v>5.7499642478727998E-2</v>
      </c>
      <c r="F125" s="1064">
        <f>deflators_raw!F125</f>
        <v>2.3755596803619598E-2</v>
      </c>
      <c r="G125" s="1064">
        <f>deflators_raw!G125</f>
        <v>0</v>
      </c>
    </row>
    <row r="126" spans="1:7" x14ac:dyDescent="0.3">
      <c r="A126" s="1064" t="str">
        <f>deflators_raw!A126</f>
        <v>2001 Q1</v>
      </c>
      <c r="B126" s="1064">
        <f>deflators_raw!B126</f>
        <v>2.9937016463394299E-2</v>
      </c>
      <c r="C126" s="1064">
        <f>deflators_raw!C126</f>
        <v>6.8223280329673397E-3</v>
      </c>
      <c r="D126" s="1064">
        <f>deflators_raw!D126</f>
        <v>4.8648145175588901E-2</v>
      </c>
      <c r="E126" s="1064">
        <f>deflators_raw!E126</f>
        <v>5.4456520671492398E-2</v>
      </c>
      <c r="F126" s="1064">
        <f>deflators_raw!F126</f>
        <v>2.4902004743710501E-2</v>
      </c>
      <c r="G126" s="1064">
        <f>deflators_raw!G126</f>
        <v>0</v>
      </c>
    </row>
    <row r="127" spans="1:7" x14ac:dyDescent="0.3">
      <c r="A127" s="1064" t="str">
        <f>deflators_raw!A127</f>
        <v>2001 Q2</v>
      </c>
      <c r="B127" s="1064">
        <f>deflators_raw!B127</f>
        <v>1.8884884410707199E-2</v>
      </c>
      <c r="C127" s="1064">
        <f>deflators_raw!C127</f>
        <v>2.1198789662036002E-2</v>
      </c>
      <c r="D127" s="1064">
        <f>deflators_raw!D127</f>
        <v>1.5754024167145698E-2</v>
      </c>
      <c r="E127" s="1064">
        <f>deflators_raw!E127</f>
        <v>1.7060457300781501E-2</v>
      </c>
      <c r="F127" s="1064">
        <f>deflators_raw!F127</f>
        <v>1.0326833438175601E-2</v>
      </c>
      <c r="G127" s="1064">
        <f>deflators_raw!G127</f>
        <v>0</v>
      </c>
    </row>
    <row r="128" spans="1:7" x14ac:dyDescent="0.3">
      <c r="A128" s="1064" t="str">
        <f>deflators_raw!A128</f>
        <v>2001 Q3</v>
      </c>
      <c r="B128" s="1064">
        <f>deflators_raw!B128</f>
        <v>2.0085104332627801E-3</v>
      </c>
      <c r="C128" s="1064">
        <f>deflators_raw!C128</f>
        <v>2.5873085754739799E-2</v>
      </c>
      <c r="D128" s="1064">
        <f>deflators_raw!D128</f>
        <v>1.0539628000638001E-2</v>
      </c>
      <c r="E128" s="1064">
        <f>deflators_raw!E128</f>
        <v>1.0084643678167899E-2</v>
      </c>
      <c r="F128" s="1064">
        <f>deflators_raw!F128</f>
        <v>1.25865662000337E-2</v>
      </c>
      <c r="G128" s="1064">
        <f>deflators_raw!G128</f>
        <v>0</v>
      </c>
    </row>
    <row r="129" spans="1:7" x14ac:dyDescent="0.3">
      <c r="A129" s="1064" t="str">
        <f>deflators_raw!A129</f>
        <v>2001 Q4</v>
      </c>
      <c r="B129" s="1064">
        <f>deflators_raw!B129</f>
        <v>1.65597149400032E-3</v>
      </c>
      <c r="C129" s="1064">
        <f>deflators_raw!C129</f>
        <v>2.61448943379867E-2</v>
      </c>
      <c r="D129" s="1064">
        <f>deflators_raw!D129</f>
        <v>7.8026661107790697E-3</v>
      </c>
      <c r="E129" s="1064">
        <f>deflators_raw!E129</f>
        <v>4.4939487008062197E-3</v>
      </c>
      <c r="F129" s="1064">
        <f>deflators_raw!F129</f>
        <v>2.16417401943385E-2</v>
      </c>
      <c r="G129" s="1064">
        <f>deflators_raw!G129</f>
        <v>0</v>
      </c>
    </row>
    <row r="130" spans="1:7" x14ac:dyDescent="0.3">
      <c r="A130" s="1064" t="str">
        <f>deflators_raw!A130</f>
        <v>2002 Q1</v>
      </c>
      <c r="B130" s="1064">
        <f>deflators_raw!B130</f>
        <v>8.0448095256371293E-3</v>
      </c>
      <c r="C130" s="1064">
        <f>deflators_raw!C130</f>
        <v>2.6192779718551499E-2</v>
      </c>
      <c r="D130" s="1064">
        <f>deflators_raw!D130</f>
        <v>2.4568554219072301E-2</v>
      </c>
      <c r="E130" s="1064">
        <f>deflators_raw!E130</f>
        <v>2.6210777008154801E-2</v>
      </c>
      <c r="F130" s="1064">
        <f>deflators_raw!F130</f>
        <v>1.77439998941584E-2</v>
      </c>
      <c r="G130" s="1064">
        <f>deflators_raw!G130</f>
        <v>0</v>
      </c>
    </row>
    <row r="131" spans="1:7" x14ac:dyDescent="0.3">
      <c r="A131" s="1064" t="str">
        <f>deflators_raw!A131</f>
        <v>2002 Q2</v>
      </c>
      <c r="B131" s="1064">
        <f>deflators_raw!B131</f>
        <v>2.9998743908273201E-2</v>
      </c>
      <c r="C131" s="1064">
        <f>deflators_raw!C131</f>
        <v>3.8349371649444103E-2</v>
      </c>
      <c r="D131" s="1064">
        <f>deflators_raw!D131</f>
        <v>3.6466330566627299E-2</v>
      </c>
      <c r="E131" s="1064">
        <f>deflators_raw!E131</f>
        <v>3.99637104830428E-2</v>
      </c>
      <c r="F131" s="1064">
        <f>deflators_raw!F131</f>
        <v>2.19088618142655E-2</v>
      </c>
      <c r="G131" s="1064">
        <f>deflators_raw!G131</f>
        <v>0</v>
      </c>
    </row>
    <row r="132" spans="1:7" x14ac:dyDescent="0.3">
      <c r="A132" s="1064" t="str">
        <f>deflators_raw!A132</f>
        <v>2002 Q3</v>
      </c>
      <c r="B132" s="1064">
        <f>deflators_raw!B132</f>
        <v>2.0869776308943801E-2</v>
      </c>
      <c r="C132" s="1064">
        <f>deflators_raw!C132</f>
        <v>3.4801584391165798E-2</v>
      </c>
      <c r="D132" s="1064">
        <f>deflators_raw!D132</f>
        <v>2.9067453466692799E-2</v>
      </c>
      <c r="E132" s="1064">
        <f>deflators_raw!E132</f>
        <v>3.3157579483975103E-2</v>
      </c>
      <c r="F132" s="1064">
        <f>deflators_raw!F132</f>
        <v>1.23573378485025E-2</v>
      </c>
      <c r="G132" s="1064">
        <f>deflators_raw!G132</f>
        <v>0</v>
      </c>
    </row>
    <row r="133" spans="1:7" x14ac:dyDescent="0.3">
      <c r="A133" s="1064" t="str">
        <f>deflators_raw!A133</f>
        <v>2002 Q4</v>
      </c>
      <c r="B133" s="1064">
        <f>deflators_raw!B133</f>
        <v>1.8806157080279301E-2</v>
      </c>
      <c r="C133" s="1064">
        <f>deflators_raw!C133</f>
        <v>7.6203068975526894E-2</v>
      </c>
      <c r="D133" s="1064">
        <f>deflators_raw!D133</f>
        <v>3.3825009608851903E-2</v>
      </c>
      <c r="E133" s="1064">
        <f>deflators_raw!E133</f>
        <v>4.04120889716926E-2</v>
      </c>
      <c r="F133" s="1064">
        <f>deflators_raw!F133</f>
        <v>6.9083360828583497E-3</v>
      </c>
      <c r="G133" s="1064">
        <f>deflators_raw!G133</f>
        <v>0</v>
      </c>
    </row>
    <row r="134" spans="1:7" x14ac:dyDescent="0.3">
      <c r="A134" s="1064" t="str">
        <f>deflators_raw!A134</f>
        <v>2003 Q1</v>
      </c>
      <c r="B134" s="1064">
        <f>deflators_raw!B134</f>
        <v>3.0939531110064901E-2</v>
      </c>
      <c r="C134" s="1064">
        <f>deflators_raw!C134</f>
        <v>4.5343406532494003E-2</v>
      </c>
      <c r="D134" s="1064">
        <f>deflators_raw!D134</f>
        <v>5.8196726969511198E-2</v>
      </c>
      <c r="E134" s="1064">
        <f>deflators_raw!E134</f>
        <v>6.4192818314913899E-2</v>
      </c>
      <c r="F134" s="1064">
        <f>deflators_raw!F134</f>
        <v>3.35839967225895E-2</v>
      </c>
      <c r="G134" s="1064">
        <f>deflators_raw!G134</f>
        <v>0</v>
      </c>
    </row>
    <row r="135" spans="1:7" x14ac:dyDescent="0.3">
      <c r="A135" s="1064" t="str">
        <f>deflators_raw!A135</f>
        <v>2003 Q2</v>
      </c>
      <c r="B135" s="1064">
        <f>deflators_raw!B135</f>
        <v>4.0077661469082298E-3</v>
      </c>
      <c r="C135" s="1064">
        <f>deflators_raw!C135</f>
        <v>2.8726975579467701E-2</v>
      </c>
      <c r="D135" s="1064">
        <f>deflators_raw!D135</f>
        <v>2.9064873808690699E-3</v>
      </c>
      <c r="E135" s="1064">
        <f>deflators_raw!E135</f>
        <v>2.60483280529056E-3</v>
      </c>
      <c r="F135" s="1064">
        <f>deflators_raw!F135</f>
        <v>4.1691340309692997E-3</v>
      </c>
      <c r="G135" s="1064">
        <f>deflators_raw!G135</f>
        <v>0</v>
      </c>
    </row>
    <row r="136" spans="1:7" x14ac:dyDescent="0.3">
      <c r="A136" s="1064" t="str">
        <f>deflators_raw!A136</f>
        <v>2003 Q3</v>
      </c>
      <c r="B136" s="1064">
        <f>deflators_raw!B136</f>
        <v>2.6637470683258401E-2</v>
      </c>
      <c r="C136" s="1064">
        <f>deflators_raw!C136</f>
        <v>3.6701160751028999E-2</v>
      </c>
      <c r="D136" s="1064">
        <f>deflators_raw!D136</f>
        <v>2.7107556015981499E-2</v>
      </c>
      <c r="E136" s="1064">
        <f>deflators_raw!E136</f>
        <v>3.2537484109284899E-2</v>
      </c>
      <c r="F136" s="1064">
        <f>deflators_raw!F136</f>
        <v>5.0920666130191998E-3</v>
      </c>
      <c r="G136" s="1064">
        <f>deflators_raw!G136</f>
        <v>0</v>
      </c>
    </row>
    <row r="137" spans="1:7" x14ac:dyDescent="0.3">
      <c r="A137" s="1064" t="str">
        <f>deflators_raw!A137</f>
        <v>2003 Q4</v>
      </c>
      <c r="B137" s="1064">
        <f>deflators_raw!B137</f>
        <v>1.9809591582912799E-2</v>
      </c>
      <c r="C137" s="1064">
        <f>deflators_raw!C137</f>
        <v>3.0297839189273201E-2</v>
      </c>
      <c r="D137" s="1064">
        <f>deflators_raw!D137</f>
        <v>3.1739121685169701E-2</v>
      </c>
      <c r="E137" s="1064">
        <f>deflators_raw!E137</f>
        <v>3.6723057880070603E-2</v>
      </c>
      <c r="F137" s="1064">
        <f>deflators_raw!F137</f>
        <v>1.11208187291489E-2</v>
      </c>
      <c r="G137" s="1064">
        <f>deflators_raw!G137</f>
        <v>0</v>
      </c>
    </row>
    <row r="138" spans="1:7" x14ac:dyDescent="0.3">
      <c r="A138" s="1064" t="str">
        <f>deflators_raw!A138</f>
        <v>2004 Q1</v>
      </c>
      <c r="B138" s="1064">
        <f>deflators_raw!B138</f>
        <v>3.1204615634115699E-2</v>
      </c>
      <c r="C138" s="1064">
        <f>deflators_raw!C138</f>
        <v>3.4471201135703997E-2</v>
      </c>
      <c r="D138" s="1064">
        <f>deflators_raw!D138</f>
        <v>5.1558341847096401E-2</v>
      </c>
      <c r="E138" s="1064">
        <f>deflators_raw!E138</f>
        <v>5.7672124037001303E-2</v>
      </c>
      <c r="F138" s="1064">
        <f>deflators_raw!F138</f>
        <v>2.6313046913832801E-2</v>
      </c>
      <c r="G138" s="1064">
        <f>deflators_raw!G138</f>
        <v>0</v>
      </c>
    </row>
    <row r="139" spans="1:7" x14ac:dyDescent="0.3">
      <c r="A139" s="1064" t="str">
        <f>deflators_raw!A139</f>
        <v>2004 Q2</v>
      </c>
      <c r="B139" s="1064">
        <f>deflators_raw!B139</f>
        <v>2.7200294389546201E-2</v>
      </c>
      <c r="C139" s="1064">
        <f>deflators_raw!C139</f>
        <v>3.5181669062461299E-2</v>
      </c>
      <c r="D139" s="1064">
        <f>deflators_raw!D139</f>
        <v>5.8362051451558601E-2</v>
      </c>
      <c r="E139" s="1064">
        <f>deflators_raw!E139</f>
        <v>5.42271951092188E-2</v>
      </c>
      <c r="F139" s="1064">
        <f>deflators_raw!F139</f>
        <v>7.5544557477534205E-2</v>
      </c>
      <c r="G139" s="1064">
        <f>deflators_raw!G139</f>
        <v>0</v>
      </c>
    </row>
    <row r="140" spans="1:7" x14ac:dyDescent="0.3">
      <c r="A140" s="1064" t="str">
        <f>deflators_raw!A140</f>
        <v>2004 Q3</v>
      </c>
      <c r="B140" s="1064">
        <f>deflators_raw!B140</f>
        <v>1.9813936050087699E-2</v>
      </c>
      <c r="C140" s="1064">
        <f>deflators_raw!C140</f>
        <v>3.71188179062025E-2</v>
      </c>
      <c r="D140" s="1064">
        <f>deflators_raw!D140</f>
        <v>6.6372017523847596E-2</v>
      </c>
      <c r="E140" s="1064">
        <f>deflators_raw!E140</f>
        <v>5.5705667373545202E-2</v>
      </c>
      <c r="F140" s="1064">
        <f>deflators_raw!F140</f>
        <v>0.112118604043563</v>
      </c>
      <c r="G140" s="1064">
        <f>deflators_raw!G140</f>
        <v>0</v>
      </c>
    </row>
    <row r="141" spans="1:7" x14ac:dyDescent="0.3">
      <c r="A141" s="1064" t="str">
        <f>deflators_raw!A141</f>
        <v>2004 Q4</v>
      </c>
      <c r="B141" s="1064">
        <f>deflators_raw!B141</f>
        <v>3.4620969363609901E-2</v>
      </c>
      <c r="C141" s="1064">
        <f>deflators_raw!C141</f>
        <v>3.9499400752586601E-2</v>
      </c>
      <c r="D141" s="1064">
        <f>deflators_raw!D141</f>
        <v>7.0713285275577201E-2</v>
      </c>
      <c r="E141" s="1064">
        <f>deflators_raw!E141</f>
        <v>6.4048552869122796E-2</v>
      </c>
      <c r="F141" s="1064">
        <f>deflators_raw!F141</f>
        <v>9.9586266592777403E-2</v>
      </c>
      <c r="G141" s="1064">
        <f>deflators_raw!G141</f>
        <v>0</v>
      </c>
    </row>
    <row r="142" spans="1:7" x14ac:dyDescent="0.3">
      <c r="A142" s="1064" t="str">
        <f>deflators_raw!A142</f>
        <v>2005 Q1</v>
      </c>
      <c r="B142" s="1064">
        <f>deflators_raw!B142</f>
        <v>2.34535899973984E-2</v>
      </c>
      <c r="C142" s="1064">
        <f>deflators_raw!C142</f>
        <v>5.3706890981395999E-2</v>
      </c>
      <c r="D142" s="1064">
        <f>deflators_raw!D142</f>
        <v>3.6431516961551003E-2</v>
      </c>
      <c r="E142" s="1064">
        <f>deflators_raw!E142</f>
        <v>3.69057460702173E-2</v>
      </c>
      <c r="F142" s="1064">
        <f>deflators_raw!F142</f>
        <v>3.4210597371460802E-2</v>
      </c>
      <c r="G142" s="1064">
        <f>deflators_raw!G142</f>
        <v>0</v>
      </c>
    </row>
    <row r="143" spans="1:7" x14ac:dyDescent="0.3">
      <c r="A143" s="1064" t="str">
        <f>deflators_raw!A143</f>
        <v>2005 Q2</v>
      </c>
      <c r="B143" s="1064">
        <f>deflators_raw!B143</f>
        <v>2.5499802950129401E-2</v>
      </c>
      <c r="C143" s="1064">
        <f>deflators_raw!C143</f>
        <v>3.6566859174503898E-2</v>
      </c>
      <c r="D143" s="1064">
        <f>deflators_raw!D143</f>
        <v>5.21679913838453E-2</v>
      </c>
      <c r="E143" s="1064">
        <f>deflators_raw!E143</f>
        <v>4.6392177019789503E-2</v>
      </c>
      <c r="F143" s="1064">
        <f>deflators_raw!F143</f>
        <v>7.7400259900339399E-2</v>
      </c>
      <c r="G143" s="1064">
        <f>deflators_raw!G143</f>
        <v>0</v>
      </c>
    </row>
    <row r="144" spans="1:7" x14ac:dyDescent="0.3">
      <c r="A144" s="1064" t="str">
        <f>deflators_raw!A144</f>
        <v>2005 Q3</v>
      </c>
      <c r="B144" s="1064">
        <f>deflators_raw!B144</f>
        <v>4.3914132970667798E-2</v>
      </c>
      <c r="C144" s="1064">
        <f>deflators_raw!C144</f>
        <v>4.2425430776049898E-2</v>
      </c>
      <c r="D144" s="1064">
        <f>deflators_raw!D144</f>
        <v>6.5459325261808296E-2</v>
      </c>
      <c r="E144" s="1064">
        <f>deflators_raw!E144</f>
        <v>5.93159029125543E-2</v>
      </c>
      <c r="F144" s="1064">
        <f>deflators_raw!F144</f>
        <v>9.2099438138909306E-2</v>
      </c>
      <c r="G144" s="1064">
        <f>deflators_raw!G144</f>
        <v>0</v>
      </c>
    </row>
    <row r="145" spans="1:7" x14ac:dyDescent="0.3">
      <c r="A145" s="1064" t="str">
        <f>deflators_raw!A145</f>
        <v>2005 Q4</v>
      </c>
      <c r="B145" s="1064">
        <f>deflators_raw!B145</f>
        <v>3.2225013743436802E-2</v>
      </c>
      <c r="C145" s="1064">
        <f>deflators_raw!C145</f>
        <v>2.9052051363888599E-2</v>
      </c>
      <c r="D145" s="1064">
        <f>deflators_raw!D145</f>
        <v>6.6969533653351301E-2</v>
      </c>
      <c r="E145" s="1064">
        <f>deflators_raw!E145</f>
        <v>6.9322056053448003E-2</v>
      </c>
      <c r="F145" s="1064">
        <f>deflators_raw!F145</f>
        <v>5.6967190258747399E-2</v>
      </c>
      <c r="G145" s="1064">
        <f>deflators_raw!G145</f>
        <v>0</v>
      </c>
    </row>
    <row r="146" spans="1:7" x14ac:dyDescent="0.3">
      <c r="A146" s="1064" t="str">
        <f>deflators_raw!A146</f>
        <v>2006 Q1</v>
      </c>
      <c r="B146" s="1064">
        <f>deflators_raw!B146</f>
        <v>2.0935342800184199E-2</v>
      </c>
      <c r="C146" s="1064">
        <f>deflators_raw!C146</f>
        <v>3.4093201961780999E-2</v>
      </c>
      <c r="D146" s="1064">
        <f>deflators_raw!D146</f>
        <v>2.8774072598683802E-2</v>
      </c>
      <c r="E146" s="1064">
        <f>deflators_raw!E146</f>
        <v>2.9725271896635399E-2</v>
      </c>
      <c r="F146" s="1064">
        <f>deflators_raw!F146</f>
        <v>2.50876168066392E-2</v>
      </c>
      <c r="G146" s="1064">
        <f>deflators_raw!G146</f>
        <v>0</v>
      </c>
    </row>
    <row r="147" spans="1:7" x14ac:dyDescent="0.3">
      <c r="A147" s="1064" t="str">
        <f>deflators_raw!A147</f>
        <v>2006 Q2</v>
      </c>
      <c r="B147" s="1064">
        <f>deflators_raw!B147</f>
        <v>3.5555363218846101E-2</v>
      </c>
      <c r="C147" s="1064">
        <f>deflators_raw!C147</f>
        <v>2.8135458399094499E-2</v>
      </c>
      <c r="D147" s="1064">
        <f>deflators_raw!D147</f>
        <v>6.2837412602848405E-2</v>
      </c>
      <c r="E147" s="1064">
        <f>deflators_raw!E147</f>
        <v>5.61203132204302E-2</v>
      </c>
      <c r="F147" s="1064">
        <f>deflators_raw!F147</f>
        <v>9.1105361450751501E-2</v>
      </c>
      <c r="G147" s="1064">
        <f>deflators_raw!G147</f>
        <v>0</v>
      </c>
    </row>
    <row r="148" spans="1:7" x14ac:dyDescent="0.3">
      <c r="A148" s="1064" t="str">
        <f>deflators_raw!A148</f>
        <v>2006 Q3</v>
      </c>
      <c r="B148" s="1064">
        <f>deflators_raw!B148</f>
        <v>2.9090990484891902E-2</v>
      </c>
      <c r="C148" s="1064">
        <f>deflators_raw!C148</f>
        <v>2.9966625510563099E-2</v>
      </c>
      <c r="D148" s="1064">
        <f>deflators_raw!D148</f>
        <v>4.07360601876912E-2</v>
      </c>
      <c r="E148" s="1064">
        <f>deflators_raw!E148</f>
        <v>3.6843754178801799E-2</v>
      </c>
      <c r="F148" s="1064">
        <f>deflators_raw!F148</f>
        <v>5.6869734933791702E-2</v>
      </c>
      <c r="G148" s="1064">
        <f>deflators_raw!G148</f>
        <v>0</v>
      </c>
    </row>
    <row r="149" spans="1:7" x14ac:dyDescent="0.3">
      <c r="A149" s="1064" t="str">
        <f>deflators_raw!A149</f>
        <v>2006 Q4</v>
      </c>
      <c r="B149" s="1064">
        <f>deflators_raw!B149</f>
        <v>-6.5707467210734897E-3</v>
      </c>
      <c r="C149" s="1064">
        <f>deflators_raw!C149</f>
        <v>2.09838687014814E-2</v>
      </c>
      <c r="D149" s="1064">
        <f>deflators_raw!D149</f>
        <v>4.2971451015771302E-2</v>
      </c>
      <c r="E149" s="1064">
        <f>deflators_raw!E149</f>
        <v>3.0338463665483501E-2</v>
      </c>
      <c r="F149" s="1064">
        <f>deflators_raw!F149</f>
        <v>9.7213617262259494E-2</v>
      </c>
      <c r="G149" s="1064">
        <f>deflators_raw!G149</f>
        <v>0</v>
      </c>
    </row>
    <row r="150" spans="1:7" x14ac:dyDescent="0.3">
      <c r="A150" s="1064" t="str">
        <f>deflators_raw!A150</f>
        <v>2007 Q1</v>
      </c>
      <c r="B150" s="1064">
        <f>deflators_raw!B150</f>
        <v>3.7059917165470399E-2</v>
      </c>
      <c r="C150" s="1064">
        <f>deflators_raw!C150</f>
        <v>3.4651107406359301E-2</v>
      </c>
      <c r="D150" s="1064">
        <f>deflators_raw!D150</f>
        <v>7.8585662480562105E-2</v>
      </c>
      <c r="E150" s="1064">
        <f>deflators_raw!E150</f>
        <v>7.2299496950969405E-2</v>
      </c>
      <c r="F150" s="1064">
        <f>deflators_raw!F150</f>
        <v>0.104792955269219</v>
      </c>
      <c r="G150" s="1064">
        <f>deflators_raw!G150</f>
        <v>0</v>
      </c>
    </row>
    <row r="151" spans="1:7" x14ac:dyDescent="0.3">
      <c r="A151" s="1064" t="str">
        <f>deflators_raw!A151</f>
        <v>2007 Q2</v>
      </c>
      <c r="B151" s="1064">
        <f>deflators_raw!B151</f>
        <v>3.4406916686266602E-2</v>
      </c>
      <c r="C151" s="1064">
        <f>deflators_raw!C151</f>
        <v>3.2361806516408201E-2</v>
      </c>
      <c r="D151" s="1064">
        <f>deflators_raw!D151</f>
        <v>4.3801176802868498E-2</v>
      </c>
      <c r="E151" s="1064">
        <f>deflators_raw!E151</f>
        <v>4.4022069506022297E-2</v>
      </c>
      <c r="F151" s="1064">
        <f>deflators_raw!F151</f>
        <v>4.2476788274359099E-2</v>
      </c>
      <c r="G151" s="1064">
        <f>deflators_raw!G151</f>
        <v>0</v>
      </c>
    </row>
    <row r="152" spans="1:7" x14ac:dyDescent="0.3">
      <c r="A152" s="1064" t="str">
        <f>deflators_raw!A152</f>
        <v>2007 Q3</v>
      </c>
      <c r="B152" s="1064">
        <f>deflators_raw!B152</f>
        <v>2.2795387185985401E-2</v>
      </c>
      <c r="C152" s="1064">
        <f>deflators_raw!C152</f>
        <v>2.78463672712683E-2</v>
      </c>
      <c r="D152" s="1064">
        <f>deflators_raw!D152</f>
        <v>4.4222539432221097E-2</v>
      </c>
      <c r="E152" s="1064">
        <f>deflators_raw!E152</f>
        <v>4.5480126137950501E-2</v>
      </c>
      <c r="F152" s="1064">
        <f>deflators_raw!F152</f>
        <v>3.9088464000031499E-2</v>
      </c>
      <c r="G152" s="1064">
        <f>deflators_raw!G152</f>
        <v>0</v>
      </c>
    </row>
    <row r="153" spans="1:7" x14ac:dyDescent="0.3">
      <c r="A153" s="1064" t="str">
        <f>deflators_raw!A153</f>
        <v>2007 Q4</v>
      </c>
      <c r="B153" s="1064">
        <f>deflators_raw!B153</f>
        <v>4.1308326629664098E-2</v>
      </c>
      <c r="C153" s="1064">
        <f>deflators_raw!C153</f>
        <v>3.2459146974833902E-2</v>
      </c>
      <c r="D153" s="1064">
        <f>deflators_raw!D153</f>
        <v>5.9308398195111703E-2</v>
      </c>
      <c r="E153" s="1064">
        <f>deflators_raw!E153</f>
        <v>6.2039731527971001E-2</v>
      </c>
      <c r="F153" s="1064">
        <f>deflators_raw!F153</f>
        <v>4.7886506250196997E-2</v>
      </c>
      <c r="G153" s="1064">
        <f>deflators_raw!G153</f>
        <v>0</v>
      </c>
    </row>
    <row r="154" spans="1:7" x14ac:dyDescent="0.3">
      <c r="A154" s="1064" t="str">
        <f>deflators_raw!A154</f>
        <v>2008 Q1</v>
      </c>
      <c r="B154" s="1064">
        <f>deflators_raw!B154</f>
        <v>3.2954987594988598E-2</v>
      </c>
      <c r="C154" s="1064">
        <f>deflators_raw!C154</f>
        <v>3.4144429632388298E-2</v>
      </c>
      <c r="D154" s="1064">
        <f>deflators_raw!D154</f>
        <v>6.5660768227846694E-2</v>
      </c>
      <c r="E154" s="1064">
        <f>deflators_raw!E154</f>
        <v>7.23147883586404E-2</v>
      </c>
      <c r="F154" s="1064">
        <f>deflators_raw!F154</f>
        <v>3.8436409888859401E-2</v>
      </c>
      <c r="G154" s="1064">
        <f>deflators_raw!G154</f>
        <v>0</v>
      </c>
    </row>
    <row r="155" spans="1:7" x14ac:dyDescent="0.3">
      <c r="A155" s="1064" t="str">
        <f>deflators_raw!A155</f>
        <v>2008 Q2</v>
      </c>
      <c r="B155" s="1064">
        <f>deflators_raw!B155</f>
        <v>3.9493950261418401E-2</v>
      </c>
      <c r="C155" s="1064">
        <f>deflators_raw!C155</f>
        <v>4.1602053152730099E-2</v>
      </c>
      <c r="D155" s="1064">
        <f>deflators_raw!D155</f>
        <v>5.6861353066109101E-2</v>
      </c>
      <c r="E155" s="1064">
        <f>deflators_raw!E155</f>
        <v>6.3263019462217004E-2</v>
      </c>
      <c r="F155" s="1064">
        <f>deflators_raw!F155</f>
        <v>3.1126430511134499E-2</v>
      </c>
      <c r="G155" s="1064">
        <f>deflators_raw!G155</f>
        <v>0</v>
      </c>
    </row>
    <row r="156" spans="1:7" x14ac:dyDescent="0.3">
      <c r="A156" s="1064" t="str">
        <f>deflators_raw!A156</f>
        <v>2008 Q3</v>
      </c>
      <c r="B156" s="1064">
        <f>deflators_raw!B156</f>
        <v>4.3386852489040402E-2</v>
      </c>
      <c r="C156" s="1064">
        <f>deflators_raw!C156</f>
        <v>3.03408157550791E-2</v>
      </c>
      <c r="D156" s="1064">
        <f>deflators_raw!D156</f>
        <v>5.4759676802432801E-2</v>
      </c>
      <c r="E156" s="1064">
        <f>deflators_raw!E156</f>
        <v>5.52136316684275E-2</v>
      </c>
      <c r="F156" s="1064">
        <f>deflators_raw!F156</f>
        <v>5.2701497522020399E-2</v>
      </c>
      <c r="G156" s="1064">
        <f>deflators_raw!G156</f>
        <v>0</v>
      </c>
    </row>
    <row r="157" spans="1:7" x14ac:dyDescent="0.3">
      <c r="A157" s="1064" t="str">
        <f>deflators_raw!A157</f>
        <v>2008 Q4</v>
      </c>
      <c r="B157" s="1064">
        <f>deflators_raw!B157</f>
        <v>-6.2360196436278902E-2</v>
      </c>
      <c r="C157" s="1064">
        <f>deflators_raw!C157</f>
        <v>-1.8917326805224201E-2</v>
      </c>
      <c r="D157" s="1064">
        <f>deflators_raw!D157</f>
        <v>-4.6744094426787702E-2</v>
      </c>
      <c r="E157" s="1064">
        <f>deflators_raw!E157</f>
        <v>-7.4155067193705196E-2</v>
      </c>
      <c r="F157" s="1064">
        <f>deflators_raw!F157</f>
        <v>7.5335045349203197E-2</v>
      </c>
      <c r="G157" s="1064">
        <f>deflators_raw!G157</f>
        <v>0</v>
      </c>
    </row>
    <row r="158" spans="1:7" x14ac:dyDescent="0.3">
      <c r="A158" s="1064" t="str">
        <f>deflators_raw!A158</f>
        <v>2009 Q1</v>
      </c>
      <c r="B158" s="1064">
        <f>deflators_raw!B158</f>
        <v>-2.6731212813050201E-2</v>
      </c>
      <c r="C158" s="1064">
        <f>deflators_raw!C158</f>
        <v>-3.3135327897025703E-2</v>
      </c>
      <c r="D158" s="1064">
        <f>deflators_raw!D158</f>
        <v>-5.0828944700739398E-2</v>
      </c>
      <c r="E158" s="1064">
        <f>deflators_raw!E158</f>
        <v>-6.8462037949067106E-2</v>
      </c>
      <c r="F158" s="1064">
        <f>deflators_raw!F158</f>
        <v>2.5185264843212301E-2</v>
      </c>
      <c r="G158" s="1064">
        <f>deflators_raw!G158</f>
        <v>0</v>
      </c>
    </row>
    <row r="159" spans="1:7" x14ac:dyDescent="0.3">
      <c r="A159" s="1064" t="str">
        <f>deflators_raw!A159</f>
        <v>2009 Q2</v>
      </c>
      <c r="B159" s="1064">
        <f>deflators_raw!B159</f>
        <v>1.6004255010514602E-2</v>
      </c>
      <c r="C159" s="1064">
        <f>deflators_raw!C159</f>
        <v>7.2471101838833497E-4</v>
      </c>
      <c r="D159" s="1064">
        <f>deflators_raw!D159</f>
        <v>8.8167512561174704E-3</v>
      </c>
      <c r="E159" s="1064">
        <f>deflators_raw!E159</f>
        <v>1.9832196265286098E-2</v>
      </c>
      <c r="F159" s="1064">
        <f>deflators_raw!F159</f>
        <v>-3.4674689642026801E-2</v>
      </c>
      <c r="G159" s="1064">
        <f>deflators_raw!G159</f>
        <v>0</v>
      </c>
    </row>
    <row r="160" spans="1:7" x14ac:dyDescent="0.3">
      <c r="A160" s="1064" t="str">
        <f>deflators_raw!A160</f>
        <v>2009 Q3</v>
      </c>
      <c r="B160" s="1064">
        <f>deflators_raw!B160</f>
        <v>2.78350080421834E-2</v>
      </c>
      <c r="C160" s="1064">
        <f>deflators_raw!C160</f>
        <v>1.22854862155337E-2</v>
      </c>
      <c r="D160" s="1064">
        <f>deflators_raw!D160</f>
        <v>2.06173124531559E-2</v>
      </c>
      <c r="E160" s="1064">
        <f>deflators_raw!E160</f>
        <v>3.47933032481611E-2</v>
      </c>
      <c r="F160" s="1064">
        <f>deflators_raw!F160</f>
        <v>-3.55556982427905E-2</v>
      </c>
      <c r="G160" s="1064">
        <f>deflators_raw!G160</f>
        <v>0</v>
      </c>
    </row>
    <row r="161" spans="1:7" x14ac:dyDescent="0.3">
      <c r="A161" s="1064" t="str">
        <f>deflators_raw!A161</f>
        <v>2009 Q4</v>
      </c>
      <c r="B161" s="1064">
        <f>deflators_raw!B161</f>
        <v>3.1240948480233E-2</v>
      </c>
      <c r="C161" s="1064">
        <f>deflators_raw!C161</f>
        <v>3.11127095791379E-2</v>
      </c>
      <c r="D161" s="1064">
        <f>deflators_raw!D161</f>
        <v>2.9708718433870501E-2</v>
      </c>
      <c r="E161" s="1064">
        <f>deflators_raw!E161</f>
        <v>3.76238534925952E-2</v>
      </c>
      <c r="F161" s="1064">
        <f>deflators_raw!F161</f>
        <v>-3.0769865450653898E-3</v>
      </c>
      <c r="G161" s="1064">
        <f>deflators_raw!G161</f>
        <v>0</v>
      </c>
    </row>
    <row r="162" spans="1:7" x14ac:dyDescent="0.3">
      <c r="A162" s="1064" t="str">
        <f>deflators_raw!A162</f>
        <v>2010 Q1</v>
      </c>
      <c r="B162" s="1064">
        <f>deflators_raw!B162</f>
        <v>1.5538458112328299E-2</v>
      </c>
      <c r="C162" s="1064">
        <f>deflators_raw!C162</f>
        <v>2.5706833981413501E-2</v>
      </c>
      <c r="D162" s="1064">
        <f>deflators_raw!D162</f>
        <v>4.0232060366665899E-2</v>
      </c>
      <c r="E162" s="1064">
        <f>deflators_raw!E162</f>
        <v>4.6975487060338501E-2</v>
      </c>
      <c r="F162" s="1064">
        <f>deflators_raw!F162</f>
        <v>1.13952226394907E-2</v>
      </c>
      <c r="G162" s="1064">
        <f>deflators_raw!G162</f>
        <v>0</v>
      </c>
    </row>
    <row r="163" spans="1:7" x14ac:dyDescent="0.3">
      <c r="A163" s="1064" t="str">
        <f>deflators_raw!A163</f>
        <v>2010 Q2</v>
      </c>
      <c r="B163" s="1064">
        <f>deflators_raw!B163</f>
        <v>6.2204942357442202E-3</v>
      </c>
      <c r="C163" s="1064">
        <f>deflators_raw!C163</f>
        <v>3.1017939025557401E-2</v>
      </c>
      <c r="D163" s="1064">
        <f>deflators_raw!D163</f>
        <v>2.693219932312E-2</v>
      </c>
      <c r="E163" s="1064">
        <f>deflators_raw!E163</f>
        <v>2.9062361366274402E-2</v>
      </c>
      <c r="F163" s="1064">
        <f>deflators_raw!F163</f>
        <v>1.7491325837778699E-2</v>
      </c>
      <c r="G163" s="1064">
        <f>deflators_raw!G163</f>
        <v>0</v>
      </c>
    </row>
    <row r="164" spans="1:7" x14ac:dyDescent="0.3">
      <c r="A164" s="1064" t="str">
        <f>deflators_raw!A164</f>
        <v>2010 Q3</v>
      </c>
      <c r="B164" s="1064">
        <f>deflators_raw!B164</f>
        <v>7.72594376628044E-3</v>
      </c>
      <c r="C164" s="1064">
        <f>deflators_raw!C164</f>
        <v>1.59750935835106E-2</v>
      </c>
      <c r="D164" s="1064">
        <f>deflators_raw!D164</f>
        <v>2.11009160463198E-2</v>
      </c>
      <c r="E164" s="1064">
        <f>deflators_raw!E164</f>
        <v>2.3067349052007899E-2</v>
      </c>
      <c r="F164" s="1064">
        <f>deflators_raw!F164</f>
        <v>1.2643202128826501E-2</v>
      </c>
      <c r="G164" s="1064">
        <f>deflators_raw!G164</f>
        <v>0</v>
      </c>
    </row>
    <row r="165" spans="1:7" x14ac:dyDescent="0.3">
      <c r="A165" s="1064" t="str">
        <f>deflators_raw!A165</f>
        <v>2010 Q4</v>
      </c>
      <c r="B165" s="1064">
        <f>deflators_raw!B165</f>
        <v>2.5862689650447499E-2</v>
      </c>
      <c r="C165" s="1064">
        <f>deflators_raw!C165</f>
        <v>3.29452826155043E-2</v>
      </c>
      <c r="D165" s="1064">
        <f>deflators_raw!D165</f>
        <v>3.4200107003750799E-2</v>
      </c>
      <c r="E165" s="1064">
        <f>deflators_raw!E165</f>
        <v>3.7879756208726099E-2</v>
      </c>
      <c r="F165" s="1064">
        <f>deflators_raw!F165</f>
        <v>1.8090208281751299E-2</v>
      </c>
      <c r="G165" s="1064">
        <f>deflators_raw!G165</f>
        <v>0</v>
      </c>
    </row>
    <row r="166" spans="1:7" x14ac:dyDescent="0.3">
      <c r="A166" s="1064" t="str">
        <f>deflators_raw!A166</f>
        <v>2011 Q1</v>
      </c>
      <c r="B166" s="1064">
        <f>deflators_raw!B166</f>
        <v>3.4016266815046298E-2</v>
      </c>
      <c r="C166" s="1064">
        <f>deflators_raw!C166</f>
        <v>3.64259738306612E-2</v>
      </c>
      <c r="D166" s="1064">
        <f>deflators_raw!D166</f>
        <v>4.12597463779956E-2</v>
      </c>
      <c r="E166" s="1064">
        <f>deflators_raw!E166</f>
        <v>4.5137017344844002E-2</v>
      </c>
      <c r="F166" s="1064">
        <f>deflators_raw!F166</f>
        <v>2.4394704867924499E-2</v>
      </c>
      <c r="G166" s="1064">
        <f>deflators_raw!G166</f>
        <v>0</v>
      </c>
    </row>
    <row r="167" spans="1:7" x14ac:dyDescent="0.3">
      <c r="A167" s="1064" t="str">
        <f>deflators_raw!A167</f>
        <v>2011 Q2</v>
      </c>
      <c r="B167" s="1064">
        <f>deflators_raw!B167</f>
        <v>3.9906323464895102E-2</v>
      </c>
      <c r="C167" s="1064">
        <f>deflators_raw!C167</f>
        <v>3.6682670107609103E-2</v>
      </c>
      <c r="D167" s="1064">
        <f>deflators_raw!D167</f>
        <v>4.9051100435819797E-2</v>
      </c>
      <c r="E167" s="1064">
        <f>deflators_raw!E167</f>
        <v>5.0829697512543702E-2</v>
      </c>
      <c r="F167" s="1064">
        <f>deflators_raw!F167</f>
        <v>4.1043493786856698E-2</v>
      </c>
      <c r="G167" s="1064">
        <f>deflators_raw!G167</f>
        <v>0</v>
      </c>
    </row>
    <row r="168" spans="1:7" x14ac:dyDescent="0.3">
      <c r="A168" s="1064" t="str">
        <f>deflators_raw!A168</f>
        <v>2011 Q3</v>
      </c>
      <c r="B168" s="1064">
        <f>deflators_raw!B168</f>
        <v>1.8640626124373699E-2</v>
      </c>
      <c r="C168" s="1064">
        <f>deflators_raw!C168</f>
        <v>1.39908352832361E-2</v>
      </c>
      <c r="D168" s="1064">
        <f>deflators_raw!D168</f>
        <v>2.0811922414161198E-2</v>
      </c>
      <c r="E168" s="1064">
        <f>deflators_raw!E168</f>
        <v>1.5247657751557699E-2</v>
      </c>
      <c r="F168" s="1064">
        <f>deflators_raw!F168</f>
        <v>4.5983903903995101E-2</v>
      </c>
      <c r="G168" s="1064">
        <f>deflators_raw!G168</f>
        <v>0</v>
      </c>
    </row>
    <row r="169" spans="1:7" x14ac:dyDescent="0.3">
      <c r="A169" s="1064" t="str">
        <f>deflators_raw!A169</f>
        <v>2011 Q4</v>
      </c>
      <c r="B169" s="1064">
        <f>deflators_raw!B169</f>
        <v>1.32561299755005E-2</v>
      </c>
      <c r="C169" s="1064">
        <f>deflators_raw!C169</f>
        <v>-5.33618345022691E-3</v>
      </c>
      <c r="D169" s="1064">
        <f>deflators_raw!D169</f>
        <v>-4.6704458177309104E-3</v>
      </c>
      <c r="E169" s="1064">
        <f>deflators_raw!E169</f>
        <v>-1.40950235359611E-2</v>
      </c>
      <c r="F169" s="1064">
        <f>deflators_raw!F169</f>
        <v>3.8137779822804398E-2</v>
      </c>
      <c r="G169" s="1064">
        <f>deflators_raw!G169</f>
        <v>0</v>
      </c>
    </row>
    <row r="170" spans="1:7" x14ac:dyDescent="0.3">
      <c r="A170" s="1064" t="str">
        <f>deflators_raw!A170</f>
        <v>2012 Q1</v>
      </c>
      <c r="B170" s="1064">
        <f>deflators_raw!B170</f>
        <v>2.6761481120787502E-2</v>
      </c>
      <c r="C170" s="1064">
        <f>deflators_raw!C170</f>
        <v>1.39201532997375E-2</v>
      </c>
      <c r="D170" s="1064">
        <f>deflators_raw!D170</f>
        <v>4.96543347638621E-2</v>
      </c>
      <c r="E170" s="1064">
        <f>deflators_raw!E170</f>
        <v>5.4116713606157101E-2</v>
      </c>
      <c r="F170" s="1064">
        <f>deflators_raw!F170</f>
        <v>3.0312571909831599E-2</v>
      </c>
      <c r="G170" s="1064">
        <f>deflators_raw!G170</f>
        <v>0</v>
      </c>
    </row>
    <row r="171" spans="1:7" x14ac:dyDescent="0.3">
      <c r="A171" s="1064" t="str">
        <f>deflators_raw!A171</f>
        <v>2012 Q2</v>
      </c>
      <c r="B171" s="1064">
        <f>deflators_raw!B171</f>
        <v>9.7203652064314899E-3</v>
      </c>
      <c r="C171" s="1064">
        <f>deflators_raw!C171</f>
        <v>8.8550245823753003E-3</v>
      </c>
      <c r="D171" s="1064">
        <f>deflators_raw!D171</f>
        <v>4.0241651109829101E-5</v>
      </c>
      <c r="E171" s="1064">
        <f>deflators_raw!E171</f>
        <v>-6.9787462524018001E-3</v>
      </c>
      <c r="F171" s="1064">
        <f>deflators_raw!F171</f>
        <v>3.2273930792219303E-2</v>
      </c>
      <c r="G171" s="1064">
        <f>deflators_raw!G171</f>
        <v>0</v>
      </c>
    </row>
    <row r="172" spans="1:7" x14ac:dyDescent="0.3">
      <c r="A172" s="1064" t="str">
        <f>deflators_raw!A172</f>
        <v>2012 Q3</v>
      </c>
      <c r="B172" s="1064">
        <f>deflators_raw!B172</f>
        <v>1.1676944984941699E-2</v>
      </c>
      <c r="C172" s="1064">
        <f>deflators_raw!C172</f>
        <v>7.7077122555302396E-3</v>
      </c>
      <c r="D172" s="1064">
        <f>deflators_raw!D172</f>
        <v>2.3872274816542499E-2</v>
      </c>
      <c r="E172" s="1064">
        <f>deflators_raw!E172</f>
        <v>2.44311343320835E-2</v>
      </c>
      <c r="F172" s="1064">
        <f>deflators_raw!F172</f>
        <v>2.17207841742009E-2</v>
      </c>
      <c r="G172" s="1064">
        <f>deflators_raw!G172</f>
        <v>0</v>
      </c>
    </row>
    <row r="173" spans="1:7" x14ac:dyDescent="0.3">
      <c r="A173" s="1064" t="str">
        <f>deflators_raw!A173</f>
        <v>2012 Q4</v>
      </c>
      <c r="B173" s="1064">
        <f>deflators_raw!B173</f>
        <v>2.2614716677978E-2</v>
      </c>
      <c r="C173" s="1064">
        <f>deflators_raw!C173</f>
        <v>4.9632662336496196E-3</v>
      </c>
      <c r="D173" s="1064">
        <f>deflators_raw!D173</f>
        <v>4.96224168517563E-2</v>
      </c>
      <c r="E173" s="1064">
        <f>deflators_raw!E173</f>
        <v>5.8918140200379103E-2</v>
      </c>
      <c r="F173" s="1064">
        <f>deflators_raw!F173</f>
        <v>7.9104688711333394E-3</v>
      </c>
      <c r="G173" s="1064">
        <f>deflators_raw!G173</f>
        <v>0</v>
      </c>
    </row>
    <row r="174" spans="1:7" x14ac:dyDescent="0.3">
      <c r="A174" s="1064" t="str">
        <f>deflators_raw!A174</f>
        <v>2013 Q1</v>
      </c>
      <c r="B174" s="1064">
        <f>deflators_raw!B174</f>
        <v>1.45079389824292E-2</v>
      </c>
      <c r="C174" s="1064">
        <f>deflators_raw!C174</f>
        <v>-1.9949826125076301E-4</v>
      </c>
      <c r="D174" s="1064">
        <f>deflators_raw!D174</f>
        <v>4.6763117028620897E-2</v>
      </c>
      <c r="E174" s="1064">
        <f>deflators_raw!E174</f>
        <v>5.3376513955371498E-2</v>
      </c>
      <c r="F174" s="1064">
        <f>deflators_raw!F174</f>
        <v>1.6319173615011201E-2</v>
      </c>
      <c r="G174" s="1064">
        <f>deflators_raw!G174</f>
        <v>0</v>
      </c>
    </row>
    <row r="175" spans="1:7" x14ac:dyDescent="0.3">
      <c r="A175" s="1064" t="str">
        <f>deflators_raw!A175</f>
        <v>2013 Q2</v>
      </c>
      <c r="B175" s="1064">
        <f>deflators_raw!B175</f>
        <v>2.8548469670495202E-3</v>
      </c>
      <c r="C175" s="1064">
        <f>deflators_raw!C175</f>
        <v>7.9245575399269404E-3</v>
      </c>
      <c r="D175" s="1064">
        <f>deflators_raw!D175</f>
        <v>2.1306958529263599E-2</v>
      </c>
      <c r="E175" s="1064">
        <f>deflators_raw!E175</f>
        <v>2.14833879994034E-2</v>
      </c>
      <c r="F175" s="1064">
        <f>deflators_raw!F175</f>
        <v>2.0547855013869399E-2</v>
      </c>
      <c r="G175" s="1064">
        <f>deflators_raw!G175</f>
        <v>0</v>
      </c>
    </row>
    <row r="176" spans="1:7" x14ac:dyDescent="0.3">
      <c r="A176" s="1064" t="str">
        <f>deflators_raw!A176</f>
        <v>2013 Q3</v>
      </c>
      <c r="B176" s="1064">
        <f>deflators_raw!B176</f>
        <v>1.6326843500240801E-2</v>
      </c>
      <c r="C176" s="1064">
        <f>deflators_raw!C176</f>
        <v>1.3006397529373E-2</v>
      </c>
      <c r="D176" s="1064">
        <f>deflators_raw!D176</f>
        <v>3.2055840580270702E-2</v>
      </c>
      <c r="E176" s="1064">
        <f>deflators_raw!E176</f>
        <v>3.4225885044726997E-2</v>
      </c>
      <c r="F176" s="1064">
        <f>deflators_raw!F176</f>
        <v>2.1723337040250802E-2</v>
      </c>
      <c r="G176" s="1064">
        <f>deflators_raw!G176</f>
        <v>0</v>
      </c>
    </row>
    <row r="177" spans="1:7" x14ac:dyDescent="0.3">
      <c r="A177" s="1064" t="str">
        <f>deflators_raw!A177</f>
        <v>2013 Q4</v>
      </c>
      <c r="B177" s="1064">
        <f>deflators_raw!B177</f>
        <v>1.6859105016114002E-2</v>
      </c>
      <c r="C177" s="1064">
        <f>deflators_raw!C177</f>
        <v>6.2259222369993199E-2</v>
      </c>
      <c r="D177" s="1064">
        <f>deflators_raw!D177</f>
        <v>2.2986114650760201E-2</v>
      </c>
      <c r="E177" s="1064">
        <f>deflators_raw!E177</f>
        <v>2.1461497744286601E-2</v>
      </c>
      <c r="F177" s="1064">
        <f>deflators_raw!F177</f>
        <v>3.0554089712781E-2</v>
      </c>
      <c r="G177" s="1064">
        <f>deflators_raw!G177</f>
        <v>0</v>
      </c>
    </row>
    <row r="178" spans="1:7" x14ac:dyDescent="0.3">
      <c r="A178" s="1064" t="str">
        <f>deflators_raw!A178</f>
        <v>2014 Q1</v>
      </c>
      <c r="B178" s="1064">
        <f>deflators_raw!B178</f>
        <v>1.93744928521071E-2</v>
      </c>
      <c r="C178" s="1064">
        <f>deflators_raw!C178</f>
        <v>-1.02831916231174E-2</v>
      </c>
      <c r="D178" s="1064">
        <f>deflators_raw!D178</f>
        <v>3.2089816475630001E-2</v>
      </c>
      <c r="E178" s="1064">
        <f>deflators_raw!E178</f>
        <v>3.4027993671362999E-2</v>
      </c>
      <c r="F178" s="1064">
        <f>deflators_raw!F178</f>
        <v>2.27077607090642E-2</v>
      </c>
      <c r="G178" s="1064">
        <f>deflators_raw!G178</f>
        <v>0</v>
      </c>
    </row>
    <row r="179" spans="1:7" x14ac:dyDescent="0.3">
      <c r="A179" s="1064" t="str">
        <f>deflators_raw!A179</f>
        <v>2014 Q2</v>
      </c>
      <c r="B179" s="1064">
        <f>deflators_raw!B179</f>
        <v>2.0192934056340501E-2</v>
      </c>
      <c r="C179" s="1064">
        <f>deflators_raw!C179</f>
        <v>1.7798477087045E-2</v>
      </c>
      <c r="D179" s="1064">
        <f>deflators_raw!D179</f>
        <v>1.3650570477194099E-2</v>
      </c>
      <c r="E179" s="1064">
        <f>deflators_raw!E179</f>
        <v>1.2683683496116101E-2</v>
      </c>
      <c r="F179" s="1064">
        <f>deflators_raw!F179</f>
        <v>1.8378329285591199E-2</v>
      </c>
      <c r="G179" s="1064">
        <f>deflators_raw!G179</f>
        <v>0</v>
      </c>
    </row>
    <row r="180" spans="1:7" x14ac:dyDescent="0.3">
      <c r="A180" s="1064" t="str">
        <f>deflators_raw!A180</f>
        <v>2014 Q3</v>
      </c>
      <c r="B180" s="1064">
        <f>deflators_raw!B180</f>
        <v>1.13601398604235E-2</v>
      </c>
      <c r="C180" s="1064">
        <f>deflators_raw!C180</f>
        <v>1.8827452214838801E-2</v>
      </c>
      <c r="D180" s="1064">
        <f>deflators_raw!D180</f>
        <v>2.2480483340501001E-2</v>
      </c>
      <c r="E180" s="1064">
        <f>deflators_raw!E180</f>
        <v>2.3098181930942801E-2</v>
      </c>
      <c r="F180" s="1064">
        <f>deflators_raw!F180</f>
        <v>1.94654703730235E-2</v>
      </c>
      <c r="G180" s="1064">
        <f>deflators_raw!G180</f>
        <v>0</v>
      </c>
    </row>
    <row r="181" spans="1:7" x14ac:dyDescent="0.3">
      <c r="A181" s="1064" t="str">
        <f>deflators_raw!A181</f>
        <v>2014 Q4</v>
      </c>
      <c r="B181" s="1064">
        <f>deflators_raw!B181</f>
        <v>-4.6048768205230201E-3</v>
      </c>
      <c r="C181" s="1064">
        <f>deflators_raw!C181</f>
        <v>5.3720415632923001E-3</v>
      </c>
      <c r="D181" s="1064">
        <f>deflators_raw!D181</f>
        <v>-1.35664737790564E-3</v>
      </c>
      <c r="E181" s="1064">
        <f>deflators_raw!E181</f>
        <v>-3.1150724387948299E-3</v>
      </c>
      <c r="F181" s="1064">
        <f>deflators_raw!F181</f>
        <v>7.0678568534106E-3</v>
      </c>
      <c r="G181" s="1064">
        <f>deflators_raw!G181</f>
        <v>0</v>
      </c>
    </row>
    <row r="182" spans="1:7" x14ac:dyDescent="0.3">
      <c r="A182" s="1064" t="str">
        <f>deflators_raw!A182</f>
        <v>2015 Q1</v>
      </c>
      <c r="B182" s="1064">
        <f>deflators_raw!B182</f>
        <v>-1.65067373701384E-2</v>
      </c>
      <c r="C182" s="1064">
        <f>deflators_raw!C182</f>
        <v>-6.4248737444822001E-3</v>
      </c>
      <c r="D182" s="1064">
        <f>deflators_raw!D182</f>
        <v>-3.2706239119787997E-2</v>
      </c>
      <c r="E182" s="1064">
        <f>deflators_raw!E182</f>
        <v>-3.9305105462135198E-2</v>
      </c>
      <c r="F182" s="1064">
        <f>deflators_raw!F182</f>
        <v>-1.18502082280647E-3</v>
      </c>
      <c r="G182" s="1064">
        <f>deflators_raw!G182</f>
        <v>0</v>
      </c>
    </row>
    <row r="183" spans="1:7" x14ac:dyDescent="0.3">
      <c r="A183" s="1064" t="str">
        <f>deflators_raw!A183</f>
        <v>2015 Q2</v>
      </c>
      <c r="B183" s="1064">
        <f>deflators_raw!B183</f>
        <v>1.9548766403745001E-2</v>
      </c>
      <c r="C183" s="1064">
        <f>deflators_raw!C183</f>
        <v>7.87290366046434E-3</v>
      </c>
      <c r="D183" s="1064">
        <f>deflators_raw!D183</f>
        <v>2.6384745223831701E-2</v>
      </c>
      <c r="E183" s="1064">
        <f>deflators_raw!E183</f>
        <v>2.82887807392058E-2</v>
      </c>
      <c r="F183" s="1064">
        <f>deflators_raw!F183</f>
        <v>1.76749178700988E-2</v>
      </c>
      <c r="G183" s="1064">
        <f>deflators_raw!G183</f>
        <v>0</v>
      </c>
    </row>
    <row r="184" spans="1:7" x14ac:dyDescent="0.3">
      <c r="A184" s="1064" t="str">
        <f>deflators_raw!A184</f>
        <v>2015 Q3</v>
      </c>
      <c r="B184" s="1064">
        <f>deflators_raw!B184</f>
        <v>9.6917092109320997E-3</v>
      </c>
      <c r="C184" s="1064">
        <f>deflators_raw!C184</f>
        <v>6.1419866574232698E-3</v>
      </c>
      <c r="D184" s="1064">
        <f>deflators_raw!D184</f>
        <v>4.0111960578135299E-3</v>
      </c>
      <c r="E184" s="1064">
        <f>deflators_raw!E184</f>
        <v>2.4162101667697402E-3</v>
      </c>
      <c r="F184" s="1064">
        <f>deflators_raw!F184</f>
        <v>1.1398511762960899E-2</v>
      </c>
      <c r="G184" s="1064">
        <f>deflators_raw!G184</f>
        <v>0</v>
      </c>
    </row>
    <row r="185" spans="1:7" x14ac:dyDescent="0.3">
      <c r="A185" s="1064" t="str">
        <f>deflators_raw!A185</f>
        <v>2015 Q4</v>
      </c>
      <c r="B185" s="1064">
        <f>deflators_raw!B185</f>
        <v>-3.9403871252573497E-3</v>
      </c>
      <c r="C185" s="1064">
        <f>deflators_raw!C185</f>
        <v>-3.1716537268759999E-3</v>
      </c>
      <c r="D185" s="1064">
        <f>deflators_raw!D185</f>
        <v>-1.32955897973415E-2</v>
      </c>
      <c r="E185" s="1064">
        <f>deflators_raw!E185</f>
        <v>-1.5664221695060501E-2</v>
      </c>
      <c r="F185" s="1064">
        <f>deflators_raw!F185</f>
        <v>-2.2010123911118101E-3</v>
      </c>
      <c r="G185" s="1064">
        <f>deflators_raw!G185</f>
        <v>0</v>
      </c>
    </row>
    <row r="186" spans="1:7" x14ac:dyDescent="0.3">
      <c r="A186" s="1064" t="str">
        <f>deflators_raw!A186</f>
        <v>2016 Q1</v>
      </c>
      <c r="B186" s="1064">
        <f>deflators_raw!B186</f>
        <v>2.1316685833889801E-3</v>
      </c>
      <c r="C186" s="1064">
        <f>deflators_raw!C186</f>
        <v>-9.9615046560082004E-3</v>
      </c>
      <c r="D186" s="1064">
        <f>deflators_raw!D186</f>
        <v>-2.9400798500526501E-2</v>
      </c>
      <c r="E186" s="1064">
        <f>deflators_raw!E186</f>
        <v>-3.3665208430493802E-2</v>
      </c>
      <c r="F186" s="1064">
        <f>deflators_raw!F186</f>
        <v>-9.6550430027560995E-3</v>
      </c>
      <c r="G186" s="1064">
        <f>deflators_raw!G186</f>
        <v>0</v>
      </c>
    </row>
    <row r="187" spans="1:7" x14ac:dyDescent="0.3">
      <c r="A187" s="1064" t="str">
        <f>deflators_raw!A187</f>
        <v>2016 Q2</v>
      </c>
      <c r="B187" s="1064">
        <f>deflators_raw!B187</f>
        <v>2.5357857709627601E-2</v>
      </c>
      <c r="C187" s="1064">
        <f>deflators_raw!C187</f>
        <v>2.1698746196001199E-2</v>
      </c>
      <c r="D187" s="1064">
        <f>deflators_raw!D187</f>
        <v>3.1150112025238399E-2</v>
      </c>
      <c r="E187" s="1064">
        <f>deflators_raw!E187</f>
        <v>3.0770998377488399E-2</v>
      </c>
      <c r="F187" s="1064">
        <f>deflators_raw!F187</f>
        <v>3.3008554152673703E-2</v>
      </c>
      <c r="G187" s="1064">
        <f>deflators_raw!G187</f>
        <v>0</v>
      </c>
    </row>
    <row r="188" spans="1:7" x14ac:dyDescent="0.3">
      <c r="A188" s="1064" t="str">
        <f>deflators_raw!A188</f>
        <v>2016 Q3</v>
      </c>
      <c r="B188" s="1064">
        <f>deflators_raw!B188</f>
        <v>1.5085753101185199E-2</v>
      </c>
      <c r="C188" s="1064">
        <f>deflators_raw!C188</f>
        <v>1.5625918949128799E-2</v>
      </c>
      <c r="D188" s="1064">
        <f>deflators_raw!D188</f>
        <v>1.3242458778771201E-2</v>
      </c>
      <c r="E188" s="1064">
        <f>deflators_raw!E188</f>
        <v>1.5469326265677499E-2</v>
      </c>
      <c r="F188" s="1064">
        <f>deflators_raw!F188</f>
        <v>3.0262315011426702E-3</v>
      </c>
      <c r="G188" s="1064">
        <f>deflators_raw!G188</f>
        <v>0</v>
      </c>
    </row>
    <row r="189" spans="1:7" x14ac:dyDescent="0.3">
      <c r="A189" s="1064" t="str">
        <f>deflators_raw!A189</f>
        <v>2016 Q4</v>
      </c>
      <c r="B189" s="1064">
        <f>deflators_raw!B189</f>
        <v>1.9065277405527499E-2</v>
      </c>
      <c r="C189" s="1064">
        <f>deflators_raw!C189</f>
        <v>1.9426037707255001E-2</v>
      </c>
      <c r="D189" s="1064">
        <f>deflators_raw!D189</f>
        <v>1.9732026701747798E-2</v>
      </c>
      <c r="E189" s="1064">
        <f>deflators_raw!E189</f>
        <v>1.98067429774604E-2</v>
      </c>
      <c r="F189" s="1064">
        <f>deflators_raw!F189</f>
        <v>1.9471921944120799E-2</v>
      </c>
      <c r="G189" s="1064">
        <f>deflators_raw!G189</f>
        <v>0</v>
      </c>
    </row>
    <row r="190" spans="1:7" x14ac:dyDescent="0.3">
      <c r="A190" s="1064" t="str">
        <f>deflators_raw!A190</f>
        <v>2017 Q1</v>
      </c>
      <c r="B190" s="1064">
        <f>deflators_raw!B190</f>
        <v>2.3896314746341098E-2</v>
      </c>
      <c r="C190" s="1064">
        <f>deflators_raw!C190</f>
        <v>1.9409885132803301E-2</v>
      </c>
      <c r="D190" s="1064">
        <f>deflators_raw!D190</f>
        <v>3.7278658950123902E-2</v>
      </c>
      <c r="E190" s="1064">
        <f>deflators_raw!E190</f>
        <v>3.9514900887574103E-2</v>
      </c>
      <c r="F190" s="1064">
        <f>deflators_raw!F190</f>
        <v>2.7099611156277601E-2</v>
      </c>
      <c r="G190" s="1064">
        <f>deflators_raw!G190</f>
        <v>0</v>
      </c>
    </row>
    <row r="191" spans="1:7" x14ac:dyDescent="0.3">
      <c r="A191" s="1064" t="str">
        <f>deflators_raw!A191</f>
        <v>2017 Q2</v>
      </c>
      <c r="B191" s="1064">
        <f>deflators_raw!B191</f>
        <v>9.9328007831764892E-3</v>
      </c>
      <c r="C191" s="1064">
        <f>deflators_raw!C191</f>
        <v>1.3103273651826199E-2</v>
      </c>
      <c r="D191" s="1064">
        <f>deflators_raw!D191</f>
        <v>1.12864434786104E-2</v>
      </c>
      <c r="E191" s="1064">
        <f>deflators_raw!E191</f>
        <v>9.0306358829268501E-3</v>
      </c>
      <c r="F191" s="1064">
        <f>deflators_raw!F191</f>
        <v>2.1521193573355E-2</v>
      </c>
      <c r="G191" s="1064">
        <f>deflators_raw!G191</f>
        <v>0</v>
      </c>
    </row>
    <row r="192" spans="1:7" x14ac:dyDescent="0.3">
      <c r="A192" s="1064" t="str">
        <f>deflators_raw!A192</f>
        <v>2017 Q3</v>
      </c>
      <c r="B192" s="1064">
        <f>deflators_raw!B192</f>
        <v>1.4603017582518699E-2</v>
      </c>
      <c r="C192" s="1064">
        <f>deflators_raw!C192</f>
        <v>1.7788818797953999E-2</v>
      </c>
      <c r="D192" s="1064">
        <f>deflators_raw!D192</f>
        <v>3.6562690512580202E-2</v>
      </c>
      <c r="E192" s="1064">
        <f>deflators_raw!E192</f>
        <v>3.6635495652026999E-2</v>
      </c>
      <c r="F192" s="1064">
        <f>deflators_raw!F192</f>
        <v>3.6311211479282998E-2</v>
      </c>
      <c r="G192" s="1064">
        <f>deflators_raw!G192</f>
        <v>0</v>
      </c>
    </row>
    <row r="193" spans="1:7" x14ac:dyDescent="0.3">
      <c r="A193" s="1064" t="str">
        <f>deflators_raw!A193</f>
        <v>2017 Q4</v>
      </c>
      <c r="B193" s="1064">
        <f>deflators_raw!B193</f>
        <v>2.5719713356744601E-2</v>
      </c>
      <c r="C193" s="1064">
        <f>deflators_raw!C193</f>
        <v>2.90667642529692E-2</v>
      </c>
      <c r="D193" s="1064">
        <f>deflators_raw!D193</f>
        <v>5.0774987871551797E-2</v>
      </c>
      <c r="E193" s="1064">
        <f>deflators_raw!E193</f>
        <v>5.7042627848445E-2</v>
      </c>
      <c r="F193" s="1064">
        <f>deflators_raw!F193</f>
        <v>2.3197124388088401E-2</v>
      </c>
      <c r="G193" s="1064">
        <f>deflators_raw!G193</f>
        <v>0</v>
      </c>
    </row>
    <row r="194" spans="1:7" x14ac:dyDescent="0.3">
      <c r="A194" s="1064" t="str">
        <f>deflators_raw!A194</f>
        <v>2018 Q1</v>
      </c>
      <c r="B194" s="1064">
        <f>deflators_raw!B194</f>
        <v>2.9147369447939799E-2</v>
      </c>
      <c r="C194" s="1064">
        <f>deflators_raw!C194</f>
        <v>4.11537159385129E-2</v>
      </c>
      <c r="D194" s="1064">
        <f>deflators_raw!D194</f>
        <v>4.9648850800065397E-2</v>
      </c>
      <c r="E194" s="1064">
        <f>deflators_raw!E194</f>
        <v>5.2316315130779299E-2</v>
      </c>
      <c r="F194" s="1064">
        <f>deflators_raw!F194</f>
        <v>3.8107075575473298E-2</v>
      </c>
      <c r="G194" s="1064">
        <f>deflators_raw!G194</f>
        <v>0</v>
      </c>
    </row>
    <row r="195" spans="1:7" x14ac:dyDescent="0.3">
      <c r="A195" s="1064" t="str">
        <f>deflators_raw!A195</f>
        <v>2018 Q2</v>
      </c>
      <c r="B195" s="1064">
        <f>deflators_raw!B195</f>
        <v>2.1663179127611398E-2</v>
      </c>
      <c r="C195" s="1064">
        <f>deflators_raw!C195</f>
        <v>2.95524402709311E-2</v>
      </c>
      <c r="D195" s="1064">
        <f>deflators_raw!D195</f>
        <v>4.43236674984493E-2</v>
      </c>
      <c r="E195" s="1064">
        <f>deflators_raw!E195</f>
        <v>4.1414814571916599E-2</v>
      </c>
      <c r="F195" s="1064">
        <f>deflators_raw!F195</f>
        <v>5.71493007542314E-2</v>
      </c>
      <c r="G195" s="1064">
        <f>deflators_raw!G195</f>
        <v>0</v>
      </c>
    </row>
    <row r="196" spans="1:7" x14ac:dyDescent="0.3">
      <c r="A196" s="1064" t="str">
        <f>deflators_raw!A196</f>
        <v>2018 Q3</v>
      </c>
      <c r="B196" s="1064">
        <f>deflators_raw!B196</f>
        <v>1.4350946991545E-2</v>
      </c>
      <c r="C196" s="1064">
        <f>deflators_raw!C196</f>
        <v>2.3387558006987101E-2</v>
      </c>
      <c r="D196" s="1064">
        <f>deflators_raw!D196</f>
        <v>3.7181249340460402E-2</v>
      </c>
      <c r="E196" s="1064">
        <f>deflators_raw!E196</f>
        <v>3.8836746328921902E-2</v>
      </c>
      <c r="F196" s="1064">
        <f>deflators_raw!F196</f>
        <v>2.9745006586506799E-2</v>
      </c>
      <c r="G196" s="1064">
        <f>deflators_raw!G196</f>
        <v>0</v>
      </c>
    </row>
    <row r="197" spans="1:7" x14ac:dyDescent="0.3">
      <c r="A197" s="1064" t="str">
        <f>deflators_raw!A197</f>
        <v>2018 Q4</v>
      </c>
      <c r="B197" s="1064">
        <f>deflators_raw!B197</f>
        <v>1.51565091171486E-2</v>
      </c>
      <c r="C197" s="1064">
        <f>deflators_raw!C197</f>
        <v>2.9652502701153601E-2</v>
      </c>
      <c r="D197" s="1064">
        <f>deflators_raw!D197</f>
        <v>2.0739486303196001E-2</v>
      </c>
      <c r="E197" s="1064">
        <f>deflators_raw!E197</f>
        <v>1.6036274889288799E-2</v>
      </c>
      <c r="F197" s="1064">
        <f>deflators_raw!F197</f>
        <v>4.1912016313216102E-2</v>
      </c>
      <c r="G197" s="1064">
        <f>deflators_raw!G197</f>
        <v>0</v>
      </c>
    </row>
    <row r="198" spans="1:7" x14ac:dyDescent="0.3">
      <c r="A198" s="1064" t="str">
        <f>deflators_raw!A198</f>
        <v>2019 Q1</v>
      </c>
      <c r="B198" s="1064">
        <f>deflators_raw!B198</f>
        <v>8.3593342288621492E-3</v>
      </c>
      <c r="C198" s="1064">
        <f>deflators_raw!C198</f>
        <v>4.3357912415273203E-2</v>
      </c>
      <c r="D198" s="1064">
        <f>deflators_raw!D198</f>
        <v>-1.09099553725475E-2</v>
      </c>
      <c r="E198" s="1064">
        <f>deflators_raw!E198</f>
        <v>-1.6750426853228501E-2</v>
      </c>
      <c r="F198" s="1064">
        <f>deflators_raw!F198</f>
        <v>1.5721372171975601E-2</v>
      </c>
      <c r="G198" s="1064">
        <f>deflators_raw!G198</f>
        <v>0</v>
      </c>
    </row>
    <row r="199" spans="1:7" x14ac:dyDescent="0.3">
      <c r="A199" s="1064" t="str">
        <f>deflators_raw!A199</f>
        <v>2019 Q2</v>
      </c>
      <c r="B199" s="1064">
        <f>deflators_raw!B199</f>
        <v>2.4734353401226102E-2</v>
      </c>
      <c r="C199" s="1064">
        <f>deflators_raw!C199</f>
        <v>-2.6343933972632301E-2</v>
      </c>
      <c r="D199" s="1064">
        <f>deflators_raw!D199</f>
        <v>2.9915559028399701E-2</v>
      </c>
      <c r="E199" s="1064">
        <f>deflators_raw!E199</f>
        <v>2.5813818283005E-2</v>
      </c>
      <c r="F199" s="1064">
        <f>deflators_raw!F199</f>
        <v>4.8037769815769002E-2</v>
      </c>
      <c r="G199" s="1064">
        <f>deflators_raw!G199</f>
        <v>0</v>
      </c>
    </row>
    <row r="200" spans="1:7" x14ac:dyDescent="0.3">
      <c r="A200" s="1064" t="str">
        <f>deflators_raw!A200</f>
        <v>2019 Q3</v>
      </c>
      <c r="B200" s="1064">
        <f>deflators_raw!B200</f>
        <v>1.0490970472330399E-2</v>
      </c>
      <c r="C200" s="1064">
        <f>deflators_raw!C200</f>
        <v>1.0018821110834301E-2</v>
      </c>
      <c r="D200" s="1064">
        <f>deflators_raw!D200</f>
        <v>1.05275597064789E-2</v>
      </c>
      <c r="E200" s="1064">
        <f>deflators_raw!E200</f>
        <v>8.6124156242581903E-3</v>
      </c>
      <c r="F200" s="1064">
        <f>deflators_raw!F200</f>
        <v>1.9083730667159401E-2</v>
      </c>
      <c r="G200" s="1064">
        <f>deflators_raw!G200</f>
        <v>0</v>
      </c>
    </row>
    <row r="201" spans="1:7" x14ac:dyDescent="0.3">
      <c r="A201" s="1064" t="str">
        <f>deflators_raw!A201</f>
        <v>2019 Q4</v>
      </c>
      <c r="B201" s="1064">
        <f>deflators_raw!B201</f>
        <v>1.45690487077856E-2</v>
      </c>
      <c r="C201" s="1064">
        <f>deflators_raw!C201</f>
        <v>1.6245763277308499E-2</v>
      </c>
      <c r="D201" s="1064">
        <f>deflators_raw!D201</f>
        <v>1.49197048908958E-2</v>
      </c>
      <c r="E201" s="1064">
        <f>deflators_raw!E201</f>
        <v>1.6996215944869601E-2</v>
      </c>
      <c r="F201" s="1064">
        <f>deflators_raw!F201</f>
        <v>5.8979339636946503E-3</v>
      </c>
      <c r="G201" s="1064">
        <f>deflators_raw!G201</f>
        <v>0</v>
      </c>
    </row>
    <row r="202" spans="1:7" x14ac:dyDescent="0.3">
      <c r="A202" s="1064" t="str">
        <f>deflators_raw!A202</f>
        <v>2020 Q1</v>
      </c>
      <c r="B202" s="1064">
        <f>deflators_raw!B202</f>
        <v>1.46624987744557E-2</v>
      </c>
      <c r="C202" s="1064">
        <f>deflators_raw!C202</f>
        <v>1.3591255249432201E-2</v>
      </c>
      <c r="D202" s="1064">
        <f>deflators_raw!D202</f>
        <v>4.3158369252632098E-2</v>
      </c>
      <c r="E202" s="1064">
        <f>deflators_raw!E202</f>
        <v>5.0660572456327199E-2</v>
      </c>
      <c r="F202" s="1064">
        <f>deflators_raw!F202</f>
        <v>1.0418465412080901E-2</v>
      </c>
      <c r="G202" s="1064">
        <f>deflators_raw!G202</f>
        <v>0</v>
      </c>
    </row>
    <row r="203" spans="1:7" x14ac:dyDescent="0.3">
      <c r="A203" s="1064" t="str">
        <f>deflators_raw!A203</f>
        <v>2020 Q2</v>
      </c>
      <c r="B203" s="1064">
        <f>deflators_raw!B203</f>
        <v>-1.7940859457881899E-2</v>
      </c>
      <c r="C203" s="1064">
        <f>deflators_raw!C203</f>
        <v>3.31045118831508E-3</v>
      </c>
      <c r="D203" s="1064">
        <f>deflators_raw!D203</f>
        <v>-2.2930962354547101E-3</v>
      </c>
      <c r="E203" s="1064">
        <f>deflators_raw!E203</f>
        <v>-1.06133933402519E-3</v>
      </c>
      <c r="F203" s="1064">
        <f>deflators_raw!F203</f>
        <v>-7.65559802497651E-3</v>
      </c>
      <c r="G203" s="1064">
        <f>deflators_raw!G203</f>
        <v>0</v>
      </c>
    </row>
    <row r="204" spans="1:7" x14ac:dyDescent="0.3">
      <c r="A204" s="1064" t="str">
        <f>deflators_raw!A204</f>
        <v>2020 Q3</v>
      </c>
      <c r="B204" s="1064">
        <f>deflators_raw!B204</f>
        <v>3.3775526155126898E-2</v>
      </c>
      <c r="C204" s="1064">
        <f>deflators_raw!C204</f>
        <v>2.5959727144998501E-2</v>
      </c>
      <c r="D204" s="1064">
        <f>deflators_raw!D204</f>
        <v>3.5878370959533598E-2</v>
      </c>
      <c r="E204" s="1064">
        <f>deflators_raw!E204</f>
        <v>3.4596703938155803E-2</v>
      </c>
      <c r="F204" s="1064">
        <f>deflators_raw!F204</f>
        <v>4.1355015452944698E-2</v>
      </c>
      <c r="G204" s="1064">
        <f>deflators_raw!G204</f>
        <v>0</v>
      </c>
    </row>
    <row r="205" spans="1:7" x14ac:dyDescent="0.3">
      <c r="A205" s="1064" t="str">
        <f>deflators_raw!A205</f>
        <v>2020 Q4</v>
      </c>
      <c r="B205" s="1064">
        <f>deflators_raw!B205</f>
        <v>1.6442937470855502E-2</v>
      </c>
      <c r="C205" s="1064">
        <f>deflators_raw!C205</f>
        <v>2.4447407360365301E-2</v>
      </c>
      <c r="D205" s="1064">
        <f>deflators_raw!D205</f>
        <v>4.55348943874712E-2</v>
      </c>
      <c r="E205" s="1064">
        <f>deflators_raw!E205</f>
        <v>5.1547958936444697E-2</v>
      </c>
      <c r="F205" s="1064">
        <f>deflators_raw!F205</f>
        <v>1.8415186976738801E-2</v>
      </c>
      <c r="G205" s="1064">
        <f>deflators_raw!G205</f>
        <v>0</v>
      </c>
    </row>
    <row r="206" spans="1:7" x14ac:dyDescent="0.3">
      <c r="A206" s="1064" t="str">
        <f>deflators_raw!A206</f>
        <v>2021 Q1</v>
      </c>
      <c r="B206" s="1064">
        <f>deflators_raw!B206</f>
        <v>4.5025943450948999E-2</v>
      </c>
      <c r="C206" s="1064">
        <f>deflators_raw!C206</f>
        <v>4.0827649049089101E-2</v>
      </c>
      <c r="D206" s="1064">
        <f>deflators_raw!D206</f>
        <v>8.7714323909891603E-2</v>
      </c>
      <c r="E206" s="1064">
        <f>deflators_raw!E206</f>
        <v>9.2834286401326696E-2</v>
      </c>
      <c r="F206" s="1064">
        <f>deflators_raw!F206</f>
        <v>6.4160755006020101E-2</v>
      </c>
      <c r="G206" s="1064">
        <f>deflators_raw!G206</f>
        <v>0</v>
      </c>
    </row>
    <row r="207" spans="1:7" x14ac:dyDescent="0.3">
      <c r="A207" s="1064" t="str">
        <f>deflators_raw!A207</f>
        <v>2021 Q2</v>
      </c>
      <c r="B207" s="1064">
        <f>deflators_raw!B207</f>
        <v>6.4441802743663304E-2</v>
      </c>
      <c r="C207" s="1064">
        <f>deflators_raw!C207</f>
        <v>4.1247362410053098E-2</v>
      </c>
      <c r="D207" s="1064">
        <f>deflators_raw!D207</f>
        <v>8.4888593948209398E-2</v>
      </c>
      <c r="E207" s="1064">
        <f>deflators_raw!E207</f>
        <v>8.0575514620662397E-2</v>
      </c>
      <c r="F207" s="1064">
        <f>deflators_raw!F207</f>
        <v>0.104589902157439</v>
      </c>
      <c r="G207" s="1064">
        <f>deflators_raw!G207</f>
        <v>0</v>
      </c>
    </row>
    <row r="208" spans="1:7" x14ac:dyDescent="0.3">
      <c r="A208" s="1064" t="str">
        <f>deflators_raw!A208</f>
        <v>2021 Q3</v>
      </c>
      <c r="B208" s="1064">
        <f>deflators_raw!B208</f>
        <v>5.5998846943190198E-2</v>
      </c>
      <c r="C208" s="1064">
        <f>deflators_raw!C208</f>
        <v>4.40178580952795E-2</v>
      </c>
      <c r="D208" s="1064">
        <f>deflators_raw!D208</f>
        <v>6.9703587118332494E-2</v>
      </c>
      <c r="E208" s="1064">
        <f>deflators_raw!E208</f>
        <v>6.4680375979367696E-2</v>
      </c>
      <c r="F208" s="1064">
        <f>deflators_raw!F208</f>
        <v>9.3631239224950299E-2</v>
      </c>
      <c r="G208" s="1064">
        <f>deflators_raw!G208</f>
        <v>0</v>
      </c>
    </row>
    <row r="209" spans="1:7" x14ac:dyDescent="0.3">
      <c r="A209" s="1064" t="str">
        <f>deflators_raw!A209</f>
        <v>2021 Q4</v>
      </c>
      <c r="B209" s="1064">
        <f>deflators_raw!B209</f>
        <v>6.1859650545573498E-2</v>
      </c>
      <c r="C209" s="1064">
        <f>deflators_raw!C209</f>
        <v>4.34322998250962E-2</v>
      </c>
      <c r="D209" s="1064">
        <f>deflators_raw!D209</f>
        <v>9.0463399615994505E-2</v>
      </c>
      <c r="E209" s="1064">
        <f>deflators_raw!E209</f>
        <v>8.4136934840178798E-2</v>
      </c>
      <c r="F209" s="1064">
        <f>deflators_raw!F209</f>
        <v>0.12124821634027599</v>
      </c>
      <c r="G209" s="1064">
        <f>deflators_raw!G209</f>
        <v>0</v>
      </c>
    </row>
    <row r="210" spans="1:7" x14ac:dyDescent="0.3">
      <c r="A210" s="1064" t="str">
        <f>deflators_raw!A210</f>
        <v>2022 Q1</v>
      </c>
      <c r="B210" s="1064">
        <f>deflators_raw!B210</f>
        <v>7.4784916271317198E-2</v>
      </c>
      <c r="C210" s="1064">
        <f>deflators_raw!C210</f>
        <v>5.6798579453040801E-2</v>
      </c>
      <c r="D210" s="1064">
        <f>deflators_raw!D210</f>
        <v>0.10558682780244399</v>
      </c>
      <c r="E210" s="1064">
        <f>deflators_raw!E210</f>
        <v>0.10120576467409099</v>
      </c>
      <c r="F210" s="1064">
        <f>deflators_raw!F210</f>
        <v>0.12687792670398401</v>
      </c>
      <c r="G210" s="1064">
        <f>deflators_raw!G210</f>
        <v>0</v>
      </c>
    </row>
    <row r="211" spans="1:7" x14ac:dyDescent="0.3">
      <c r="A211" s="1064" t="str">
        <f>deflators_raw!A211</f>
        <v>2022 Q2</v>
      </c>
      <c r="B211" s="1064">
        <f>deflators_raw!B211</f>
        <v>7.2922192171477093E-2</v>
      </c>
      <c r="C211" s="1064">
        <f>deflators_raw!C211</f>
        <v>5.9959109255099501E-2</v>
      </c>
      <c r="D211" s="1064">
        <f>deflators_raw!D211</f>
        <v>0.149798907045571</v>
      </c>
      <c r="E211" s="1064">
        <f>deflators_raw!E211</f>
        <v>0.15221841372862299</v>
      </c>
      <c r="F211" s="1064">
        <f>deflators_raw!F211</f>
        <v>0.13796693794697101</v>
      </c>
      <c r="G211" s="1064">
        <f>deflators_raw!G211</f>
        <v>0</v>
      </c>
    </row>
    <row r="212" spans="1:7" x14ac:dyDescent="0.3">
      <c r="A212" s="1064" t="str">
        <f>deflators_raw!A212</f>
        <v>2022 Q3</v>
      </c>
      <c r="B212" s="1064">
        <f>deflators_raw!B212</f>
        <v>4.1796200977757901E-2</v>
      </c>
      <c r="C212" s="1064">
        <f>deflators_raw!C212</f>
        <v>4.8377032065661102E-2</v>
      </c>
      <c r="D212" s="1064">
        <f>deflators_raw!D212</f>
        <v>2.2089664458159901E-2</v>
      </c>
      <c r="E212" s="1064">
        <f>deflators_raw!E212</f>
        <v>8.9811228034972802E-3</v>
      </c>
      <c r="F212" s="1064">
        <f>deflators_raw!F212</f>
        <v>8.9581033951388098E-2</v>
      </c>
      <c r="G212" s="1064">
        <f>deflators_raw!G212</f>
        <v>0</v>
      </c>
    </row>
    <row r="213" spans="1:7" x14ac:dyDescent="0.3">
      <c r="A213" s="1064" t="str">
        <f>deflators_raw!A213</f>
        <v>2022 Q4</v>
      </c>
      <c r="B213" s="1064">
        <f>deflators_raw!B213</f>
        <v>2.7447616796656402E-2</v>
      </c>
      <c r="C213" s="1064">
        <f>deflators_raw!C213</f>
        <v>2.3249618404576101E-2</v>
      </c>
      <c r="D213" s="1064">
        <f>deflators_raw!D213</f>
        <v>3.8298767461848897E-2</v>
      </c>
      <c r="E213" s="1064">
        <f>deflators_raw!E213</f>
        <v>3.8298767461848897E-2</v>
      </c>
      <c r="F213" s="1064">
        <f>deflators_raw!F213</f>
        <v>3.8298767461848897E-2</v>
      </c>
      <c r="G213" s="1064">
        <f>deflators_raw!G213</f>
        <v>0</v>
      </c>
    </row>
    <row r="214" spans="1:7" x14ac:dyDescent="0.3">
      <c r="A214" s="1064" t="str">
        <f>deflators_raw!A214</f>
        <v>2023 Q1</v>
      </c>
      <c r="B214" s="1064">
        <f>deflators_raw!B214</f>
        <v>2.49173870638888E-2</v>
      </c>
      <c r="C214" s="1064">
        <f>deflators_raw!C214</f>
        <v>2.1715756912072299E-2</v>
      </c>
      <c r="D214" s="1064">
        <f>deflators_raw!D214</f>
        <v>3.6085750781477598E-2</v>
      </c>
      <c r="E214" s="1064">
        <f>deflators_raw!E214</f>
        <v>3.6085750781477598E-2</v>
      </c>
      <c r="F214" s="1064">
        <f>deflators_raw!F214</f>
        <v>3.6085750781477598E-2</v>
      </c>
      <c r="G214" s="1064">
        <f>deflators_raw!G214</f>
        <v>0</v>
      </c>
    </row>
    <row r="215" spans="1:7" x14ac:dyDescent="0.3">
      <c r="A215" s="1064" t="str">
        <f>deflators_raw!A215</f>
        <v>2023 Q2</v>
      </c>
      <c r="B215" s="1064">
        <f>deflators_raw!B215</f>
        <v>2.33440010578361E-2</v>
      </c>
      <c r="C215" s="1064">
        <f>deflators_raw!C215</f>
        <v>2.1485909848918801E-2</v>
      </c>
      <c r="D215" s="1064">
        <f>deflators_raw!D215</f>
        <v>3.2005284910624002E-2</v>
      </c>
      <c r="E215" s="1064">
        <f>deflators_raw!E215</f>
        <v>3.2005284910624002E-2</v>
      </c>
      <c r="F215" s="1064">
        <f>deflators_raw!F215</f>
        <v>3.2005284910624002E-2</v>
      </c>
      <c r="G215" s="1064">
        <f>deflators_raw!G215</f>
        <v>0</v>
      </c>
    </row>
    <row r="216" spans="1:7" x14ac:dyDescent="0.3">
      <c r="A216" s="1064" t="str">
        <f>deflators_raw!A216</f>
        <v>2023 Q3</v>
      </c>
      <c r="B216" s="1064">
        <f>deflators_raw!B216</f>
        <v>2.2676579457354702E-2</v>
      </c>
      <c r="C216" s="1064">
        <f>deflators_raw!C216</f>
        <v>2.1729771469873E-2</v>
      </c>
      <c r="D216" s="1064">
        <f>deflators_raw!D216</f>
        <v>2.9538555790939999E-2</v>
      </c>
      <c r="E216" s="1064">
        <f>deflators_raw!E216</f>
        <v>2.9538555790939999E-2</v>
      </c>
      <c r="F216" s="1064">
        <f>deflators_raw!F216</f>
        <v>2.9538555790939999E-2</v>
      </c>
      <c r="G216" s="1064">
        <f>deflators_raw!G216</f>
        <v>0</v>
      </c>
    </row>
    <row r="217" spans="1:7" x14ac:dyDescent="0.3">
      <c r="A217" s="1064" t="str">
        <f>deflators_raw!A217</f>
        <v>2023 Q4</v>
      </c>
      <c r="B217" s="1064">
        <f>deflators_raw!B217</f>
        <v>2.2178287431426899E-2</v>
      </c>
      <c r="C217" s="1064">
        <f>deflators_raw!C217</f>
        <v>2.22727407121028E-2</v>
      </c>
      <c r="D217" s="1064">
        <f>deflators_raw!D217</f>
        <v>2.8512142036472E-2</v>
      </c>
      <c r="E217" s="1064">
        <f>deflators_raw!E217</f>
        <v>2.8512142036472E-2</v>
      </c>
      <c r="F217" s="1064">
        <f>deflators_raw!F217</f>
        <v>2.8512142036472E-2</v>
      </c>
      <c r="G217" s="1064">
        <f>deflators_raw!G217</f>
        <v>0</v>
      </c>
    </row>
    <row r="218" spans="1:7" x14ac:dyDescent="0.3">
      <c r="A218" s="1064" t="str">
        <f>deflators_raw!A218</f>
        <v>2024 Q1</v>
      </c>
      <c r="B218" s="1064">
        <f>deflators_raw!B218</f>
        <v>2.1434276652948898E-2</v>
      </c>
      <c r="C218" s="1064">
        <f>deflators_raw!C218</f>
        <v>2.23623952750127E-2</v>
      </c>
      <c r="D218" s="1064">
        <f>deflators_raw!D218</f>
        <v>2.8283584176253401E-2</v>
      </c>
      <c r="E218" s="1064">
        <f>deflators_raw!E218</f>
        <v>2.8283584176253401E-2</v>
      </c>
      <c r="F218" s="1064">
        <f>deflators_raw!F218</f>
        <v>2.8283584176253401E-2</v>
      </c>
      <c r="G218" s="1064">
        <f>deflators_raw!G218</f>
        <v>0</v>
      </c>
    </row>
    <row r="219" spans="1:7" x14ac:dyDescent="0.3">
      <c r="A219" s="1064" t="str">
        <f>deflators_raw!A219</f>
        <v>2024 Q2</v>
      </c>
      <c r="B219" s="1064">
        <f>deflators_raw!B219</f>
        <v>2.10072065089228E-2</v>
      </c>
      <c r="C219" s="1064">
        <f>deflators_raw!C219</f>
        <v>2.2496789219665199E-2</v>
      </c>
      <c r="D219" s="1064">
        <f>deflators_raw!D219</f>
        <v>2.7654852328046001E-2</v>
      </c>
      <c r="E219" s="1064">
        <f>deflators_raw!E219</f>
        <v>2.7654852328046001E-2</v>
      </c>
      <c r="F219" s="1064">
        <f>deflators_raw!F219</f>
        <v>2.7654852328046001E-2</v>
      </c>
      <c r="G219" s="1064">
        <f>deflators_raw!G219</f>
        <v>0</v>
      </c>
    </row>
    <row r="220" spans="1:7" x14ac:dyDescent="0.3">
      <c r="A220" s="1064" t="str">
        <f>deflators_raw!A220</f>
        <v>2024 Q3</v>
      </c>
      <c r="B220" s="1064">
        <f>deflators_raw!B220</f>
        <v>2.0591622707038602E-2</v>
      </c>
      <c r="C220" s="1064">
        <f>deflators_raw!C220</f>
        <v>2.25123599902981E-2</v>
      </c>
      <c r="D220" s="1064">
        <f>deflators_raw!D220</f>
        <v>2.7753662335143502E-2</v>
      </c>
      <c r="E220" s="1064">
        <f>deflators_raw!E220</f>
        <v>2.7753662335143502E-2</v>
      </c>
      <c r="F220" s="1064">
        <f>deflators_raw!F220</f>
        <v>2.7753662335143502E-2</v>
      </c>
      <c r="G220" s="1064">
        <f>deflators_raw!G220</f>
        <v>0</v>
      </c>
    </row>
    <row r="221" spans="1:7" x14ac:dyDescent="0.3">
      <c r="A221" s="1064" t="str">
        <f>deflators_raw!A221</f>
        <v>2024 Q4</v>
      </c>
      <c r="B221" s="1064">
        <f>deflators_raw!B221</f>
        <v>2.0347186911993099E-2</v>
      </c>
      <c r="C221" s="1064">
        <f>deflators_raw!C221</f>
        <v>2.2891901714989799E-2</v>
      </c>
      <c r="D221" s="1064">
        <f>deflators_raw!D221</f>
        <v>2.8110399323646899E-2</v>
      </c>
      <c r="E221" s="1064">
        <f>deflators_raw!E221</f>
        <v>2.8110399323646899E-2</v>
      </c>
      <c r="F221" s="1064">
        <f>deflators_raw!F221</f>
        <v>2.8110399323646899E-2</v>
      </c>
      <c r="G221" s="1064">
        <f>deflators_raw!G221</f>
        <v>0</v>
      </c>
    </row>
    <row r="222" spans="1:7" x14ac:dyDescent="0.3">
      <c r="A222" s="1064" t="str">
        <f>deflators_raw!A222</f>
        <v>2025 Q1</v>
      </c>
      <c r="B222" s="1064">
        <f>deflators_raw!B222</f>
        <v>2.03844462174123E-2</v>
      </c>
      <c r="C222" s="1064">
        <f>deflators_raw!C222</f>
        <v>2.2688598137850801E-2</v>
      </c>
      <c r="D222" s="1064">
        <f>deflators_raw!D222</f>
        <v>2.89673943247446E-2</v>
      </c>
      <c r="E222" s="1064">
        <f>deflators_raw!E222</f>
        <v>2.89673943247446E-2</v>
      </c>
      <c r="F222" s="1064">
        <f>deflators_raw!F222</f>
        <v>2.89673943247446E-2</v>
      </c>
      <c r="G222" s="1064">
        <f>deflators_raw!G222</f>
        <v>0</v>
      </c>
    </row>
    <row r="223" spans="1:7" x14ac:dyDescent="0.3">
      <c r="A223" s="1064" t="str">
        <f>deflators_raw!A223</f>
        <v>2025 Q2</v>
      </c>
      <c r="B223" s="1064">
        <f>deflators_raw!B223</f>
        <v>2.02121429685698E-2</v>
      </c>
      <c r="C223" s="1064">
        <f>deflators_raw!C223</f>
        <v>2.2861927422401802E-2</v>
      </c>
      <c r="D223" s="1064">
        <f>deflators_raw!D223</f>
        <v>2.97171972862664E-2</v>
      </c>
      <c r="E223" s="1064">
        <f>deflators_raw!E223</f>
        <v>2.97171972862664E-2</v>
      </c>
      <c r="F223" s="1064">
        <f>deflators_raw!F223</f>
        <v>2.97171972862664E-2</v>
      </c>
      <c r="G223" s="1064">
        <f>deflators_raw!G223</f>
        <v>0</v>
      </c>
    </row>
    <row r="224" spans="1:7" x14ac:dyDescent="0.3">
      <c r="A224" s="1064" t="str">
        <f>deflators_raw!A224</f>
        <v>2025 Q3</v>
      </c>
      <c r="B224" s="1064">
        <f>deflators_raw!B224</f>
        <v>2.00951255413373E-2</v>
      </c>
      <c r="C224" s="1064">
        <f>deflators_raw!C224</f>
        <v>2.2789213164977801E-2</v>
      </c>
      <c r="D224" s="1064">
        <f>deflators_raw!D224</f>
        <v>2.9972823640437098E-2</v>
      </c>
      <c r="E224" s="1064">
        <f>deflators_raw!E224</f>
        <v>2.9972823640437098E-2</v>
      </c>
      <c r="F224" s="1064">
        <f>deflators_raw!F224</f>
        <v>2.9972823640437098E-2</v>
      </c>
      <c r="G224" s="1064">
        <f>deflators_raw!G224</f>
        <v>0</v>
      </c>
    </row>
    <row r="225" spans="1:7" x14ac:dyDescent="0.3">
      <c r="A225" s="1064" t="str">
        <f>deflators_raw!A225</f>
        <v>2025 Q4</v>
      </c>
      <c r="B225" s="1064">
        <f>deflators_raw!B225</f>
        <v>2.0005533751415599E-2</v>
      </c>
      <c r="C225" s="1064">
        <f>deflators_raw!C225</f>
        <v>2.30067515754304E-2</v>
      </c>
      <c r="D225" s="1064">
        <f>deflators_raw!D225</f>
        <v>3.0378543432117301E-2</v>
      </c>
      <c r="E225" s="1064">
        <f>deflators_raw!E225</f>
        <v>3.0378543432117301E-2</v>
      </c>
      <c r="F225" s="1064">
        <f>deflators_raw!F225</f>
        <v>3.0378543432117301E-2</v>
      </c>
      <c r="G225" s="1064">
        <f>deflators_raw!G225</f>
        <v>0</v>
      </c>
    </row>
    <row r="226" spans="1:7" x14ac:dyDescent="0.3">
      <c r="A226" s="1064" t="str">
        <f>deflators_raw!A226</f>
        <v>2026 Q1</v>
      </c>
      <c r="B226" s="1064">
        <f>deflators_raw!B226</f>
        <v>1.9992497685795502E-2</v>
      </c>
      <c r="C226" s="1064">
        <f>deflators_raw!C226</f>
        <v>2.28689196510703E-2</v>
      </c>
      <c r="D226" s="1064">
        <f>deflators_raw!D226</f>
        <v>3.0384347471833498E-2</v>
      </c>
      <c r="E226" s="1064">
        <f>deflators_raw!E226</f>
        <v>3.0384347471833498E-2</v>
      </c>
      <c r="F226" s="1064">
        <f>deflators_raw!F226</f>
        <v>3.0384347471833498E-2</v>
      </c>
      <c r="G226" s="1064">
        <f>deflators_raw!G226</f>
        <v>0</v>
      </c>
    </row>
    <row r="227" spans="1:7" x14ac:dyDescent="0.3">
      <c r="A227" s="1064" t="str">
        <f>deflators_raw!A227</f>
        <v>2026 Q2</v>
      </c>
      <c r="B227" s="1064">
        <f>deflators_raw!B227</f>
        <v>1.99491524210023E-2</v>
      </c>
      <c r="C227" s="1064">
        <f>deflators_raw!C227</f>
        <v>2.2952518060170599E-2</v>
      </c>
      <c r="D227" s="1064">
        <f>deflators_raw!D227</f>
        <v>3.0780667439755299E-2</v>
      </c>
      <c r="E227" s="1064">
        <f>deflators_raw!E227</f>
        <v>3.0780667439755299E-2</v>
      </c>
      <c r="F227" s="1064">
        <f>deflators_raw!F227</f>
        <v>3.0780667439755299E-2</v>
      </c>
      <c r="G227" s="1064">
        <f>deflators_raw!G227</f>
        <v>0</v>
      </c>
    </row>
    <row r="228" spans="1:7" x14ac:dyDescent="0.3">
      <c r="A228" s="1064" t="str">
        <f>deflators_raw!A228</f>
        <v>2026 Q3</v>
      </c>
      <c r="B228" s="1064">
        <f>deflators_raw!B228</f>
        <v>1.99785657506244E-2</v>
      </c>
      <c r="C228" s="1064">
        <f>deflators_raw!C228</f>
        <v>2.3092018308592099E-2</v>
      </c>
      <c r="D228" s="1064">
        <f>deflators_raw!D228</f>
        <v>3.09234356698747E-2</v>
      </c>
      <c r="E228" s="1064">
        <f>deflators_raw!E228</f>
        <v>3.09234356698747E-2</v>
      </c>
      <c r="F228" s="1064">
        <f>deflators_raw!F228</f>
        <v>3.09234356698747E-2</v>
      </c>
      <c r="G228" s="1064">
        <f>deflators_raw!G228</f>
        <v>0</v>
      </c>
    </row>
    <row r="229" spans="1:7" x14ac:dyDescent="0.3">
      <c r="A229" s="1064" t="str">
        <f>deflators_raw!A229</f>
        <v>2026 Q4</v>
      </c>
      <c r="B229" s="1064">
        <f>deflators_raw!B229</f>
        <v>1.9973482507164499E-2</v>
      </c>
      <c r="C229" s="1064">
        <f>deflators_raw!C229</f>
        <v>2.29188557927167E-2</v>
      </c>
      <c r="D229" s="1064">
        <f>deflators_raw!D229</f>
        <v>3.0940126349132901E-2</v>
      </c>
      <c r="E229" s="1064">
        <f>deflators_raw!E229</f>
        <v>3.0940126349132901E-2</v>
      </c>
      <c r="F229" s="1064">
        <f>deflators_raw!F229</f>
        <v>3.0940126349132901E-2</v>
      </c>
      <c r="G229" s="1064">
        <f>deflators_raw!G229</f>
        <v>0</v>
      </c>
    </row>
    <row r="230" spans="1:7" x14ac:dyDescent="0.3">
      <c r="A230" s="1064" t="str">
        <f>deflators_raw!A230</f>
        <v>2027 Q1</v>
      </c>
      <c r="B230" s="1064">
        <f>deflators_raw!B230</f>
        <v>2.00262569988248E-2</v>
      </c>
      <c r="C230" s="1064">
        <f>deflators_raw!C230</f>
        <v>2.34219478386497E-2</v>
      </c>
      <c r="D230" s="1064">
        <f>deflators_raw!D230</f>
        <v>3.08963138434795E-2</v>
      </c>
      <c r="E230" s="1064">
        <f>deflators_raw!E230</f>
        <v>3.08963138434795E-2</v>
      </c>
      <c r="F230" s="1064">
        <f>deflators_raw!F230</f>
        <v>3.08963138434795E-2</v>
      </c>
      <c r="G230" s="1064">
        <f>deflators_raw!G230</f>
        <v>0</v>
      </c>
    </row>
    <row r="231" spans="1:7" x14ac:dyDescent="0.3">
      <c r="A231" s="1064" t="str">
        <f>deflators_raw!A231</f>
        <v>2027 Q2</v>
      </c>
      <c r="B231" s="1064">
        <f>deflators_raw!B231</f>
        <v>2.0068184200822601E-2</v>
      </c>
      <c r="C231" s="1064">
        <f>deflators_raw!C231</f>
        <v>2.29559923804479E-2</v>
      </c>
      <c r="D231" s="1064">
        <f>deflators_raw!D231</f>
        <v>3.1171169586274899E-2</v>
      </c>
      <c r="E231" s="1064">
        <f>deflators_raw!E231</f>
        <v>3.1171169586274899E-2</v>
      </c>
      <c r="F231" s="1064">
        <f>deflators_raw!F231</f>
        <v>3.1171169586274899E-2</v>
      </c>
      <c r="G231" s="1064">
        <f>deflators_raw!G231</f>
        <v>0</v>
      </c>
    </row>
    <row r="232" spans="1:7" x14ac:dyDescent="0.3">
      <c r="A232" s="1064" t="str">
        <f>deflators_raw!A232</f>
        <v>2027 Q3</v>
      </c>
      <c r="B232" s="1064">
        <f>deflators_raw!B232</f>
        <v>2.00733299513789E-2</v>
      </c>
      <c r="C232" s="1064">
        <f>deflators_raw!C232</f>
        <v>2.3089907346120601E-2</v>
      </c>
      <c r="D232" s="1064">
        <f>deflators_raw!D232</f>
        <v>3.11290252355114E-2</v>
      </c>
      <c r="E232" s="1064">
        <f>deflators_raw!E232</f>
        <v>3.11290252355114E-2</v>
      </c>
      <c r="F232" s="1064">
        <f>deflators_raw!F232</f>
        <v>3.11290252355114E-2</v>
      </c>
      <c r="G232" s="1064">
        <f>deflators_raw!G232</f>
        <v>0</v>
      </c>
    </row>
    <row r="233" spans="1:7" x14ac:dyDescent="0.3">
      <c r="A233" s="1064" t="str">
        <f>deflators_raw!A233</f>
        <v>2027 Q4</v>
      </c>
      <c r="B233" s="1064">
        <f>deflators_raw!B233</f>
        <v>2.00833471581769E-2</v>
      </c>
      <c r="C233" s="1064">
        <f>deflators_raw!C233</f>
        <v>2.2986135275529802E-2</v>
      </c>
      <c r="D233" s="1064">
        <f>deflators_raw!D233</f>
        <v>3.12799263503531E-2</v>
      </c>
      <c r="E233" s="1064">
        <f>deflators_raw!E233</f>
        <v>3.12799263503531E-2</v>
      </c>
      <c r="F233" s="1064">
        <f>deflators_raw!F233</f>
        <v>3.12799263503531E-2</v>
      </c>
      <c r="G233" s="1064">
        <f>deflators_raw!G233</f>
        <v>0</v>
      </c>
    </row>
    <row r="234" spans="1:7" x14ac:dyDescent="0.3">
      <c r="A234" s="1064" t="str">
        <f>deflators_raw!A234</f>
        <v>2028 Q1</v>
      </c>
      <c r="B234" s="1064">
        <f>deflators_raw!B234</f>
        <v>2.0140093939852201E-2</v>
      </c>
      <c r="C234" s="1064">
        <f>deflators_raw!C234</f>
        <v>2.31414769468055E-2</v>
      </c>
      <c r="D234" s="1064">
        <f>deflators_raw!D234</f>
        <v>3.1432246791632999E-2</v>
      </c>
      <c r="E234" s="1064">
        <f>deflators_raw!E234</f>
        <v>3.1432246791632999E-2</v>
      </c>
      <c r="F234" s="1064">
        <f>deflators_raw!F234</f>
        <v>3.1432246791632999E-2</v>
      </c>
      <c r="G234" s="1064">
        <f>deflators_raw!G234</f>
        <v>0</v>
      </c>
    </row>
    <row r="235" spans="1:7" x14ac:dyDescent="0.3">
      <c r="A235" s="1064" t="str">
        <f>deflators_raw!A235</f>
        <v>2028 Q2</v>
      </c>
      <c r="B235" s="1064">
        <f>deflators_raw!B235</f>
        <v>2.02021592909249E-2</v>
      </c>
      <c r="C235" s="1064">
        <f>deflators_raw!C235</f>
        <v>2.2984714477401601E-2</v>
      </c>
      <c r="D235" s="1064">
        <f>deflators_raw!D235</f>
        <v>3.1205847095053599E-2</v>
      </c>
      <c r="E235" s="1064">
        <f>deflators_raw!E235</f>
        <v>3.1205847095053599E-2</v>
      </c>
      <c r="F235" s="1064">
        <f>deflators_raw!F235</f>
        <v>3.1205847095053599E-2</v>
      </c>
      <c r="G235" s="1064">
        <f>deflators_raw!G235</f>
        <v>0</v>
      </c>
    </row>
    <row r="236" spans="1:7" x14ac:dyDescent="0.3">
      <c r="A236" s="1064" t="str">
        <f>deflators_raw!A236</f>
        <v>2028 Q3</v>
      </c>
      <c r="B236" s="1064">
        <f>deflators_raw!B236</f>
        <v>2.0211898969260102E-2</v>
      </c>
      <c r="C236" s="1064">
        <f>deflators_raw!C236</f>
        <v>2.2913195171825301E-2</v>
      </c>
      <c r="D236" s="1064">
        <f>deflators_raw!D236</f>
        <v>3.14110402970686E-2</v>
      </c>
      <c r="E236" s="1064">
        <f>deflators_raw!E236</f>
        <v>3.14110402970686E-2</v>
      </c>
      <c r="F236" s="1064">
        <f>deflators_raw!F236</f>
        <v>3.14110402970686E-2</v>
      </c>
      <c r="G236" s="1064">
        <f>deflators_raw!G236</f>
        <v>0</v>
      </c>
    </row>
    <row r="237" spans="1:7" x14ac:dyDescent="0.3">
      <c r="A237" s="1064" t="str">
        <f>deflators_raw!A237</f>
        <v>2028 Q4</v>
      </c>
      <c r="B237" s="1064">
        <f>deflators_raw!B237</f>
        <v>2.0290430669000999E-2</v>
      </c>
      <c r="C237" s="1064">
        <f>deflators_raw!C237</f>
        <v>2.29758501503456E-2</v>
      </c>
      <c r="D237" s="1064">
        <f>deflators_raw!D237</f>
        <v>3.1565029186180898E-2</v>
      </c>
      <c r="E237" s="1064">
        <f>deflators_raw!E237</f>
        <v>3.1565029186180898E-2</v>
      </c>
      <c r="F237" s="1064">
        <f>deflators_raw!F237</f>
        <v>3.1565029186180898E-2</v>
      </c>
      <c r="G237" s="1064">
        <f>deflators_raw!G237</f>
        <v>0</v>
      </c>
    </row>
    <row r="238" spans="1:7" x14ac:dyDescent="0.3">
      <c r="A238" s="1064" t="str">
        <f>deflators_raw!A238</f>
        <v>2029 Q1</v>
      </c>
      <c r="B238" s="1064">
        <f>deflators_raw!B238</f>
        <v>2.0308808571870299E-2</v>
      </c>
      <c r="C238" s="1064">
        <f>deflators_raw!C238</f>
        <v>2.2824531954790599E-2</v>
      </c>
      <c r="D238" s="1064">
        <f>deflators_raw!D238</f>
        <v>3.1531274423854297E-2</v>
      </c>
      <c r="E238" s="1064">
        <f>deflators_raw!E238</f>
        <v>3.1531274423854297E-2</v>
      </c>
      <c r="F238" s="1064">
        <f>deflators_raw!F238</f>
        <v>3.1531274423854297E-2</v>
      </c>
      <c r="G238" s="1064">
        <f>deflators_raw!G238</f>
        <v>0</v>
      </c>
    </row>
    <row r="239" spans="1:7" x14ac:dyDescent="0.3">
      <c r="A239" s="1064" t="str">
        <f>deflators_raw!A239</f>
        <v>2029 Q2</v>
      </c>
      <c r="B239" s="1064">
        <f>deflators_raw!B239</f>
        <v>2.03080060292413E-2</v>
      </c>
      <c r="C239" s="1064">
        <f>deflators_raw!C239</f>
        <v>2.2972481063801901E-2</v>
      </c>
      <c r="D239" s="1064">
        <f>deflators_raw!D239</f>
        <v>3.1542996473644003E-2</v>
      </c>
      <c r="E239" s="1064">
        <f>deflators_raw!E239</f>
        <v>3.1542996473644003E-2</v>
      </c>
      <c r="F239" s="1064">
        <f>deflators_raw!F239</f>
        <v>3.1542996473644003E-2</v>
      </c>
      <c r="G239" s="1064">
        <f>deflators_raw!G239</f>
        <v>0</v>
      </c>
    </row>
    <row r="240" spans="1:7" x14ac:dyDescent="0.3">
      <c r="A240" s="1064" t="str">
        <f>deflators_raw!A240</f>
        <v>2029 Q3</v>
      </c>
      <c r="B240" s="1064">
        <f>deflators_raw!B240</f>
        <v>2.0323983720006399E-2</v>
      </c>
      <c r="C240" s="1064">
        <f>deflators_raw!C240</f>
        <v>2.2824566637221998E-2</v>
      </c>
      <c r="D240" s="1064">
        <f>deflators_raw!D240</f>
        <v>3.1855243350590097E-2</v>
      </c>
      <c r="E240" s="1064">
        <f>deflators_raw!E240</f>
        <v>3.1855243350590097E-2</v>
      </c>
      <c r="F240" s="1064">
        <f>deflators_raw!F240</f>
        <v>3.1855243350590097E-2</v>
      </c>
      <c r="G240" s="1064">
        <f>deflators_raw!G240</f>
        <v>0</v>
      </c>
    </row>
    <row r="241" spans="1:7" x14ac:dyDescent="0.3">
      <c r="A241" s="1064" t="str">
        <f>deflators_raw!A241</f>
        <v>2029 Q4</v>
      </c>
      <c r="B241" s="1064">
        <f>deflators_raw!B241</f>
        <v>2.0325704902500501E-2</v>
      </c>
      <c r="C241" s="1064">
        <f>deflators_raw!C241</f>
        <v>2.2886555231629101E-2</v>
      </c>
      <c r="D241" s="1064">
        <f>deflators_raw!D241</f>
        <v>3.1708818720508798E-2</v>
      </c>
      <c r="E241" s="1064">
        <f>deflators_raw!E241</f>
        <v>3.1708818720508798E-2</v>
      </c>
      <c r="F241" s="1064">
        <f>deflators_raw!F241</f>
        <v>3.1708818720508798E-2</v>
      </c>
      <c r="G241" s="1064">
        <f>deflators_raw!G241</f>
        <v>0</v>
      </c>
    </row>
    <row r="242" spans="1:7" x14ac:dyDescent="0.3">
      <c r="A242" s="1064" t="str">
        <f>deflators_raw!A242</f>
        <v>2030 Q1</v>
      </c>
      <c r="B242" s="1064">
        <f>deflators_raw!B242</f>
        <v>2.0305041683886599E-2</v>
      </c>
      <c r="C242" s="1064">
        <f>deflators_raw!C242</f>
        <v>2.29465623765257E-2</v>
      </c>
      <c r="D242" s="1064">
        <f>deflators_raw!D242</f>
        <v>3.1893508731351002E-2</v>
      </c>
      <c r="E242" s="1064">
        <f>deflators_raw!E242</f>
        <v>3.1893508731351002E-2</v>
      </c>
      <c r="F242" s="1064">
        <f>deflators_raw!F242</f>
        <v>3.1893508731351002E-2</v>
      </c>
      <c r="G242" s="1064">
        <f>deflators_raw!G242</f>
        <v>0</v>
      </c>
    </row>
    <row r="243" spans="1:7" x14ac:dyDescent="0.3">
      <c r="A243" s="1064" t="str">
        <f>deflators_raw!A243</f>
        <v>2030 Q2</v>
      </c>
      <c r="B243" s="1064">
        <f>deflators_raw!B243</f>
        <v>2.0287096358251301E-2</v>
      </c>
      <c r="C243" s="1064">
        <f>deflators_raw!C243</f>
        <v>2.2798980065175601E-2</v>
      </c>
      <c r="D243" s="1064">
        <f>deflators_raw!D243</f>
        <v>3.1810408581062898E-2</v>
      </c>
      <c r="E243" s="1064">
        <f>deflators_raw!E243</f>
        <v>3.1810408581062898E-2</v>
      </c>
      <c r="F243" s="1064">
        <f>deflators_raw!F243</f>
        <v>3.1810408581062898E-2</v>
      </c>
      <c r="G243" s="1064">
        <f>deflators_raw!G243</f>
        <v>0</v>
      </c>
    </row>
    <row r="244" spans="1:7" x14ac:dyDescent="0.3">
      <c r="A244" s="1064" t="str">
        <f>deflators_raw!A244</f>
        <v>2030 Q3</v>
      </c>
      <c r="B244" s="1064">
        <f>deflators_raw!B244</f>
        <v>2.0271579331879098E-2</v>
      </c>
      <c r="C244" s="1064">
        <f>deflators_raw!C244</f>
        <v>2.2857567238674801E-2</v>
      </c>
      <c r="D244" s="1064">
        <f>deflators_raw!D244</f>
        <v>3.1611362599311098E-2</v>
      </c>
      <c r="E244" s="1064">
        <f>deflators_raw!E244</f>
        <v>3.1611362599311098E-2</v>
      </c>
      <c r="F244" s="1064">
        <f>deflators_raw!F244</f>
        <v>3.1611362599311098E-2</v>
      </c>
      <c r="G244" s="1064">
        <f>deflators_raw!G244</f>
        <v>0</v>
      </c>
    </row>
    <row r="245" spans="1:7" x14ac:dyDescent="0.3">
      <c r="A245" s="1064" t="str">
        <f>deflators_raw!A245</f>
        <v>2030 Q4</v>
      </c>
      <c r="B245" s="1064">
        <f>deflators_raw!B245</f>
        <v>2.0226750918557398E-2</v>
      </c>
      <c r="C245" s="1064">
        <f>deflators_raw!C245</f>
        <v>2.30078651102898E-2</v>
      </c>
      <c r="D245" s="1064">
        <f>deflators_raw!D245</f>
        <v>3.1895036638032601E-2</v>
      </c>
      <c r="E245" s="1064">
        <f>deflators_raw!E245</f>
        <v>3.1895036638032601E-2</v>
      </c>
      <c r="F245" s="1064">
        <f>deflators_raw!F245</f>
        <v>3.1895036638032601E-2</v>
      </c>
      <c r="G245" s="1064">
        <f>deflators_raw!G245</f>
        <v>0</v>
      </c>
    </row>
    <row r="246" spans="1:7" x14ac:dyDescent="0.3">
      <c r="A246" s="1064" t="str">
        <f>deflators_raw!A246</f>
        <v>2031 Q1</v>
      </c>
      <c r="B246" s="1064">
        <f>deflators_raw!B246</f>
        <v>2.0229639632362201E-2</v>
      </c>
      <c r="C246" s="1064">
        <f>deflators_raw!C246</f>
        <v>2.2755662461575201E-2</v>
      </c>
      <c r="D246" s="1064">
        <f>deflators_raw!D246</f>
        <v>3.1906732152356301E-2</v>
      </c>
      <c r="E246" s="1064">
        <f>deflators_raw!E246</f>
        <v>3.1906732152356301E-2</v>
      </c>
      <c r="F246" s="1064">
        <f>deflators_raw!F246</f>
        <v>3.1906732152356301E-2</v>
      </c>
      <c r="G246" s="1064">
        <f>deflators_raw!G246</f>
        <v>0</v>
      </c>
    </row>
    <row r="247" spans="1:7" x14ac:dyDescent="0.3">
      <c r="A247" s="1064" t="str">
        <f>deflators_raw!A247</f>
        <v>2031 Q2</v>
      </c>
      <c r="B247" s="1064">
        <f>deflators_raw!B247</f>
        <v>2.0196749252488402E-2</v>
      </c>
      <c r="C247" s="1064">
        <f>deflators_raw!C247</f>
        <v>2.2817811468051102E-2</v>
      </c>
      <c r="D247" s="1064">
        <f>deflators_raw!D247</f>
        <v>3.1666344390047098E-2</v>
      </c>
      <c r="E247" s="1064">
        <f>deflators_raw!E247</f>
        <v>3.1666344390047098E-2</v>
      </c>
      <c r="F247" s="1064">
        <f>deflators_raw!F247</f>
        <v>3.1666344390047098E-2</v>
      </c>
      <c r="G247" s="1064">
        <f>deflators_raw!G247</f>
        <v>0</v>
      </c>
    </row>
    <row r="248" spans="1:7" x14ac:dyDescent="0.3">
      <c r="A248" s="1064" t="str">
        <f>deflators_raw!A248</f>
        <v>2031 Q3</v>
      </c>
      <c r="B248" s="1064">
        <f>deflators_raw!B248</f>
        <v>2.0138226913895701E-2</v>
      </c>
      <c r="C248" s="1064">
        <f>deflators_raw!C248</f>
        <v>2.3174738681931199E-2</v>
      </c>
      <c r="D248" s="1064">
        <f>deflators_raw!D248</f>
        <v>3.1749922428638201E-2</v>
      </c>
      <c r="E248" s="1064">
        <f>deflators_raw!E248</f>
        <v>3.1749922428638201E-2</v>
      </c>
      <c r="F248" s="1064">
        <f>deflators_raw!F248</f>
        <v>3.1749922428638201E-2</v>
      </c>
      <c r="G248" s="1064">
        <f>deflators_raw!G248</f>
        <v>0</v>
      </c>
    </row>
    <row r="249" spans="1:7" x14ac:dyDescent="0.3">
      <c r="A249" s="1064" t="str">
        <f>deflators_raw!A249</f>
        <v>2031 Q4</v>
      </c>
      <c r="B249" s="1064">
        <f>deflators_raw!B249</f>
        <v>2.0129535533826501E-2</v>
      </c>
      <c r="C249" s="1064">
        <f>deflators_raw!C249</f>
        <v>2.27379267080541E-2</v>
      </c>
      <c r="D249" s="1064">
        <f>deflators_raw!D249</f>
        <v>3.1908648163189397E-2</v>
      </c>
      <c r="E249" s="1064">
        <f>deflators_raw!E249</f>
        <v>3.1908648163189397E-2</v>
      </c>
      <c r="F249" s="1064">
        <f>deflators_raw!F249</f>
        <v>3.1908648163189397E-2</v>
      </c>
      <c r="G249" s="1064">
        <f>deflators_raw!G249</f>
        <v>0</v>
      </c>
    </row>
    <row r="250" spans="1:7" x14ac:dyDescent="0.3">
      <c r="A250" s="1064" t="str">
        <f>deflators_raw!A250</f>
        <v>2032 Q1</v>
      </c>
      <c r="B250" s="1064">
        <f>deflators_raw!B250</f>
        <v>2.0106884793451098E-2</v>
      </c>
      <c r="C250" s="1064">
        <f>deflators_raw!C250</f>
        <v>2.3093327603912001E-2</v>
      </c>
      <c r="D250" s="1064">
        <f>deflators_raw!D250</f>
        <v>3.1692204125751702E-2</v>
      </c>
      <c r="E250" s="1064">
        <f>deflators_raw!E250</f>
        <v>3.1692204125751702E-2</v>
      </c>
      <c r="F250" s="1064">
        <f>deflators_raw!F250</f>
        <v>3.1692204125751702E-2</v>
      </c>
      <c r="G250" s="1064">
        <f>deflators_raw!G250</f>
        <v>0</v>
      </c>
    </row>
    <row r="251" spans="1:7" x14ac:dyDescent="0.3">
      <c r="A251" s="1064" t="str">
        <f>deflators_raw!A251</f>
        <v>2032 Q2</v>
      </c>
      <c r="B251" s="1064">
        <f>deflators_raw!B251</f>
        <v>2.0037252982960399E-2</v>
      </c>
      <c r="C251" s="1064">
        <f>deflators_raw!C251</f>
        <v>2.2853757020905099E-2</v>
      </c>
      <c r="D251" s="1064">
        <f>deflators_raw!D251</f>
        <v>3.1763978164364597E-2</v>
      </c>
      <c r="E251" s="1064">
        <f>deflators_raw!E251</f>
        <v>3.1763978164364597E-2</v>
      </c>
      <c r="F251" s="1064">
        <f>deflators_raw!F251</f>
        <v>3.1763978164364597E-2</v>
      </c>
      <c r="G251" s="1064">
        <f>deflators_raw!G251</f>
        <v>0</v>
      </c>
    </row>
    <row r="252" spans="1:7" x14ac:dyDescent="0.3">
      <c r="A252" s="1064" t="str">
        <f>deflators_raw!A252</f>
        <v>2032 Q3</v>
      </c>
      <c r="B252" s="1064">
        <f>deflators_raw!B252</f>
        <v>2.0056022895238401E-2</v>
      </c>
      <c r="C252" s="1064">
        <f>deflators_raw!C252</f>
        <v>2.2713969923905002E-2</v>
      </c>
      <c r="D252" s="1064">
        <f>deflators_raw!D252</f>
        <v>3.17278315390737E-2</v>
      </c>
      <c r="E252" s="1064">
        <f>deflators_raw!E252</f>
        <v>3.17278315390737E-2</v>
      </c>
      <c r="F252" s="1064">
        <f>deflators_raw!F252</f>
        <v>3.17278315390737E-2</v>
      </c>
      <c r="G252" s="1064">
        <f>deflators_raw!G252</f>
        <v>0</v>
      </c>
    </row>
    <row r="253" spans="1:7" x14ac:dyDescent="0.3">
      <c r="A253" s="1064"/>
    </row>
    <row r="254" spans="1:7" x14ac:dyDescent="0.3">
      <c r="A254" s="1064"/>
    </row>
    <row r="255" spans="1:7" x14ac:dyDescent="0.3">
      <c r="A255" s="1064"/>
    </row>
    <row r="256" spans="1:7" x14ac:dyDescent="0.3">
      <c r="A256" s="1064"/>
    </row>
    <row r="257" spans="1:1" x14ac:dyDescent="0.3">
      <c r="A257" s="1064"/>
    </row>
    <row r="258" spans="1:1" x14ac:dyDescent="0.3">
      <c r="A258" s="1064"/>
    </row>
    <row r="259" spans="1:1" x14ac:dyDescent="0.3">
      <c r="A259" s="1064"/>
    </row>
    <row r="260" spans="1:1" x14ac:dyDescent="0.3">
      <c r="A260" s="1064"/>
    </row>
    <row r="261" spans="1:1" x14ac:dyDescent="0.3">
      <c r="A261" s="1064"/>
    </row>
    <row r="262" spans="1:1" x14ac:dyDescent="0.3">
      <c r="A262" s="1064"/>
    </row>
    <row r="263" spans="1:1" x14ac:dyDescent="0.3">
      <c r="A263" s="1064"/>
    </row>
    <row r="264" spans="1:1" x14ac:dyDescent="0.3">
      <c r="A264" s="1064"/>
    </row>
    <row r="265" spans="1:1" x14ac:dyDescent="0.3">
      <c r="A265" s="1064"/>
    </row>
    <row r="266" spans="1:1" x14ac:dyDescent="0.3">
      <c r="A266" s="1064"/>
    </row>
    <row r="267" spans="1:1" x14ac:dyDescent="0.3">
      <c r="A267" s="1064"/>
    </row>
    <row r="268" spans="1:1" x14ac:dyDescent="0.3">
      <c r="A268" s="1064"/>
    </row>
    <row r="269" spans="1:1" x14ac:dyDescent="0.3">
      <c r="A269" s="1064"/>
    </row>
    <row r="270" spans="1:1" x14ac:dyDescent="0.3">
      <c r="A270" s="1064"/>
    </row>
    <row r="271" spans="1:1" x14ac:dyDescent="0.3">
      <c r="A271" s="1064"/>
    </row>
    <row r="272" spans="1:1" x14ac:dyDescent="0.3">
      <c r="A272" s="1064"/>
    </row>
    <row r="273" spans="1:1" x14ac:dyDescent="0.3">
      <c r="A273" s="1064"/>
    </row>
    <row r="274" spans="1:1" x14ac:dyDescent="0.3">
      <c r="A274" s="1064"/>
    </row>
    <row r="275" spans="1:1" x14ac:dyDescent="0.3">
      <c r="A275" s="1064"/>
    </row>
    <row r="276" spans="1:1" x14ac:dyDescent="0.3">
      <c r="A276" s="1064"/>
    </row>
    <row r="277" spans="1:1" x14ac:dyDescent="0.3">
      <c r="A277" s="1064"/>
    </row>
    <row r="278" spans="1:1" x14ac:dyDescent="0.3">
      <c r="A278" s="1064"/>
    </row>
    <row r="279" spans="1:1" x14ac:dyDescent="0.3">
      <c r="A279" s="1064"/>
    </row>
    <row r="280" spans="1:1" x14ac:dyDescent="0.3">
      <c r="A280" s="1064"/>
    </row>
    <row r="281" spans="1:1" x14ac:dyDescent="0.3">
      <c r="A281" s="1064"/>
    </row>
    <row r="282" spans="1:1" x14ac:dyDescent="0.3">
      <c r="A282" s="1064"/>
    </row>
    <row r="283" spans="1:1" x14ac:dyDescent="0.3">
      <c r="A283" s="1064"/>
    </row>
    <row r="284" spans="1:1" x14ac:dyDescent="0.3">
      <c r="A284" s="1064"/>
    </row>
    <row r="285" spans="1:1" x14ac:dyDescent="0.3">
      <c r="A285" s="1064"/>
    </row>
    <row r="286" spans="1:1" x14ac:dyDescent="0.3">
      <c r="A286" s="1064"/>
    </row>
    <row r="287" spans="1:1" x14ac:dyDescent="0.3">
      <c r="A287" s="1064"/>
    </row>
    <row r="288" spans="1:1" x14ac:dyDescent="0.3">
      <c r="A288" s="1064"/>
    </row>
    <row r="289" spans="1:1" x14ac:dyDescent="0.3">
      <c r="A289" s="1064"/>
    </row>
    <row r="290" spans="1:1" x14ac:dyDescent="0.3">
      <c r="A290" s="1064"/>
    </row>
    <row r="291" spans="1:1" x14ac:dyDescent="0.3">
      <c r="A291" s="1064"/>
    </row>
    <row r="292" spans="1:1" x14ac:dyDescent="0.3">
      <c r="A292" s="1064"/>
    </row>
    <row r="293" spans="1:1" x14ac:dyDescent="0.3">
      <c r="A293" s="1064"/>
    </row>
    <row r="294" spans="1:1" x14ac:dyDescent="0.3">
      <c r="A294" s="1064"/>
    </row>
    <row r="295" spans="1:1" x14ac:dyDescent="0.3">
      <c r="A295" s="1064"/>
    </row>
    <row r="296" spans="1:1" x14ac:dyDescent="0.3">
      <c r="A296" s="1064"/>
    </row>
    <row r="297" spans="1:1" x14ac:dyDescent="0.3">
      <c r="A297" s="1064"/>
    </row>
    <row r="298" spans="1:1" x14ac:dyDescent="0.3">
      <c r="A298" s="1064"/>
    </row>
    <row r="299" spans="1:1" x14ac:dyDescent="0.3">
      <c r="A299" s="1064"/>
    </row>
    <row r="300" spans="1:1" x14ac:dyDescent="0.3">
      <c r="A300" s="1064"/>
    </row>
    <row r="301" spans="1:1" x14ac:dyDescent="0.3">
      <c r="A301" s="1064"/>
    </row>
    <row r="302" spans="1:1" x14ac:dyDescent="0.3">
      <c r="A302" s="1064"/>
    </row>
    <row r="303" spans="1:1" x14ac:dyDescent="0.3">
      <c r="A303" s="1064"/>
    </row>
    <row r="304" spans="1:1" x14ac:dyDescent="0.3">
      <c r="A304" s="1064"/>
    </row>
    <row r="305" spans="1:1" x14ac:dyDescent="0.3">
      <c r="A305" s="1064"/>
    </row>
    <row r="306" spans="1:1" x14ac:dyDescent="0.3">
      <c r="A306" s="1064"/>
    </row>
    <row r="307" spans="1:1" x14ac:dyDescent="0.3">
      <c r="A307" s="1064"/>
    </row>
    <row r="308" spans="1:1" x14ac:dyDescent="0.3">
      <c r="A308" s="1064"/>
    </row>
    <row r="309" spans="1:1" x14ac:dyDescent="0.3">
      <c r="A309" s="1064"/>
    </row>
    <row r="310" spans="1:1" x14ac:dyDescent="0.3">
      <c r="A310" s="1064"/>
    </row>
    <row r="311" spans="1:1" x14ac:dyDescent="0.3">
      <c r="A311" s="1064"/>
    </row>
    <row r="312" spans="1:1" x14ac:dyDescent="0.3">
      <c r="A312" s="1064"/>
    </row>
    <row r="313" spans="1:1" x14ac:dyDescent="0.3">
      <c r="A313" s="1064"/>
    </row>
    <row r="314" spans="1:1" x14ac:dyDescent="0.3">
      <c r="A314" s="1064"/>
    </row>
    <row r="315" spans="1:1" x14ac:dyDescent="0.3">
      <c r="A315" s="1064"/>
    </row>
    <row r="316" spans="1:1" x14ac:dyDescent="0.3">
      <c r="A316" s="1064"/>
    </row>
    <row r="317" spans="1:1" x14ac:dyDescent="0.3">
      <c r="A317" s="1064"/>
    </row>
    <row r="318" spans="1:1" x14ac:dyDescent="0.3">
      <c r="A318" s="1064"/>
    </row>
    <row r="319" spans="1:1" x14ac:dyDescent="0.3">
      <c r="A319" s="1064"/>
    </row>
    <row r="320" spans="1:1" x14ac:dyDescent="0.3">
      <c r="A320" s="1064"/>
    </row>
    <row r="321" spans="1:1" x14ac:dyDescent="0.3">
      <c r="A321" s="1064"/>
    </row>
    <row r="322" spans="1:1" x14ac:dyDescent="0.3">
      <c r="A322" s="1064"/>
    </row>
    <row r="323" spans="1:1" x14ac:dyDescent="0.3">
      <c r="A323" s="1064"/>
    </row>
    <row r="324" spans="1:1" x14ac:dyDescent="0.3">
      <c r="A324" s="1064"/>
    </row>
    <row r="325" spans="1:1" x14ac:dyDescent="0.3">
      <c r="A325" s="1064"/>
    </row>
    <row r="326" spans="1:1" x14ac:dyDescent="0.3">
      <c r="A326" s="1064"/>
    </row>
    <row r="327" spans="1:1" x14ac:dyDescent="0.3">
      <c r="A327" s="1064"/>
    </row>
    <row r="328" spans="1:1" x14ac:dyDescent="0.3">
      <c r="A328" s="1064"/>
    </row>
    <row r="329" spans="1:1" x14ac:dyDescent="0.3">
      <c r="A329" s="1064"/>
    </row>
    <row r="330" spans="1:1" x14ac:dyDescent="0.3">
      <c r="A330" s="1064"/>
    </row>
    <row r="331" spans="1:1" x14ac:dyDescent="0.3">
      <c r="A331" s="1064"/>
    </row>
    <row r="332" spans="1:1" x14ac:dyDescent="0.3">
      <c r="A332" s="1064"/>
    </row>
    <row r="333" spans="1:1" x14ac:dyDescent="0.3">
      <c r="A333" s="1064"/>
    </row>
    <row r="334" spans="1:1" x14ac:dyDescent="0.3">
      <c r="A334" s="1064"/>
    </row>
    <row r="335" spans="1:1" x14ac:dyDescent="0.3">
      <c r="A335" s="1064"/>
    </row>
    <row r="336" spans="1:1" x14ac:dyDescent="0.3">
      <c r="A336" s="1064"/>
    </row>
    <row r="337" spans="1:1" x14ac:dyDescent="0.3">
      <c r="A337" s="1064"/>
    </row>
    <row r="338" spans="1:1" x14ac:dyDescent="0.3">
      <c r="A338" s="1064"/>
    </row>
    <row r="339" spans="1:1" x14ac:dyDescent="0.3">
      <c r="A339" s="1064"/>
    </row>
    <row r="340" spans="1:1" x14ac:dyDescent="0.3">
      <c r="A340" s="1064"/>
    </row>
    <row r="341" spans="1:1" x14ac:dyDescent="0.3">
      <c r="A341" s="1064"/>
    </row>
    <row r="342" spans="1:1" x14ac:dyDescent="0.3">
      <c r="A342" s="1064"/>
    </row>
    <row r="343" spans="1:1" x14ac:dyDescent="0.3">
      <c r="A343" s="1064"/>
    </row>
    <row r="344" spans="1:1" x14ac:dyDescent="0.3">
      <c r="A344" s="1064"/>
    </row>
    <row r="345" spans="1:1" x14ac:dyDescent="0.3">
      <c r="A345" s="1064"/>
    </row>
    <row r="346" spans="1:1" x14ac:dyDescent="0.3">
      <c r="A346" s="1064"/>
    </row>
    <row r="347" spans="1:1" x14ac:dyDescent="0.3">
      <c r="A347" s="1064"/>
    </row>
    <row r="348" spans="1:1" x14ac:dyDescent="0.3">
      <c r="A348" s="1064"/>
    </row>
    <row r="349" spans="1:1" x14ac:dyDescent="0.3">
      <c r="A349" s="1064"/>
    </row>
    <row r="350" spans="1:1" x14ac:dyDescent="0.3">
      <c r="A350" s="1064"/>
    </row>
    <row r="351" spans="1:1" x14ac:dyDescent="0.3">
      <c r="A351" s="1064"/>
    </row>
    <row r="352" spans="1:1" x14ac:dyDescent="0.3">
      <c r="A352" s="1064"/>
    </row>
    <row r="353" spans="1:1" x14ac:dyDescent="0.3">
      <c r="A353" s="1064"/>
    </row>
    <row r="354" spans="1:1" x14ac:dyDescent="0.3">
      <c r="A354" s="1064"/>
    </row>
    <row r="355" spans="1:1" x14ac:dyDescent="0.3">
      <c r="A355" s="1064"/>
    </row>
    <row r="356" spans="1:1" x14ac:dyDescent="0.3">
      <c r="A356" s="1064"/>
    </row>
    <row r="357" spans="1:1" x14ac:dyDescent="0.3">
      <c r="A357" s="1064"/>
    </row>
    <row r="358" spans="1:1" x14ac:dyDescent="0.3">
      <c r="A358" s="1064"/>
    </row>
    <row r="359" spans="1:1" x14ac:dyDescent="0.3">
      <c r="A359" s="1064"/>
    </row>
    <row r="360" spans="1:1" x14ac:dyDescent="0.3">
      <c r="A360" s="1064"/>
    </row>
    <row r="361" spans="1:1" x14ac:dyDescent="0.3">
      <c r="A361" s="1064"/>
    </row>
    <row r="362" spans="1:1" x14ac:dyDescent="0.3">
      <c r="A362" s="1064"/>
    </row>
    <row r="363" spans="1:1" x14ac:dyDescent="0.3">
      <c r="A363" s="1064"/>
    </row>
    <row r="364" spans="1:1" x14ac:dyDescent="0.3">
      <c r="A364" s="1064"/>
    </row>
    <row r="365" spans="1:1" x14ac:dyDescent="0.3">
      <c r="A365" s="1064"/>
    </row>
    <row r="366" spans="1:1" x14ac:dyDescent="0.3">
      <c r="A366" s="1064"/>
    </row>
    <row r="367" spans="1:1" x14ac:dyDescent="0.3">
      <c r="A367" s="1064"/>
    </row>
    <row r="368" spans="1:1" x14ac:dyDescent="0.3">
      <c r="A368" s="1064"/>
    </row>
    <row r="369" spans="1:1" x14ac:dyDescent="0.3">
      <c r="A369" s="1064"/>
    </row>
    <row r="370" spans="1:1" x14ac:dyDescent="0.3">
      <c r="A370" s="1064"/>
    </row>
    <row r="371" spans="1:1" x14ac:dyDescent="0.3">
      <c r="A371" s="1064"/>
    </row>
    <row r="372" spans="1:1" x14ac:dyDescent="0.3">
      <c r="A372" s="1064"/>
    </row>
    <row r="373" spans="1:1" x14ac:dyDescent="0.3">
      <c r="A373" s="1064"/>
    </row>
    <row r="374" spans="1:1" x14ac:dyDescent="0.3">
      <c r="A374" s="1064"/>
    </row>
    <row r="375" spans="1:1" x14ac:dyDescent="0.3">
      <c r="A375" s="1064"/>
    </row>
    <row r="376" spans="1:1" x14ac:dyDescent="0.3">
      <c r="A376" s="1064"/>
    </row>
    <row r="377" spans="1:1" x14ac:dyDescent="0.3">
      <c r="A377" s="1064"/>
    </row>
    <row r="378" spans="1:1" x14ac:dyDescent="0.3">
      <c r="A378" s="1064"/>
    </row>
    <row r="379" spans="1:1" x14ac:dyDescent="0.3">
      <c r="A379" s="1064"/>
    </row>
    <row r="380" spans="1:1" x14ac:dyDescent="0.3">
      <c r="A380" s="1064"/>
    </row>
    <row r="381" spans="1:1" x14ac:dyDescent="0.3">
      <c r="A381" s="1064"/>
    </row>
    <row r="382" spans="1:1" x14ac:dyDescent="0.3">
      <c r="A382" s="1064"/>
    </row>
    <row r="383" spans="1:1" x14ac:dyDescent="0.3">
      <c r="A383" s="1064"/>
    </row>
    <row r="384" spans="1:1" x14ac:dyDescent="0.3">
      <c r="A384" s="1064"/>
    </row>
    <row r="385" spans="1:1" x14ac:dyDescent="0.3">
      <c r="A385" s="1064"/>
    </row>
    <row r="386" spans="1:1" x14ac:dyDescent="0.3">
      <c r="A386" s="1064"/>
    </row>
    <row r="387" spans="1:1" x14ac:dyDescent="0.3">
      <c r="A387" s="1064"/>
    </row>
    <row r="388" spans="1:1" x14ac:dyDescent="0.3">
      <c r="A388" s="1064"/>
    </row>
    <row r="389" spans="1:1" x14ac:dyDescent="0.3">
      <c r="A389" s="1064"/>
    </row>
    <row r="390" spans="1:1" x14ac:dyDescent="0.3">
      <c r="A390" s="1064"/>
    </row>
    <row r="391" spans="1:1" x14ac:dyDescent="0.3">
      <c r="A391" s="1064"/>
    </row>
    <row r="392" spans="1:1" x14ac:dyDescent="0.3">
      <c r="A392" s="1064"/>
    </row>
    <row r="393" spans="1:1" x14ac:dyDescent="0.3">
      <c r="A393" s="1064"/>
    </row>
    <row r="394" spans="1:1" x14ac:dyDescent="0.3">
      <c r="A394" s="1064"/>
    </row>
    <row r="395" spans="1:1" x14ac:dyDescent="0.3">
      <c r="A395" s="1064"/>
    </row>
    <row r="396" spans="1:1" x14ac:dyDescent="0.3">
      <c r="A396" s="1064"/>
    </row>
    <row r="397" spans="1:1" x14ac:dyDescent="0.3">
      <c r="A397" s="1064"/>
    </row>
    <row r="398" spans="1:1" x14ac:dyDescent="0.3">
      <c r="A398" s="1064"/>
    </row>
    <row r="399" spans="1:1" x14ac:dyDescent="0.3">
      <c r="A399" s="1064"/>
    </row>
    <row r="400" spans="1:1" x14ac:dyDescent="0.3">
      <c r="A400" s="1064"/>
    </row>
    <row r="401" spans="1:1" x14ac:dyDescent="0.3">
      <c r="A401" s="1064"/>
    </row>
    <row r="402" spans="1:1" x14ac:dyDescent="0.3">
      <c r="A402" s="1064"/>
    </row>
    <row r="403" spans="1:1" x14ac:dyDescent="0.3">
      <c r="A403" s="1064"/>
    </row>
    <row r="404" spans="1:1" x14ac:dyDescent="0.3">
      <c r="A404" s="1064"/>
    </row>
    <row r="405" spans="1:1" x14ac:dyDescent="0.3">
      <c r="A405" s="1064"/>
    </row>
    <row r="406" spans="1:1" x14ac:dyDescent="0.3">
      <c r="A406" s="1064"/>
    </row>
    <row r="407" spans="1:1" x14ac:dyDescent="0.3">
      <c r="A407" s="1064"/>
    </row>
    <row r="408" spans="1:1" x14ac:dyDescent="0.3">
      <c r="A408" s="1064"/>
    </row>
    <row r="409" spans="1:1" x14ac:dyDescent="0.3">
      <c r="A409" s="1064"/>
    </row>
    <row r="410" spans="1:1" x14ac:dyDescent="0.3">
      <c r="A410" s="1064"/>
    </row>
    <row r="411" spans="1:1" x14ac:dyDescent="0.3">
      <c r="A411" s="1064"/>
    </row>
    <row r="412" spans="1:1" x14ac:dyDescent="0.3">
      <c r="A412" s="1064"/>
    </row>
    <row r="413" spans="1:1" x14ac:dyDescent="0.3">
      <c r="A413" s="1064"/>
    </row>
    <row r="414" spans="1:1" x14ac:dyDescent="0.3">
      <c r="A414" s="1064"/>
    </row>
    <row r="415" spans="1:1" x14ac:dyDescent="0.3">
      <c r="A415" s="1064"/>
    </row>
    <row r="416" spans="1:1" x14ac:dyDescent="0.3">
      <c r="A416" s="1064"/>
    </row>
    <row r="417" spans="1:1" x14ac:dyDescent="0.3">
      <c r="A417" s="1064"/>
    </row>
    <row r="418" spans="1:1" x14ac:dyDescent="0.3">
      <c r="A418" s="1064"/>
    </row>
    <row r="419" spans="1:1" x14ac:dyDescent="0.3">
      <c r="A419" s="1064"/>
    </row>
    <row r="420" spans="1:1" x14ac:dyDescent="0.3">
      <c r="A420" s="1064"/>
    </row>
    <row r="421" spans="1:1" x14ac:dyDescent="0.3">
      <c r="A421" s="1064"/>
    </row>
    <row r="422" spans="1:1" x14ac:dyDescent="0.3">
      <c r="A422" s="1064"/>
    </row>
    <row r="423" spans="1:1" x14ac:dyDescent="0.3">
      <c r="A423" s="1064"/>
    </row>
    <row r="424" spans="1:1" x14ac:dyDescent="0.3">
      <c r="A424" s="1064"/>
    </row>
    <row r="425" spans="1:1" x14ac:dyDescent="0.3">
      <c r="A425" s="1064"/>
    </row>
    <row r="426" spans="1:1" x14ac:dyDescent="0.3">
      <c r="A426" s="1064"/>
    </row>
    <row r="427" spans="1:1" x14ac:dyDescent="0.3">
      <c r="A427" s="1064"/>
    </row>
    <row r="428" spans="1:1" x14ac:dyDescent="0.3">
      <c r="A428" s="1064"/>
    </row>
    <row r="429" spans="1:1" x14ac:dyDescent="0.3">
      <c r="A429" s="1064"/>
    </row>
    <row r="430" spans="1:1" x14ac:dyDescent="0.3">
      <c r="A430" s="1064"/>
    </row>
    <row r="431" spans="1:1" x14ac:dyDescent="0.3">
      <c r="A431" s="1064"/>
    </row>
    <row r="432" spans="1:1" x14ac:dyDescent="0.3">
      <c r="A432" s="1064"/>
    </row>
    <row r="433" spans="1:1" x14ac:dyDescent="0.3">
      <c r="A433" s="1064"/>
    </row>
    <row r="434" spans="1:1" x14ac:dyDescent="0.3">
      <c r="A434" s="1064"/>
    </row>
    <row r="435" spans="1:1" x14ac:dyDescent="0.3">
      <c r="A435" s="1064"/>
    </row>
    <row r="436" spans="1:1" x14ac:dyDescent="0.3">
      <c r="A436" s="1064"/>
    </row>
    <row r="437" spans="1:1" x14ac:dyDescent="0.3">
      <c r="A437" s="1064"/>
    </row>
    <row r="438" spans="1:1" x14ac:dyDescent="0.3">
      <c r="A438" s="1064"/>
    </row>
    <row r="439" spans="1:1" x14ac:dyDescent="0.3">
      <c r="A439" s="1064"/>
    </row>
    <row r="440" spans="1:1" x14ac:dyDescent="0.3">
      <c r="A440" s="1064"/>
    </row>
    <row r="441" spans="1:1" x14ac:dyDescent="0.3">
      <c r="A441" s="1064"/>
    </row>
    <row r="442" spans="1:1" x14ac:dyDescent="0.3">
      <c r="A442" s="106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L252"/>
  <sheetViews>
    <sheetView workbookViewId="0"/>
  </sheetViews>
  <sheetFormatPr defaultColWidth="11.5546875" defaultRowHeight="14.4" x14ac:dyDescent="0.3"/>
  <sheetData>
    <row r="1" spans="1:12" x14ac:dyDescent="0.3">
      <c r="A1" s="51" t="s">
        <v>1850</v>
      </c>
      <c r="B1" s="51" t="s">
        <v>1851</v>
      </c>
      <c r="C1" s="51" t="s">
        <v>1852</v>
      </c>
      <c r="D1" s="51" t="s">
        <v>1853</v>
      </c>
      <c r="E1" s="51" t="s">
        <v>1854</v>
      </c>
      <c r="F1" s="51" t="s">
        <v>1855</v>
      </c>
      <c r="G1" s="51" t="s">
        <v>1021</v>
      </c>
      <c r="H1" s="51" t="s">
        <v>1022</v>
      </c>
      <c r="I1" s="51" t="s">
        <v>1023</v>
      </c>
      <c r="J1" s="51" t="s">
        <v>1024</v>
      </c>
      <c r="K1" s="51" t="s">
        <v>1025</v>
      </c>
      <c r="L1" s="51" t="s">
        <v>1026</v>
      </c>
    </row>
    <row r="2" spans="1:12" x14ac:dyDescent="0.3">
      <c r="A2">
        <v>4.5079018442711401E-2</v>
      </c>
      <c r="B2">
        <v>5.3878515900577198E-2</v>
      </c>
      <c r="C2">
        <v>8.2063006909154398E-2</v>
      </c>
      <c r="D2">
        <v>0.104421067414309</v>
      </c>
      <c r="E2" t="s">
        <v>1856</v>
      </c>
      <c r="F2" t="s">
        <v>1857</v>
      </c>
      <c r="G2">
        <v>13.106999999999999</v>
      </c>
      <c r="H2">
        <v>1.9913023575188999E-2</v>
      </c>
      <c r="I2">
        <v>16.824999999999999</v>
      </c>
      <c r="J2">
        <v>2.51411589895989E-2</v>
      </c>
      <c r="K2" t="s">
        <v>1027</v>
      </c>
      <c r="L2" t="s">
        <v>1028</v>
      </c>
    </row>
    <row r="3" spans="1:12" x14ac:dyDescent="0.3">
      <c r="A3">
        <v>4.5079018442711401E-2</v>
      </c>
      <c r="B3">
        <v>5.3878515900577198E-2</v>
      </c>
      <c r="C3">
        <v>8.2063006909154398E-2</v>
      </c>
      <c r="D3">
        <v>0.104421067414309</v>
      </c>
      <c r="E3" t="s">
        <v>1858</v>
      </c>
      <c r="F3" t="s">
        <v>1857</v>
      </c>
      <c r="G3">
        <v>13.368</v>
      </c>
      <c r="H3">
        <v>1.9913023575188999E-2</v>
      </c>
      <c r="I3">
        <v>17.248000000000001</v>
      </c>
      <c r="J3">
        <v>2.51411589895989E-2</v>
      </c>
      <c r="K3" t="s">
        <v>1029</v>
      </c>
      <c r="L3" t="s">
        <v>1028</v>
      </c>
    </row>
    <row r="4" spans="1:12" x14ac:dyDescent="0.3">
      <c r="A4">
        <v>3.9419555818651898E-2</v>
      </c>
      <c r="B4">
        <v>6.9938689583740596E-2</v>
      </c>
      <c r="C4">
        <v>7.2508506661211405E-2</v>
      </c>
      <c r="D4">
        <v>7.9737360467493398E-2</v>
      </c>
      <c r="E4" t="s">
        <v>1859</v>
      </c>
      <c r="F4" t="s">
        <v>1857</v>
      </c>
      <c r="G4">
        <v>13.603999999999999</v>
      </c>
      <c r="H4">
        <v>1.7654099341711402E-2</v>
      </c>
      <c r="I4">
        <v>17.582000000000001</v>
      </c>
      <c r="J4">
        <v>1.9364564007421099E-2</v>
      </c>
      <c r="K4" t="s">
        <v>1030</v>
      </c>
      <c r="L4" t="s">
        <v>1028</v>
      </c>
    </row>
    <row r="5" spans="1:12" x14ac:dyDescent="0.3">
      <c r="A5">
        <v>5.2824828770235303E-2</v>
      </c>
      <c r="B5">
        <v>5.1823422551402501E-2</v>
      </c>
      <c r="C5">
        <v>6.9052453854286294E-2</v>
      </c>
      <c r="D5">
        <v>0.10539397910227</v>
      </c>
      <c r="E5" t="s">
        <v>1860</v>
      </c>
      <c r="F5" t="s">
        <v>1857</v>
      </c>
      <c r="G5">
        <v>13.833</v>
      </c>
      <c r="H5">
        <v>1.6833284328138898E-2</v>
      </c>
      <c r="I5">
        <v>18.027999999999999</v>
      </c>
      <c r="J5">
        <v>2.5366852462745899E-2</v>
      </c>
      <c r="K5" t="s">
        <v>1031</v>
      </c>
      <c r="L5" t="s">
        <v>1028</v>
      </c>
    </row>
    <row r="6" spans="1:12" x14ac:dyDescent="0.3">
      <c r="A6">
        <v>3.85286878692137E-2</v>
      </c>
      <c r="B6">
        <v>0.132788480581229</v>
      </c>
      <c r="C6">
        <v>0.10231116414477499</v>
      </c>
      <c r="D6">
        <v>6.9175988166702701E-2</v>
      </c>
      <c r="E6" t="s">
        <v>1861</v>
      </c>
      <c r="F6" t="s">
        <v>1857</v>
      </c>
      <c r="G6">
        <v>14.173999999999999</v>
      </c>
      <c r="H6">
        <v>2.4651196414371399E-2</v>
      </c>
      <c r="I6">
        <v>18.332000000000001</v>
      </c>
      <c r="J6">
        <v>1.6862658087419598E-2</v>
      </c>
      <c r="K6" t="s">
        <v>1032</v>
      </c>
      <c r="L6" t="s">
        <v>1028</v>
      </c>
    </row>
    <row r="7" spans="1:12" x14ac:dyDescent="0.3">
      <c r="A7">
        <v>4.6230845754161802E-2</v>
      </c>
      <c r="B7">
        <v>7.6806429060699302E-2</v>
      </c>
      <c r="C7">
        <v>7.6908368677740299E-2</v>
      </c>
      <c r="D7">
        <v>6.5481053360561203E-2</v>
      </c>
      <c r="E7" t="s">
        <v>1862</v>
      </c>
      <c r="F7" t="s">
        <v>1857</v>
      </c>
      <c r="G7">
        <v>14.439</v>
      </c>
      <c r="H7">
        <v>1.8696204317764999E-2</v>
      </c>
      <c r="I7">
        <v>18.625</v>
      </c>
      <c r="J7">
        <v>1.59829805804057E-2</v>
      </c>
      <c r="K7" t="s">
        <v>1033</v>
      </c>
      <c r="L7" t="s">
        <v>1028</v>
      </c>
    </row>
    <row r="8" spans="1:12" x14ac:dyDescent="0.3">
      <c r="A8">
        <v>4.0000704948734103E-2</v>
      </c>
      <c r="B8">
        <v>5.9184461037305798E-2</v>
      </c>
      <c r="C8">
        <v>6.1773509542664397E-2</v>
      </c>
      <c r="D8">
        <v>4.4315280925248897E-2</v>
      </c>
      <c r="E8" t="s">
        <v>1863</v>
      </c>
      <c r="F8" t="s">
        <v>1857</v>
      </c>
      <c r="G8">
        <v>14.657</v>
      </c>
      <c r="H8">
        <v>1.5097998476348899E-2</v>
      </c>
      <c r="I8">
        <v>18.827999999999999</v>
      </c>
      <c r="J8">
        <v>1.0899328859060401E-2</v>
      </c>
      <c r="K8" t="s">
        <v>1034</v>
      </c>
      <c r="L8" t="s">
        <v>1028</v>
      </c>
    </row>
    <row r="9" spans="1:12" x14ac:dyDescent="0.3">
      <c r="A9">
        <v>2.5035607973723999E-2</v>
      </c>
      <c r="B9">
        <v>8.3819893360376693E-2</v>
      </c>
      <c r="C9">
        <v>3.6793688078589702E-2</v>
      </c>
      <c r="D9">
        <v>7.0854524877743894E-2</v>
      </c>
      <c r="E9" t="s">
        <v>1864</v>
      </c>
      <c r="F9" t="s">
        <v>1857</v>
      </c>
      <c r="G9">
        <v>14.79</v>
      </c>
      <c r="H9">
        <v>9.0741625162038507E-3</v>
      </c>
      <c r="I9">
        <v>19.152999999999999</v>
      </c>
      <c r="J9">
        <v>1.7261525387720401E-2</v>
      </c>
      <c r="K9" t="s">
        <v>1035</v>
      </c>
      <c r="L9" t="s">
        <v>1028</v>
      </c>
    </row>
    <row r="10" spans="1:12" x14ac:dyDescent="0.3">
      <c r="A10">
        <v>4.2906681103859E-2</v>
      </c>
      <c r="B10">
        <v>0.175097239288524</v>
      </c>
      <c r="C10">
        <v>0.10446834522691199</v>
      </c>
      <c r="D10">
        <v>5.2157088254066501E-2</v>
      </c>
      <c r="E10" t="s">
        <v>1865</v>
      </c>
      <c r="F10" t="s">
        <v>1857</v>
      </c>
      <c r="G10">
        <v>15.162000000000001</v>
      </c>
      <c r="H10">
        <v>2.5152129817444399E-2</v>
      </c>
      <c r="I10">
        <v>19.398</v>
      </c>
      <c r="J10">
        <v>1.27917297551299E-2</v>
      </c>
      <c r="K10" t="s">
        <v>1036</v>
      </c>
      <c r="L10" t="s">
        <v>1028</v>
      </c>
    </row>
    <row r="11" spans="1:12" x14ac:dyDescent="0.3">
      <c r="A11">
        <v>2.3157030840978501E-2</v>
      </c>
      <c r="B11">
        <v>4.0963848741786497E-2</v>
      </c>
      <c r="C11">
        <v>5.35423244430666E-2</v>
      </c>
      <c r="D11">
        <v>2.83404365976123E-2</v>
      </c>
      <c r="E11" t="s">
        <v>1866</v>
      </c>
      <c r="F11" t="s">
        <v>1857</v>
      </c>
      <c r="G11">
        <v>15.361000000000001</v>
      </c>
      <c r="H11">
        <v>1.3124917557050499E-2</v>
      </c>
      <c r="I11">
        <v>19.533999999999999</v>
      </c>
      <c r="J11">
        <v>7.0110320651612899E-3</v>
      </c>
      <c r="K11" t="s">
        <v>1037</v>
      </c>
      <c r="L11" t="s">
        <v>1028</v>
      </c>
    </row>
    <row r="12" spans="1:12" x14ac:dyDescent="0.3">
      <c r="A12">
        <v>3.55986781186481E-2</v>
      </c>
      <c r="B12">
        <v>3.3186191278740597E-2</v>
      </c>
      <c r="C12">
        <v>6.3703129067968198E-2</v>
      </c>
      <c r="D12">
        <v>5.6658506033298299E-2</v>
      </c>
      <c r="E12" t="s">
        <v>1867</v>
      </c>
      <c r="F12" t="s">
        <v>1857</v>
      </c>
      <c r="G12">
        <v>15.6</v>
      </c>
      <c r="H12">
        <v>1.5558882885228701E-2</v>
      </c>
      <c r="I12">
        <v>19.805</v>
      </c>
      <c r="J12">
        <v>1.38732466468721E-2</v>
      </c>
      <c r="K12" t="s">
        <v>1038</v>
      </c>
      <c r="L12" t="s">
        <v>1028</v>
      </c>
    </row>
    <row r="13" spans="1:12" x14ac:dyDescent="0.3">
      <c r="A13">
        <v>3.3109052200751603E-2</v>
      </c>
      <c r="B13">
        <v>8.9944620716435594E-2</v>
      </c>
      <c r="C13">
        <v>5.0679215853917103E-2</v>
      </c>
      <c r="D13">
        <v>7.6848944278385095E-2</v>
      </c>
      <c r="E13" t="s">
        <v>1868</v>
      </c>
      <c r="F13" t="s">
        <v>1857</v>
      </c>
      <c r="G13">
        <v>15.794</v>
      </c>
      <c r="H13">
        <v>1.2435897435897601E-2</v>
      </c>
      <c r="I13">
        <v>20.175000000000001</v>
      </c>
      <c r="J13">
        <v>1.8682150971976799E-2</v>
      </c>
      <c r="K13" t="s">
        <v>1039</v>
      </c>
      <c r="L13" t="s">
        <v>1028</v>
      </c>
    </row>
    <row r="14" spans="1:12" x14ac:dyDescent="0.3">
      <c r="A14">
        <v>4.91014015888558E-2</v>
      </c>
      <c r="B14">
        <v>6.5908483031781095E-2</v>
      </c>
      <c r="C14">
        <v>8.1389738888574495E-2</v>
      </c>
      <c r="D14">
        <v>7.93845743471608E-2</v>
      </c>
      <c r="E14" t="s">
        <v>1869</v>
      </c>
      <c r="F14" t="s">
        <v>1857</v>
      </c>
      <c r="G14">
        <v>16.106000000000002</v>
      </c>
      <c r="H14">
        <v>1.9754337090034199E-2</v>
      </c>
      <c r="I14">
        <v>20.564</v>
      </c>
      <c r="J14">
        <v>1.9281288723668001E-2</v>
      </c>
      <c r="K14" t="s">
        <v>1040</v>
      </c>
      <c r="L14" t="s">
        <v>1028</v>
      </c>
    </row>
    <row r="15" spans="1:12" x14ac:dyDescent="0.3">
      <c r="A15">
        <v>7.9177652454341899E-2</v>
      </c>
      <c r="B15">
        <v>7.1493559288280994E-2</v>
      </c>
      <c r="C15">
        <v>6.9283063617710403E-2</v>
      </c>
      <c r="D15">
        <v>8.6922582910256702E-2</v>
      </c>
      <c r="E15" t="s">
        <v>1870</v>
      </c>
      <c r="F15" t="s">
        <v>1857</v>
      </c>
      <c r="G15">
        <v>16.378</v>
      </c>
      <c r="H15">
        <v>1.68881162299763E-2</v>
      </c>
      <c r="I15">
        <v>20.997</v>
      </c>
      <c r="J15">
        <v>2.1056214744213299E-2</v>
      </c>
      <c r="K15" t="s">
        <v>1041</v>
      </c>
      <c r="L15" t="s">
        <v>1028</v>
      </c>
    </row>
    <row r="16" spans="1:12" x14ac:dyDescent="0.3">
      <c r="A16">
        <v>7.4767520593947104E-2</v>
      </c>
      <c r="B16">
        <v>8.5362600720222198E-2</v>
      </c>
      <c r="C16">
        <v>4.7217464684975501E-2</v>
      </c>
      <c r="D16">
        <v>8.4062519785650797E-2</v>
      </c>
      <c r="E16" t="s">
        <v>1871</v>
      </c>
      <c r="F16" t="s">
        <v>1857</v>
      </c>
      <c r="G16">
        <v>16.568000000000001</v>
      </c>
      <c r="H16">
        <v>1.1600928074246E-2</v>
      </c>
      <c r="I16">
        <v>21.425000000000001</v>
      </c>
      <c r="J16">
        <v>2.03838643615755E-2</v>
      </c>
      <c r="K16" t="s">
        <v>1042</v>
      </c>
      <c r="L16" t="s">
        <v>1028</v>
      </c>
    </row>
    <row r="17" spans="1:12" x14ac:dyDescent="0.3">
      <c r="A17">
        <v>8.4354048501589896E-2</v>
      </c>
      <c r="B17">
        <v>8.8313277531109999E-2</v>
      </c>
      <c r="C17">
        <v>6.8825586736247696E-2</v>
      </c>
      <c r="D17">
        <v>0.111750672708145</v>
      </c>
      <c r="E17" t="s">
        <v>1872</v>
      </c>
      <c r="F17" t="s">
        <v>1857</v>
      </c>
      <c r="G17">
        <v>16.846</v>
      </c>
      <c r="H17">
        <v>1.6779333655238898E-2</v>
      </c>
      <c r="I17">
        <v>22</v>
      </c>
      <c r="J17">
        <v>2.68378063010501E-2</v>
      </c>
      <c r="K17" t="s">
        <v>1043</v>
      </c>
      <c r="L17" t="s">
        <v>1028</v>
      </c>
    </row>
    <row r="18" spans="1:12" x14ac:dyDescent="0.3">
      <c r="A18">
        <v>0.124536540877934</v>
      </c>
      <c r="B18">
        <v>4.1616768277239702E-2</v>
      </c>
      <c r="C18">
        <v>0.100709384145876</v>
      </c>
      <c r="D18">
        <v>0.19875533747763099</v>
      </c>
      <c r="E18" t="s">
        <v>1873</v>
      </c>
      <c r="F18" t="s">
        <v>1857</v>
      </c>
      <c r="G18">
        <v>17.254999999999999</v>
      </c>
      <c r="H18">
        <v>2.42787605366259E-2</v>
      </c>
      <c r="I18">
        <v>23.02</v>
      </c>
      <c r="J18">
        <v>4.6363636363636399E-2</v>
      </c>
      <c r="K18" t="s">
        <v>1044</v>
      </c>
      <c r="L18" t="s">
        <v>1028</v>
      </c>
    </row>
    <row r="19" spans="1:12" x14ac:dyDescent="0.3">
      <c r="A19">
        <v>0.118186339709689</v>
      </c>
      <c r="B19">
        <v>7.4336480554695494E-2</v>
      </c>
      <c r="C19">
        <v>0.111980004946894</v>
      </c>
      <c r="D19">
        <v>0.27614966476000502</v>
      </c>
      <c r="E19" t="s">
        <v>1874</v>
      </c>
      <c r="F19" t="s">
        <v>1857</v>
      </c>
      <c r="G19">
        <v>17.719000000000001</v>
      </c>
      <c r="H19">
        <v>2.68907563025211E-2</v>
      </c>
      <c r="I19">
        <v>24.466999999999999</v>
      </c>
      <c r="J19">
        <v>6.2858384013900995E-2</v>
      </c>
      <c r="K19" t="s">
        <v>1045</v>
      </c>
      <c r="L19" t="s">
        <v>1028</v>
      </c>
    </row>
    <row r="20" spans="1:12" x14ac:dyDescent="0.3">
      <c r="A20">
        <v>0.112285409166716</v>
      </c>
      <c r="B20">
        <v>0.121923532437656</v>
      </c>
      <c r="C20">
        <v>0.119951580753957</v>
      </c>
      <c r="D20">
        <v>0.28126959643585903</v>
      </c>
      <c r="E20" t="s">
        <v>1875</v>
      </c>
      <c r="F20" t="s">
        <v>1857</v>
      </c>
      <c r="G20">
        <v>18.228000000000002</v>
      </c>
      <c r="H20">
        <v>2.8726226084993398E-2</v>
      </c>
      <c r="I20">
        <v>26.030999999999999</v>
      </c>
      <c r="J20">
        <v>6.3922834838762405E-2</v>
      </c>
      <c r="K20" t="s">
        <v>1046</v>
      </c>
      <c r="L20" t="s">
        <v>1028</v>
      </c>
    </row>
    <row r="21" spans="1:12" x14ac:dyDescent="0.3">
      <c r="A21">
        <v>0.10564888426900799</v>
      </c>
      <c r="B21">
        <v>0.139689749601554</v>
      </c>
      <c r="C21">
        <v>0.10861792322335199</v>
      </c>
      <c r="D21">
        <v>0.17691984955710299</v>
      </c>
      <c r="E21" t="s">
        <v>1876</v>
      </c>
      <c r="F21" t="s">
        <v>1857</v>
      </c>
      <c r="G21">
        <v>18.704000000000001</v>
      </c>
      <c r="H21">
        <v>2.6113671274961399E-2</v>
      </c>
      <c r="I21">
        <v>27.113</v>
      </c>
      <c r="J21">
        <v>4.15658253620683E-2</v>
      </c>
      <c r="K21" t="s">
        <v>1047</v>
      </c>
      <c r="L21" t="s">
        <v>1028</v>
      </c>
    </row>
    <row r="22" spans="1:12" x14ac:dyDescent="0.3">
      <c r="A22">
        <v>7.7418031911128199E-2</v>
      </c>
      <c r="B22">
        <v>7.47377264200315E-2</v>
      </c>
      <c r="C22">
        <v>8.2414004288707196E-2</v>
      </c>
      <c r="D22">
        <v>8.77241949354641E-2</v>
      </c>
      <c r="E22" t="s">
        <v>1877</v>
      </c>
      <c r="F22" t="s">
        <v>1857</v>
      </c>
      <c r="G22">
        <v>19.077999999999999</v>
      </c>
      <c r="H22">
        <v>1.99957228400343E-2</v>
      </c>
      <c r="I22">
        <v>27.689</v>
      </c>
      <c r="J22">
        <v>2.1244421495223698E-2</v>
      </c>
      <c r="K22" t="s">
        <v>1048</v>
      </c>
      <c r="L22" t="s">
        <v>1028</v>
      </c>
    </row>
    <row r="23" spans="1:12" x14ac:dyDescent="0.3">
      <c r="A23">
        <v>5.00188837807687E-2</v>
      </c>
      <c r="B23">
        <v>5.9076854521070303E-2</v>
      </c>
      <c r="C23">
        <v>9.99907756879512E-2</v>
      </c>
      <c r="D23">
        <v>1.9938623083631101E-2</v>
      </c>
      <c r="E23" t="s">
        <v>1878</v>
      </c>
      <c r="F23" t="s">
        <v>1857</v>
      </c>
      <c r="G23">
        <v>19.538</v>
      </c>
      <c r="H23">
        <v>2.4111542090365898E-2</v>
      </c>
      <c r="I23">
        <v>27.826000000000001</v>
      </c>
      <c r="J23">
        <v>4.9478132110223304E-3</v>
      </c>
      <c r="K23" t="s">
        <v>1049</v>
      </c>
      <c r="L23" t="s">
        <v>1028</v>
      </c>
    </row>
    <row r="24" spans="1:12" x14ac:dyDescent="0.3">
      <c r="A24">
        <v>7.6956317974106001E-2</v>
      </c>
      <c r="B24">
        <v>5.5091330920863602E-2</v>
      </c>
      <c r="C24">
        <v>6.2847909413525901E-2</v>
      </c>
      <c r="D24">
        <v>1.2710174962932599E-2</v>
      </c>
      <c r="E24" t="s">
        <v>1879</v>
      </c>
      <c r="F24" t="s">
        <v>1857</v>
      </c>
      <c r="G24">
        <v>19.838000000000001</v>
      </c>
      <c r="H24">
        <v>1.5354693417954699E-2</v>
      </c>
      <c r="I24">
        <v>27.914000000000001</v>
      </c>
      <c r="J24">
        <v>3.16250988284339E-3</v>
      </c>
      <c r="K24" t="s">
        <v>1050</v>
      </c>
      <c r="L24" t="s">
        <v>1028</v>
      </c>
    </row>
    <row r="25" spans="1:12" x14ac:dyDescent="0.3">
      <c r="A25">
        <v>6.8882772668885706E-2</v>
      </c>
      <c r="B25">
        <v>9.5097426388938394E-2</v>
      </c>
      <c r="C25">
        <v>5.9557775023163499E-2</v>
      </c>
      <c r="D25">
        <v>2.4583979224767301E-2</v>
      </c>
      <c r="E25" t="s">
        <v>1880</v>
      </c>
      <c r="F25" t="s">
        <v>1857</v>
      </c>
      <c r="G25">
        <v>20.126999999999999</v>
      </c>
      <c r="H25">
        <v>1.45680008065328E-2</v>
      </c>
      <c r="I25">
        <v>28.084</v>
      </c>
      <c r="J25">
        <v>6.0901339829475499E-3</v>
      </c>
      <c r="K25" t="s">
        <v>1051</v>
      </c>
      <c r="L25" t="s">
        <v>1028</v>
      </c>
    </row>
    <row r="26" spans="1:12" x14ac:dyDescent="0.3">
      <c r="A26">
        <v>4.46796784787249E-2</v>
      </c>
      <c r="B26">
        <v>5.9702158874865199E-2</v>
      </c>
      <c r="C26">
        <v>5.3094918319799497E-2</v>
      </c>
      <c r="D26">
        <v>1.9800669277978002E-2</v>
      </c>
      <c r="E26" t="s">
        <v>1881</v>
      </c>
      <c r="F26" t="s">
        <v>1857</v>
      </c>
      <c r="G26">
        <v>20.388999999999999</v>
      </c>
      <c r="H26">
        <v>1.30173398916877E-2</v>
      </c>
      <c r="I26">
        <v>28.222000000000001</v>
      </c>
      <c r="J26">
        <v>4.91382993875522E-3</v>
      </c>
      <c r="K26" t="s">
        <v>1052</v>
      </c>
      <c r="L26" t="s">
        <v>1028</v>
      </c>
    </row>
    <row r="27" spans="1:12" x14ac:dyDescent="0.3">
      <c r="A27">
        <v>3.3979822161052303E-2</v>
      </c>
      <c r="B27">
        <v>3.3961135638896502E-2</v>
      </c>
      <c r="C27">
        <v>5.3215140717762302E-2</v>
      </c>
      <c r="D27">
        <v>3.4743180507705002E-2</v>
      </c>
      <c r="E27" t="s">
        <v>1882</v>
      </c>
      <c r="F27" t="s">
        <v>1857</v>
      </c>
      <c r="G27">
        <v>20.655000000000001</v>
      </c>
      <c r="H27">
        <v>1.3046250429153101E-2</v>
      </c>
      <c r="I27">
        <v>28.463999999999999</v>
      </c>
      <c r="J27">
        <v>8.5748706682728902E-3</v>
      </c>
      <c r="K27" t="s">
        <v>1053</v>
      </c>
      <c r="L27" t="s">
        <v>1028</v>
      </c>
    </row>
    <row r="28" spans="1:12" x14ac:dyDescent="0.3">
      <c r="A28">
        <v>6.2157602764701697E-2</v>
      </c>
      <c r="B28">
        <v>4.6572413553721298E-2</v>
      </c>
      <c r="C28">
        <v>3.5515485276211803E-2</v>
      </c>
      <c r="D28">
        <v>8.7412684077270396E-3</v>
      </c>
      <c r="E28" t="s">
        <v>1883</v>
      </c>
      <c r="F28" t="s">
        <v>1857</v>
      </c>
      <c r="G28">
        <v>20.835999999999999</v>
      </c>
      <c r="H28">
        <v>8.7630113773904394E-3</v>
      </c>
      <c r="I28">
        <v>28.526</v>
      </c>
      <c r="J28">
        <v>2.17818999437891E-3</v>
      </c>
      <c r="K28" t="s">
        <v>1054</v>
      </c>
      <c r="L28" t="s">
        <v>1028</v>
      </c>
    </row>
    <row r="29" spans="1:12" x14ac:dyDescent="0.3">
      <c r="A29">
        <v>6.4679796349943294E-2</v>
      </c>
      <c r="B29">
        <v>0.11140543202132699</v>
      </c>
      <c r="C29">
        <v>5.3847641567893498E-2</v>
      </c>
      <c r="D29">
        <v>2.7482019859727602E-2</v>
      </c>
      <c r="E29" t="s">
        <v>1884</v>
      </c>
      <c r="F29" t="s">
        <v>1857</v>
      </c>
      <c r="G29">
        <v>21.111000000000001</v>
      </c>
      <c r="H29">
        <v>1.31983106162412E-2</v>
      </c>
      <c r="I29">
        <v>28.72</v>
      </c>
      <c r="J29">
        <v>6.8008132931360902E-3</v>
      </c>
      <c r="K29" t="s">
        <v>1055</v>
      </c>
      <c r="L29" t="s">
        <v>1028</v>
      </c>
    </row>
    <row r="30" spans="1:12" x14ac:dyDescent="0.3">
      <c r="A30">
        <v>7.4088172350420103E-2</v>
      </c>
      <c r="B30">
        <v>5.7739458159661701E-2</v>
      </c>
      <c r="C30">
        <v>8.3796072481744796E-2</v>
      </c>
      <c r="D30">
        <v>5.2825931688943499E-2</v>
      </c>
      <c r="E30" t="s">
        <v>1885</v>
      </c>
      <c r="F30" t="s">
        <v>1857</v>
      </c>
      <c r="G30">
        <v>21.54</v>
      </c>
      <c r="H30">
        <v>2.0321159585050302E-2</v>
      </c>
      <c r="I30">
        <v>29.091999999999999</v>
      </c>
      <c r="J30">
        <v>1.2952646239554401E-2</v>
      </c>
      <c r="K30" t="s">
        <v>1056</v>
      </c>
      <c r="L30" t="s">
        <v>1028</v>
      </c>
    </row>
    <row r="31" spans="1:12" x14ac:dyDescent="0.3">
      <c r="A31">
        <v>7.0308632461715301E-2</v>
      </c>
      <c r="B31">
        <v>4.6296846180206901E-2</v>
      </c>
      <c r="C31">
        <v>8.1880476726010801E-2</v>
      </c>
      <c r="D31">
        <v>4.0048809702137603E-2</v>
      </c>
      <c r="E31" t="s">
        <v>1886</v>
      </c>
      <c r="F31" t="s">
        <v>1857</v>
      </c>
      <c r="G31">
        <v>21.968</v>
      </c>
      <c r="H31">
        <v>1.9870009285051001E-2</v>
      </c>
      <c r="I31">
        <v>29.379000000000001</v>
      </c>
      <c r="J31">
        <v>9.8652550529356696E-3</v>
      </c>
      <c r="K31" t="s">
        <v>1057</v>
      </c>
      <c r="L31" t="s">
        <v>1028</v>
      </c>
    </row>
    <row r="32" spans="1:12" x14ac:dyDescent="0.3">
      <c r="A32">
        <v>6.1553542794543503E-2</v>
      </c>
      <c r="B32">
        <v>1.98663105662467E-2</v>
      </c>
      <c r="C32">
        <v>7.3501873886998997E-2</v>
      </c>
      <c r="D32">
        <v>5.4874269706492597E-2</v>
      </c>
      <c r="E32" t="s">
        <v>1887</v>
      </c>
      <c r="F32" t="s">
        <v>1857</v>
      </c>
      <c r="G32">
        <v>22.361000000000001</v>
      </c>
      <c r="H32">
        <v>1.7889657683903801E-2</v>
      </c>
      <c r="I32">
        <v>29.774000000000001</v>
      </c>
      <c r="J32">
        <v>1.3444977705163501E-2</v>
      </c>
      <c r="K32" t="s">
        <v>1058</v>
      </c>
      <c r="L32" t="s">
        <v>1028</v>
      </c>
    </row>
    <row r="33" spans="1:12" x14ac:dyDescent="0.3">
      <c r="A33">
        <v>5.8025197908700303E-2</v>
      </c>
      <c r="B33">
        <v>0.12112082718011299</v>
      </c>
      <c r="C33">
        <v>7.5383891455237398E-2</v>
      </c>
      <c r="D33">
        <v>4.34111575180351E-2</v>
      </c>
      <c r="E33" t="s">
        <v>1888</v>
      </c>
      <c r="F33" t="s">
        <v>1857</v>
      </c>
      <c r="G33">
        <v>22.771000000000001</v>
      </c>
      <c r="H33">
        <v>1.83354948347569E-2</v>
      </c>
      <c r="I33">
        <v>30.091999999999999</v>
      </c>
      <c r="J33">
        <v>1.0680459461274799E-2</v>
      </c>
      <c r="K33" t="s">
        <v>1059</v>
      </c>
      <c r="L33" t="s">
        <v>1028</v>
      </c>
    </row>
    <row r="34" spans="1:12" x14ac:dyDescent="0.3">
      <c r="A34">
        <v>6.7326294927223501E-2</v>
      </c>
      <c r="B34">
        <v>4.65097292728067E-2</v>
      </c>
      <c r="C34">
        <v>5.9424238450433299E-2</v>
      </c>
      <c r="D34">
        <v>5.0510789433123801E-2</v>
      </c>
      <c r="E34" t="s">
        <v>1889</v>
      </c>
      <c r="F34" t="s">
        <v>1857</v>
      </c>
      <c r="G34">
        <v>23.102</v>
      </c>
      <c r="H34">
        <v>1.4536032673137E-2</v>
      </c>
      <c r="I34">
        <v>30.465</v>
      </c>
      <c r="J34">
        <v>1.23953210155523E-2</v>
      </c>
      <c r="K34" t="s">
        <v>1060</v>
      </c>
      <c r="L34" t="s">
        <v>1028</v>
      </c>
    </row>
    <row r="35" spans="1:12" x14ac:dyDescent="0.3">
      <c r="A35">
        <v>8.4675701203493298E-2</v>
      </c>
      <c r="B35">
        <v>8.09066486989478E-2</v>
      </c>
      <c r="C35">
        <v>6.5619276167123694E-2</v>
      </c>
      <c r="D35">
        <v>8.0997725857898203E-2</v>
      </c>
      <c r="E35" t="s">
        <v>1890</v>
      </c>
      <c r="F35" t="s">
        <v>1857</v>
      </c>
      <c r="G35">
        <v>23.472000000000001</v>
      </c>
      <c r="H35">
        <v>1.6015929356765699E-2</v>
      </c>
      <c r="I35">
        <v>31.064</v>
      </c>
      <c r="J35">
        <v>1.9661907106515601E-2</v>
      </c>
      <c r="K35" t="s">
        <v>1061</v>
      </c>
      <c r="L35" t="s">
        <v>1028</v>
      </c>
    </row>
    <row r="36" spans="1:12" x14ac:dyDescent="0.3">
      <c r="A36">
        <v>7.2050406034996906E-2</v>
      </c>
      <c r="B36">
        <v>6.8549166168664605E-2</v>
      </c>
      <c r="C36">
        <v>5.8500992246239197E-2</v>
      </c>
      <c r="D36">
        <v>7.8709215306017405E-2</v>
      </c>
      <c r="E36" t="s">
        <v>1891</v>
      </c>
      <c r="F36" t="s">
        <v>1857</v>
      </c>
      <c r="G36">
        <v>23.808</v>
      </c>
      <c r="H36">
        <v>1.4314928425357899E-2</v>
      </c>
      <c r="I36">
        <v>31.658000000000001</v>
      </c>
      <c r="J36">
        <v>1.9121813031161401E-2</v>
      </c>
      <c r="K36" t="s">
        <v>1062</v>
      </c>
      <c r="L36" t="s">
        <v>1028</v>
      </c>
    </row>
    <row r="37" spans="1:12" x14ac:dyDescent="0.3">
      <c r="A37">
        <v>7.7759817693589403E-2</v>
      </c>
      <c r="B37">
        <v>7.0826828171957498E-2</v>
      </c>
      <c r="C37">
        <v>5.4682260590980698E-2</v>
      </c>
      <c r="D37">
        <v>7.3455131593814296E-2</v>
      </c>
      <c r="E37" t="s">
        <v>1892</v>
      </c>
      <c r="F37" t="s">
        <v>1857</v>
      </c>
      <c r="G37">
        <v>24.126999999999999</v>
      </c>
      <c r="H37">
        <v>1.33988575268817E-2</v>
      </c>
      <c r="I37">
        <v>32.223999999999997</v>
      </c>
      <c r="J37">
        <v>1.78785772948384E-2</v>
      </c>
      <c r="K37" t="s">
        <v>1063</v>
      </c>
      <c r="L37" t="s">
        <v>1028</v>
      </c>
    </row>
    <row r="38" spans="1:12" x14ac:dyDescent="0.3">
      <c r="A38">
        <v>7.7602845525897898E-2</v>
      </c>
      <c r="B38">
        <v>7.5755853629737399E-2</v>
      </c>
      <c r="C38">
        <v>0.101819091447914</v>
      </c>
      <c r="D38">
        <v>8.5137769356933707E-2</v>
      </c>
      <c r="E38" t="s">
        <v>1893</v>
      </c>
      <c r="F38" t="s">
        <v>1857</v>
      </c>
      <c r="G38">
        <v>24.719000000000001</v>
      </c>
      <c r="H38">
        <v>2.4536825962614601E-2</v>
      </c>
      <c r="I38">
        <v>32.889000000000003</v>
      </c>
      <c r="J38">
        <v>2.0636792452830299E-2</v>
      </c>
      <c r="K38" t="s">
        <v>1064</v>
      </c>
      <c r="L38" t="s">
        <v>1028</v>
      </c>
    </row>
    <row r="39" spans="1:12" x14ac:dyDescent="0.3">
      <c r="A39">
        <v>0.113838252689951</v>
      </c>
      <c r="B39">
        <v>6.1815502695247999E-2</v>
      </c>
      <c r="C39">
        <v>9.0287471336475605E-2</v>
      </c>
      <c r="D39">
        <v>0.11311171886032199</v>
      </c>
      <c r="E39" t="s">
        <v>1894</v>
      </c>
      <c r="F39" t="s">
        <v>1857</v>
      </c>
      <c r="G39">
        <v>25.259</v>
      </c>
      <c r="H39">
        <v>2.18455439135887E-2</v>
      </c>
      <c r="I39">
        <v>33.781999999999996</v>
      </c>
      <c r="J39">
        <v>2.7151935297515601E-2</v>
      </c>
      <c r="K39" t="s">
        <v>1065</v>
      </c>
      <c r="L39" t="s">
        <v>1028</v>
      </c>
    </row>
    <row r="40" spans="1:12" x14ac:dyDescent="0.3">
      <c r="A40">
        <v>0.10293672514128201</v>
      </c>
      <c r="B40">
        <v>9.6664179784869297E-2</v>
      </c>
      <c r="C40">
        <v>0.148038402658868</v>
      </c>
      <c r="D40">
        <v>0.121960082107911</v>
      </c>
      <c r="E40" t="s">
        <v>1895</v>
      </c>
      <c r="F40" t="s">
        <v>1857</v>
      </c>
      <c r="G40">
        <v>26.146000000000001</v>
      </c>
      <c r="H40">
        <v>3.5116196207292602E-2</v>
      </c>
      <c r="I40">
        <v>34.768000000000001</v>
      </c>
      <c r="J40">
        <v>2.9187141081049101E-2</v>
      </c>
      <c r="K40" t="s">
        <v>1066</v>
      </c>
      <c r="L40" t="s">
        <v>1028</v>
      </c>
    </row>
    <row r="41" spans="1:12" x14ac:dyDescent="0.3">
      <c r="A41">
        <v>0.100470180706661</v>
      </c>
      <c r="B41">
        <v>9.1027084037313494E-2</v>
      </c>
      <c r="C41">
        <v>7.0641984000731503E-2</v>
      </c>
      <c r="D41">
        <v>0.118355060703055</v>
      </c>
      <c r="E41" t="s">
        <v>1896</v>
      </c>
      <c r="F41" t="s">
        <v>1857</v>
      </c>
      <c r="G41">
        <v>26.596</v>
      </c>
      <c r="H41">
        <v>1.7211045666641198E-2</v>
      </c>
      <c r="I41">
        <v>35.753999999999998</v>
      </c>
      <c r="J41">
        <v>2.83594109526E-2</v>
      </c>
      <c r="K41" t="s">
        <v>1067</v>
      </c>
      <c r="L41" t="s">
        <v>1028</v>
      </c>
    </row>
    <row r="42" spans="1:12" x14ac:dyDescent="0.3">
      <c r="A42">
        <v>0.12552467874009099</v>
      </c>
      <c r="B42">
        <v>8.1451601423466094E-2</v>
      </c>
      <c r="C42">
        <v>0.106909632651843</v>
      </c>
      <c r="D42">
        <v>0.113864763230328</v>
      </c>
      <c r="E42" t="s">
        <v>1897</v>
      </c>
      <c r="F42" t="s">
        <v>1857</v>
      </c>
      <c r="G42">
        <v>27.28</v>
      </c>
      <c r="H42">
        <v>2.5718153105730199E-2</v>
      </c>
      <c r="I42">
        <v>36.731000000000002</v>
      </c>
      <c r="J42">
        <v>2.7325613917324101E-2</v>
      </c>
      <c r="K42" t="s">
        <v>1068</v>
      </c>
      <c r="L42" t="s">
        <v>1028</v>
      </c>
    </row>
    <row r="43" spans="1:12" x14ac:dyDescent="0.3">
      <c r="A43">
        <v>0.101539889707692</v>
      </c>
      <c r="B43">
        <v>0.163874229132176</v>
      </c>
      <c r="C43">
        <v>0.11299973225785501</v>
      </c>
      <c r="D43">
        <v>0.119816075191493</v>
      </c>
      <c r="E43" t="s">
        <v>1898</v>
      </c>
      <c r="F43" t="s">
        <v>1857</v>
      </c>
      <c r="G43">
        <v>28.02</v>
      </c>
      <c r="H43">
        <v>2.7126099706744799E-2</v>
      </c>
      <c r="I43">
        <v>37.784999999999997</v>
      </c>
      <c r="J43">
        <v>2.8695107674715899E-2</v>
      </c>
      <c r="K43" t="s">
        <v>1069</v>
      </c>
      <c r="L43" t="s">
        <v>1028</v>
      </c>
    </row>
    <row r="44" spans="1:12" x14ac:dyDescent="0.3">
      <c r="A44">
        <v>9.6919062654431398E-2</v>
      </c>
      <c r="B44">
        <v>4.1150587007602997E-2</v>
      </c>
      <c r="C44">
        <v>0.115930396885483</v>
      </c>
      <c r="D44">
        <v>0.138106666956619</v>
      </c>
      <c r="E44" t="s">
        <v>1899</v>
      </c>
      <c r="F44" t="s">
        <v>1857</v>
      </c>
      <c r="G44">
        <v>28.798999999999999</v>
      </c>
      <c r="H44">
        <v>2.7801570306923699E-2</v>
      </c>
      <c r="I44">
        <v>39.027000000000001</v>
      </c>
      <c r="J44">
        <v>3.2870186581977198E-2</v>
      </c>
      <c r="K44" t="s">
        <v>1070</v>
      </c>
      <c r="L44" t="s">
        <v>1028</v>
      </c>
    </row>
    <row r="45" spans="1:12" x14ac:dyDescent="0.3">
      <c r="A45">
        <v>0.102667735598145</v>
      </c>
      <c r="B45">
        <v>0.12591483160208999</v>
      </c>
      <c r="C45">
        <v>0.11071312036879399</v>
      </c>
      <c r="D45">
        <v>0.12373918134004901</v>
      </c>
      <c r="E45" t="s">
        <v>1900</v>
      </c>
      <c r="F45" t="s">
        <v>1857</v>
      </c>
      <c r="G45">
        <v>29.565000000000001</v>
      </c>
      <c r="H45">
        <v>2.65981457689504E-2</v>
      </c>
      <c r="I45">
        <v>40.182000000000002</v>
      </c>
      <c r="J45">
        <v>2.9594895841340601E-2</v>
      </c>
      <c r="K45" t="s">
        <v>1071</v>
      </c>
      <c r="L45" t="s">
        <v>1028</v>
      </c>
    </row>
    <row r="46" spans="1:12" x14ac:dyDescent="0.3">
      <c r="A46">
        <v>0.107873886984393</v>
      </c>
      <c r="B46">
        <v>8.2350511297398302E-2</v>
      </c>
      <c r="C46">
        <v>0.14097064786198199</v>
      </c>
      <c r="D46">
        <v>0.118188584098933</v>
      </c>
      <c r="E46" t="s">
        <v>1901</v>
      </c>
      <c r="F46" t="s">
        <v>1857</v>
      </c>
      <c r="G46">
        <v>30.556000000000001</v>
      </c>
      <c r="H46">
        <v>3.3519364112971399E-2</v>
      </c>
      <c r="I46">
        <v>41.32</v>
      </c>
      <c r="J46">
        <v>2.8321138818376401E-2</v>
      </c>
      <c r="K46" t="s">
        <v>1072</v>
      </c>
      <c r="L46" t="s">
        <v>1028</v>
      </c>
    </row>
    <row r="47" spans="1:12" x14ac:dyDescent="0.3">
      <c r="A47">
        <v>6.8864078536554199E-2</v>
      </c>
      <c r="B47">
        <v>9.6264819656522296E-2</v>
      </c>
      <c r="C47">
        <v>8.6310442735713797E-2</v>
      </c>
      <c r="D47">
        <v>9.9129163647753094E-2</v>
      </c>
      <c r="E47" t="s">
        <v>1902</v>
      </c>
      <c r="F47" t="s">
        <v>1857</v>
      </c>
      <c r="G47">
        <v>31.195</v>
      </c>
      <c r="H47">
        <v>2.0912423092027701E-2</v>
      </c>
      <c r="I47">
        <v>42.308</v>
      </c>
      <c r="J47">
        <v>2.39109390125847E-2</v>
      </c>
      <c r="K47" t="s">
        <v>1073</v>
      </c>
      <c r="L47" t="s">
        <v>1028</v>
      </c>
    </row>
    <row r="48" spans="1:12" x14ac:dyDescent="0.3">
      <c r="A48">
        <v>6.7510216956085903E-2</v>
      </c>
      <c r="B48">
        <v>9.0754628296435505E-2</v>
      </c>
      <c r="C48">
        <v>4.8692861535788202E-2</v>
      </c>
      <c r="D48">
        <v>8.4524586959714404E-2</v>
      </c>
      <c r="E48" t="s">
        <v>1903</v>
      </c>
      <c r="F48" t="s">
        <v>1857</v>
      </c>
      <c r="G48">
        <v>31.568000000000001</v>
      </c>
      <c r="H48">
        <v>1.1957044398140699E-2</v>
      </c>
      <c r="I48">
        <v>43.174999999999997</v>
      </c>
      <c r="J48">
        <v>2.0492578235794499E-2</v>
      </c>
      <c r="K48" t="s">
        <v>1074</v>
      </c>
      <c r="L48" t="s">
        <v>1028</v>
      </c>
    </row>
    <row r="49" spans="1:12" x14ac:dyDescent="0.3">
      <c r="A49">
        <v>6.2684205945477106E-2</v>
      </c>
      <c r="B49">
        <v>7.8781408158281802E-2</v>
      </c>
      <c r="C49">
        <v>6.2752816594642893E-2</v>
      </c>
      <c r="D49">
        <v>7.3171075998094998E-2</v>
      </c>
      <c r="E49" t="s">
        <v>1904</v>
      </c>
      <c r="F49" t="s">
        <v>1857</v>
      </c>
      <c r="G49">
        <v>32.052</v>
      </c>
      <c r="H49">
        <v>1.53319817536746E-2</v>
      </c>
      <c r="I49">
        <v>43.944000000000003</v>
      </c>
      <c r="J49">
        <v>1.7811233352634799E-2</v>
      </c>
      <c r="K49" t="s">
        <v>1075</v>
      </c>
      <c r="L49" t="s">
        <v>1028</v>
      </c>
    </row>
    <row r="50" spans="1:12" x14ac:dyDescent="0.3">
      <c r="A50">
        <v>5.1825632418063497E-2</v>
      </c>
      <c r="B50">
        <v>6.5520529029189395E-2</v>
      </c>
      <c r="C50">
        <v>7.2002334651775995E-2</v>
      </c>
      <c r="D50">
        <v>5.7261419360111997E-2</v>
      </c>
      <c r="E50" t="s">
        <v>1905</v>
      </c>
      <c r="F50" t="s">
        <v>1857</v>
      </c>
      <c r="G50">
        <v>32.613999999999997</v>
      </c>
      <c r="H50">
        <v>1.7534007238237701E-2</v>
      </c>
      <c r="I50">
        <v>44.56</v>
      </c>
      <c r="J50">
        <v>1.40178408884035E-2</v>
      </c>
      <c r="K50" t="s">
        <v>1076</v>
      </c>
      <c r="L50" t="s">
        <v>1028</v>
      </c>
    </row>
    <row r="51" spans="1:12" x14ac:dyDescent="0.3">
      <c r="A51">
        <v>3.9076838958162399E-2</v>
      </c>
      <c r="B51">
        <v>8.1541548822787496E-2</v>
      </c>
      <c r="C51">
        <v>6.5317850608274997E-2</v>
      </c>
      <c r="D51">
        <v>6.8572049720328196E-2</v>
      </c>
      <c r="E51" t="s">
        <v>1906</v>
      </c>
      <c r="F51" t="s">
        <v>1857</v>
      </c>
      <c r="G51">
        <v>33.134</v>
      </c>
      <c r="H51">
        <v>1.5944073097442901E-2</v>
      </c>
      <c r="I51">
        <v>45.305</v>
      </c>
      <c r="J51">
        <v>1.6719030520646199E-2</v>
      </c>
      <c r="K51" t="s">
        <v>1077</v>
      </c>
      <c r="L51" t="s">
        <v>1028</v>
      </c>
    </row>
    <row r="52" spans="1:12" x14ac:dyDescent="0.3">
      <c r="A52">
        <v>6.4698202701339205E-2</v>
      </c>
      <c r="B52">
        <v>3.4072636599968002E-2</v>
      </c>
      <c r="C52">
        <v>6.8068638365729198E-2</v>
      </c>
      <c r="D52">
        <v>4.8078704643683703E-2</v>
      </c>
      <c r="E52" t="s">
        <v>1907</v>
      </c>
      <c r="F52" t="s">
        <v>1857</v>
      </c>
      <c r="G52">
        <v>33.683999999999997</v>
      </c>
      <c r="H52">
        <v>1.65992635963059E-2</v>
      </c>
      <c r="I52">
        <v>45.84</v>
      </c>
      <c r="J52">
        <v>1.1808851120185501E-2</v>
      </c>
      <c r="K52" t="s">
        <v>1078</v>
      </c>
      <c r="L52" t="s">
        <v>1028</v>
      </c>
    </row>
    <row r="53" spans="1:12" x14ac:dyDescent="0.3">
      <c r="A53">
        <v>4.4829664945906803E-2</v>
      </c>
      <c r="B53">
        <v>4.8009313734526098E-2</v>
      </c>
      <c r="C53">
        <v>6.1455443169872802E-2</v>
      </c>
      <c r="D53">
        <v>1.01606507354322E-2</v>
      </c>
      <c r="E53" t="s">
        <v>1908</v>
      </c>
      <c r="F53" t="s">
        <v>1857</v>
      </c>
      <c r="G53">
        <v>34.19</v>
      </c>
      <c r="H53">
        <v>1.5021968887305399E-2</v>
      </c>
      <c r="I53">
        <v>45.956000000000003</v>
      </c>
      <c r="J53">
        <v>2.5305410122164998E-3</v>
      </c>
      <c r="K53" t="s">
        <v>1079</v>
      </c>
      <c r="L53" t="s">
        <v>1028</v>
      </c>
    </row>
    <row r="54" spans="1:12" x14ac:dyDescent="0.3">
      <c r="A54">
        <v>3.3496613159939903E-2</v>
      </c>
      <c r="B54">
        <v>7.5539459294806698E-3</v>
      </c>
      <c r="C54">
        <v>3.4722196261408399E-2</v>
      </c>
      <c r="D54">
        <v>3.7479666516224701E-3</v>
      </c>
      <c r="E54" t="s">
        <v>1909</v>
      </c>
      <c r="F54" t="s">
        <v>1857</v>
      </c>
      <c r="G54">
        <v>34.482999999999997</v>
      </c>
      <c r="H54">
        <v>8.5697572389587008E-3</v>
      </c>
      <c r="I54">
        <v>45.999000000000002</v>
      </c>
      <c r="J54">
        <v>9.3567760466539696E-4</v>
      </c>
      <c r="K54" t="s">
        <v>1080</v>
      </c>
      <c r="L54" t="s">
        <v>1028</v>
      </c>
    </row>
    <row r="55" spans="1:12" x14ac:dyDescent="0.3">
      <c r="A55">
        <v>3.7100673423204902E-2</v>
      </c>
      <c r="B55">
        <v>3.1269437697415199E-2</v>
      </c>
      <c r="C55">
        <v>5.5765239502398901E-2</v>
      </c>
      <c r="D55">
        <v>-5.3805310591299397E-3</v>
      </c>
      <c r="E55" t="s">
        <v>1910</v>
      </c>
      <c r="F55" t="s">
        <v>1857</v>
      </c>
      <c r="G55">
        <v>34.954000000000001</v>
      </c>
      <c r="H55">
        <v>1.36589043876694E-2</v>
      </c>
      <c r="I55">
        <v>45.936999999999998</v>
      </c>
      <c r="J55">
        <v>-1.3478553881607299E-3</v>
      </c>
      <c r="K55" t="s">
        <v>1081</v>
      </c>
      <c r="L55" t="s">
        <v>1028</v>
      </c>
    </row>
    <row r="56" spans="1:12" x14ac:dyDescent="0.3">
      <c r="A56">
        <v>5.3607020035561601E-2</v>
      </c>
      <c r="B56">
        <v>4.5007889346835098E-2</v>
      </c>
      <c r="C56">
        <v>4.7632291898301399E-2</v>
      </c>
      <c r="D56">
        <v>2.2658930308778699E-3</v>
      </c>
      <c r="E56" t="s">
        <v>1911</v>
      </c>
      <c r="F56" t="s">
        <v>1857</v>
      </c>
      <c r="G56">
        <v>35.363</v>
      </c>
      <c r="H56">
        <v>1.17010928649082E-2</v>
      </c>
      <c r="I56">
        <v>45.963000000000001</v>
      </c>
      <c r="J56">
        <v>5.6599255502098899E-4</v>
      </c>
      <c r="K56" t="s">
        <v>1082</v>
      </c>
      <c r="L56" t="s">
        <v>1028</v>
      </c>
    </row>
    <row r="57" spans="1:12" x14ac:dyDescent="0.3">
      <c r="A57">
        <v>2.6644627827705498E-2</v>
      </c>
      <c r="B57">
        <v>2.64126969592136E-2</v>
      </c>
      <c r="C57">
        <v>3.7969215238040602E-2</v>
      </c>
      <c r="D57">
        <v>-1.13086488994096E-3</v>
      </c>
      <c r="E57" t="s">
        <v>1912</v>
      </c>
      <c r="F57" t="s">
        <v>1857</v>
      </c>
      <c r="G57">
        <v>35.694000000000003</v>
      </c>
      <c r="H57">
        <v>9.3600656052936805E-3</v>
      </c>
      <c r="I57">
        <v>45.95</v>
      </c>
      <c r="J57">
        <v>-2.82836194330227E-4</v>
      </c>
      <c r="K57" t="s">
        <v>1083</v>
      </c>
      <c r="L57" t="s">
        <v>1028</v>
      </c>
    </row>
    <row r="58" spans="1:12" x14ac:dyDescent="0.3">
      <c r="A58">
        <v>4.3935723897537297E-2</v>
      </c>
      <c r="B58">
        <v>5.28225710519643E-2</v>
      </c>
      <c r="C58">
        <v>7.2018998740306803E-2</v>
      </c>
      <c r="D58">
        <v>4.3596665649268101E-3</v>
      </c>
      <c r="E58" t="s">
        <v>1913</v>
      </c>
      <c r="F58" t="s">
        <v>1857</v>
      </c>
      <c r="G58">
        <v>36.32</v>
      </c>
      <c r="H58">
        <v>1.7537961562167099E-2</v>
      </c>
      <c r="I58">
        <v>46</v>
      </c>
      <c r="J58">
        <v>1.0881392818280499E-3</v>
      </c>
      <c r="K58" t="s">
        <v>1084</v>
      </c>
      <c r="L58" t="s">
        <v>1028</v>
      </c>
    </row>
    <row r="59" spans="1:12" x14ac:dyDescent="0.3">
      <c r="A59">
        <v>3.93022623248813E-2</v>
      </c>
      <c r="B59">
        <v>4.0487191821635002E-2</v>
      </c>
      <c r="C59">
        <v>4.4330796852368702E-2</v>
      </c>
      <c r="D59">
        <v>1.4249428601276599E-2</v>
      </c>
      <c r="E59" t="s">
        <v>1914</v>
      </c>
      <c r="F59" t="s">
        <v>1857</v>
      </c>
      <c r="G59">
        <v>36.716000000000001</v>
      </c>
      <c r="H59">
        <v>1.09030837004405E-2</v>
      </c>
      <c r="I59">
        <v>46.162999999999997</v>
      </c>
      <c r="J59">
        <v>3.5434782608694299E-3</v>
      </c>
      <c r="K59" t="s">
        <v>1085</v>
      </c>
      <c r="L59" t="s">
        <v>1028</v>
      </c>
    </row>
    <row r="60" spans="1:12" x14ac:dyDescent="0.3">
      <c r="A60">
        <v>3.1206818640470101E-2</v>
      </c>
      <c r="B60">
        <v>6.08178890509075E-2</v>
      </c>
      <c r="C60">
        <v>4.3619950255883798E-2</v>
      </c>
      <c r="D60">
        <v>1.29734153291148E-2</v>
      </c>
      <c r="E60" t="s">
        <v>1915</v>
      </c>
      <c r="F60" t="s">
        <v>1857</v>
      </c>
      <c r="G60">
        <v>37.11</v>
      </c>
      <c r="H60">
        <v>1.07310164505936E-2</v>
      </c>
      <c r="I60">
        <v>46.311999999999998</v>
      </c>
      <c r="J60">
        <v>3.22769317418703E-3</v>
      </c>
      <c r="K60" t="s">
        <v>1086</v>
      </c>
      <c r="L60" t="s">
        <v>1028</v>
      </c>
    </row>
    <row r="61" spans="1:12" x14ac:dyDescent="0.3">
      <c r="A61">
        <v>2.4937045869749999E-2</v>
      </c>
      <c r="B61">
        <v>5.0188195911601098E-2</v>
      </c>
      <c r="C61">
        <v>4.8053419713626901E-2</v>
      </c>
      <c r="D61">
        <v>8.1435979249952998E-3</v>
      </c>
      <c r="E61" t="s">
        <v>1916</v>
      </c>
      <c r="F61" t="s">
        <v>1857</v>
      </c>
      <c r="G61">
        <v>37.548000000000002</v>
      </c>
      <c r="H61">
        <v>1.1802748585286999E-2</v>
      </c>
      <c r="I61">
        <v>46.405999999999999</v>
      </c>
      <c r="J61">
        <v>2.0297115218517198E-3</v>
      </c>
      <c r="K61" t="s">
        <v>1087</v>
      </c>
      <c r="L61" t="s">
        <v>1028</v>
      </c>
    </row>
    <row r="62" spans="1:12" x14ac:dyDescent="0.3">
      <c r="A62">
        <v>4.8021891562025902E-2</v>
      </c>
      <c r="B62">
        <v>-1.5869949670850401E-2</v>
      </c>
      <c r="C62">
        <v>5.3895269710959599E-2</v>
      </c>
      <c r="D62">
        <v>2.2424648618448499E-2</v>
      </c>
      <c r="E62" t="s">
        <v>1917</v>
      </c>
      <c r="F62" t="s">
        <v>1857</v>
      </c>
      <c r="G62">
        <v>38.043999999999997</v>
      </c>
      <c r="H62">
        <v>1.3209758176201E-2</v>
      </c>
      <c r="I62">
        <v>46.664000000000001</v>
      </c>
      <c r="J62">
        <v>5.5596259104426799E-3</v>
      </c>
      <c r="K62" t="s">
        <v>1088</v>
      </c>
      <c r="L62" t="s">
        <v>1028</v>
      </c>
    </row>
    <row r="63" spans="1:12" x14ac:dyDescent="0.3">
      <c r="A63">
        <v>3.2831975950411901E-2</v>
      </c>
      <c r="B63">
        <v>9.4485381047573203E-3</v>
      </c>
      <c r="C63">
        <v>4.6526948089148097E-2</v>
      </c>
      <c r="D63">
        <v>1.2400816449865701E-2</v>
      </c>
      <c r="E63" t="s">
        <v>1918</v>
      </c>
      <c r="F63" t="s">
        <v>1857</v>
      </c>
      <c r="G63">
        <v>38.478999999999999</v>
      </c>
      <c r="H63">
        <v>1.1434128903375E-2</v>
      </c>
      <c r="I63">
        <v>46.808</v>
      </c>
      <c r="J63">
        <v>3.0858906223212301E-3</v>
      </c>
      <c r="K63" t="s">
        <v>1089</v>
      </c>
      <c r="L63" t="s">
        <v>1028</v>
      </c>
    </row>
    <row r="64" spans="1:12" x14ac:dyDescent="0.3">
      <c r="A64">
        <v>3.1711964087017402E-2</v>
      </c>
      <c r="B64">
        <v>2.1519541922931699E-2</v>
      </c>
      <c r="C64">
        <v>3.7630817464174598E-2</v>
      </c>
      <c r="D64">
        <v>1.6508679737656601E-2</v>
      </c>
      <c r="E64" t="s">
        <v>1919</v>
      </c>
      <c r="F64" t="s">
        <v>1857</v>
      </c>
      <c r="G64">
        <v>38.835999999999999</v>
      </c>
      <c r="H64">
        <v>9.2777878843004497E-3</v>
      </c>
      <c r="I64">
        <v>47</v>
      </c>
      <c r="J64">
        <v>4.1018629294138397E-3</v>
      </c>
      <c r="K64" t="s">
        <v>1090</v>
      </c>
      <c r="L64" t="s">
        <v>1028</v>
      </c>
    </row>
    <row r="65" spans="1:12" x14ac:dyDescent="0.3">
      <c r="A65">
        <v>2.8237310351865798E-2</v>
      </c>
      <c r="B65">
        <v>2.6513418939119401E-2</v>
      </c>
      <c r="C65">
        <v>4.0884190168569902E-2</v>
      </c>
      <c r="D65">
        <v>2.40435812756121E-2</v>
      </c>
      <c r="E65" t="s">
        <v>1920</v>
      </c>
      <c r="F65" t="s">
        <v>1857</v>
      </c>
      <c r="G65">
        <v>39.226999999999997</v>
      </c>
      <c r="H65">
        <v>1.0067978164589601E-2</v>
      </c>
      <c r="I65">
        <v>47.28</v>
      </c>
      <c r="J65">
        <v>5.9574468085106204E-3</v>
      </c>
      <c r="K65" t="s">
        <v>1091</v>
      </c>
      <c r="L65" t="s">
        <v>1028</v>
      </c>
    </row>
    <row r="66" spans="1:12" x14ac:dyDescent="0.3">
      <c r="A66">
        <v>2.86487834236928E-2</v>
      </c>
      <c r="B66">
        <v>-1.00878062845416E-2</v>
      </c>
      <c r="C66">
        <v>1.47648166353573E-2</v>
      </c>
      <c r="D66">
        <v>2.5106061305751201E-2</v>
      </c>
      <c r="E66" t="s">
        <v>1921</v>
      </c>
      <c r="F66" t="s">
        <v>1857</v>
      </c>
      <c r="G66">
        <v>39.371000000000002</v>
      </c>
      <c r="H66">
        <v>3.6709409335409201E-3</v>
      </c>
      <c r="I66">
        <v>47.573999999999998</v>
      </c>
      <c r="J66">
        <v>6.2182741116749698E-3</v>
      </c>
      <c r="K66" t="s">
        <v>1092</v>
      </c>
      <c r="L66" t="s">
        <v>1028</v>
      </c>
    </row>
    <row r="67" spans="1:12" x14ac:dyDescent="0.3">
      <c r="A67">
        <v>-4.2153079272678803E-3</v>
      </c>
      <c r="B67">
        <v>-9.8843189037382002E-3</v>
      </c>
      <c r="C67">
        <v>1.2042523964300099E-2</v>
      </c>
      <c r="D67">
        <v>4.1753162692227598E-2</v>
      </c>
      <c r="E67" t="s">
        <v>1922</v>
      </c>
      <c r="F67" t="s">
        <v>1857</v>
      </c>
      <c r="G67">
        <v>39.488999999999997</v>
      </c>
      <c r="H67">
        <v>2.9971298671609401E-3</v>
      </c>
      <c r="I67">
        <v>48.063000000000002</v>
      </c>
      <c r="J67">
        <v>1.02787236725943E-2</v>
      </c>
      <c r="K67" t="s">
        <v>1093</v>
      </c>
      <c r="L67" t="s">
        <v>1028</v>
      </c>
    </row>
    <row r="68" spans="1:12" x14ac:dyDescent="0.3">
      <c r="A68">
        <v>2.1224970793817698E-2</v>
      </c>
      <c r="B68">
        <v>5.6401548408471199E-3</v>
      </c>
      <c r="C68">
        <v>3.4679470629119601E-2</v>
      </c>
      <c r="D68">
        <v>3.6953475595025202E-2</v>
      </c>
      <c r="E68" t="s">
        <v>1923</v>
      </c>
      <c r="F68" t="s">
        <v>1857</v>
      </c>
      <c r="G68">
        <v>39.826999999999998</v>
      </c>
      <c r="H68">
        <v>8.5593456405581598E-3</v>
      </c>
      <c r="I68">
        <v>48.500999999999998</v>
      </c>
      <c r="J68">
        <v>9.1130391361338194E-3</v>
      </c>
      <c r="K68" t="s">
        <v>1094</v>
      </c>
      <c r="L68" t="s">
        <v>1028</v>
      </c>
    </row>
    <row r="69" spans="1:12" x14ac:dyDescent="0.3">
      <c r="A69">
        <v>2.4413629868112598E-2</v>
      </c>
      <c r="B69">
        <v>4.55022354216461E-3</v>
      </c>
      <c r="C69">
        <v>5.3779833992726497E-2</v>
      </c>
      <c r="D69">
        <v>4.4006184582173501E-2</v>
      </c>
      <c r="E69" t="s">
        <v>1924</v>
      </c>
      <c r="F69" t="s">
        <v>1857</v>
      </c>
      <c r="G69">
        <v>40.351999999999997</v>
      </c>
      <c r="H69">
        <v>1.3182012202777E-2</v>
      </c>
      <c r="I69">
        <v>49.026000000000003</v>
      </c>
      <c r="J69">
        <v>1.08245190820808E-2</v>
      </c>
      <c r="K69" t="s">
        <v>1095</v>
      </c>
      <c r="L69" t="s">
        <v>1028</v>
      </c>
    </row>
    <row r="70" spans="1:12" x14ac:dyDescent="0.3">
      <c r="A70">
        <v>3.8220568833408297E-2</v>
      </c>
      <c r="B70">
        <v>-6.8268953681047701E-3</v>
      </c>
      <c r="C70">
        <v>6.6318650583382599E-2</v>
      </c>
      <c r="D70">
        <v>2.5866237951436302E-2</v>
      </c>
      <c r="E70" t="s">
        <v>1925</v>
      </c>
      <c r="F70" t="s">
        <v>1857</v>
      </c>
      <c r="G70">
        <v>41.005000000000003</v>
      </c>
      <c r="H70">
        <v>1.61825931800159E-2</v>
      </c>
      <c r="I70">
        <v>49.34</v>
      </c>
      <c r="J70">
        <v>6.4047648186675897E-3</v>
      </c>
      <c r="K70" t="s">
        <v>1096</v>
      </c>
      <c r="L70" t="s">
        <v>1028</v>
      </c>
    </row>
    <row r="71" spans="1:12" x14ac:dyDescent="0.3">
      <c r="A71">
        <v>3.9129087464599803E-2</v>
      </c>
      <c r="B71">
        <v>1.9164012541417402E-2</v>
      </c>
      <c r="C71">
        <v>5.3726223643289599E-2</v>
      </c>
      <c r="D71">
        <v>3.4070959420577702E-2</v>
      </c>
      <c r="E71" t="s">
        <v>1926</v>
      </c>
      <c r="F71" t="s">
        <v>1857</v>
      </c>
      <c r="G71">
        <v>41.545000000000002</v>
      </c>
      <c r="H71">
        <v>1.3169125716376E-2</v>
      </c>
      <c r="I71">
        <v>49.755000000000003</v>
      </c>
      <c r="J71">
        <v>8.4110255370895004E-3</v>
      </c>
      <c r="K71" t="s">
        <v>1097</v>
      </c>
      <c r="L71" t="s">
        <v>1028</v>
      </c>
    </row>
    <row r="72" spans="1:12" x14ac:dyDescent="0.3">
      <c r="A72">
        <v>3.8454021368670203E-2</v>
      </c>
      <c r="B72">
        <v>2.9219770282175001E-2</v>
      </c>
      <c r="C72">
        <v>5.1713813262120399E-2</v>
      </c>
      <c r="D72">
        <v>3.6092988240003197E-2</v>
      </c>
      <c r="E72" t="s">
        <v>1927</v>
      </c>
      <c r="F72" t="s">
        <v>1857</v>
      </c>
      <c r="G72">
        <v>42.072000000000003</v>
      </c>
      <c r="H72">
        <v>1.2685040317727899E-2</v>
      </c>
      <c r="I72">
        <v>50.198</v>
      </c>
      <c r="J72">
        <v>8.9036277761027592E-3</v>
      </c>
      <c r="K72" t="s">
        <v>1098</v>
      </c>
      <c r="L72" t="s">
        <v>1028</v>
      </c>
    </row>
    <row r="73" spans="1:12" x14ac:dyDescent="0.3">
      <c r="A73">
        <v>3.5013174112648898E-2</v>
      </c>
      <c r="B73">
        <v>8.3996255435596599E-3</v>
      </c>
      <c r="C73">
        <v>2.4659104438458999E-2</v>
      </c>
      <c r="D73">
        <v>2.13651369698558E-2</v>
      </c>
      <c r="E73" t="s">
        <v>1928</v>
      </c>
      <c r="F73" t="s">
        <v>1857</v>
      </c>
      <c r="G73">
        <v>42.329000000000001</v>
      </c>
      <c r="H73">
        <v>6.1085757748620103E-3</v>
      </c>
      <c r="I73">
        <v>50.463999999999999</v>
      </c>
      <c r="J73">
        <v>5.29901589704762E-3</v>
      </c>
      <c r="K73" t="s">
        <v>1099</v>
      </c>
      <c r="L73" t="s">
        <v>1028</v>
      </c>
    </row>
    <row r="74" spans="1:12" x14ac:dyDescent="0.3">
      <c r="A74">
        <v>3.19577361885768E-2</v>
      </c>
      <c r="B74">
        <v>5.5666299963321703E-2</v>
      </c>
      <c r="C74">
        <v>1.7884305064996799E-2</v>
      </c>
      <c r="D74">
        <v>3.2571809116936898E-2</v>
      </c>
      <c r="E74" t="s">
        <v>1929</v>
      </c>
      <c r="F74" t="s">
        <v>1857</v>
      </c>
      <c r="G74">
        <v>42.517000000000003</v>
      </c>
      <c r="H74">
        <v>4.4413995133361101E-3</v>
      </c>
      <c r="I74">
        <v>50.87</v>
      </c>
      <c r="J74">
        <v>8.0453392517438899E-3</v>
      </c>
      <c r="K74" t="s">
        <v>1100</v>
      </c>
      <c r="L74" t="s">
        <v>1028</v>
      </c>
    </row>
    <row r="75" spans="1:12" x14ac:dyDescent="0.3">
      <c r="A75">
        <v>4.4899260052234199E-2</v>
      </c>
      <c r="B75">
        <v>3.99278081765242E-2</v>
      </c>
      <c r="C75">
        <v>4.3789897152202203E-2</v>
      </c>
      <c r="D75">
        <v>2.2279292577718199E-2</v>
      </c>
      <c r="E75" t="s">
        <v>1930</v>
      </c>
      <c r="F75" t="s">
        <v>1857</v>
      </c>
      <c r="G75">
        <v>42.975000000000001</v>
      </c>
      <c r="H75">
        <v>1.0772161723545901E-2</v>
      </c>
      <c r="I75">
        <v>51.151000000000003</v>
      </c>
      <c r="J75">
        <v>5.5238844112444098E-3</v>
      </c>
      <c r="K75" t="s">
        <v>1101</v>
      </c>
      <c r="L75" t="s">
        <v>1028</v>
      </c>
    </row>
    <row r="76" spans="1:12" x14ac:dyDescent="0.3">
      <c r="A76">
        <v>5.0215068802573502E-2</v>
      </c>
      <c r="B76">
        <v>2.3053377277420399E-2</v>
      </c>
      <c r="C76">
        <v>3.6032445200426998E-2</v>
      </c>
      <c r="D76">
        <v>2.6056753006691701E-2</v>
      </c>
      <c r="E76" t="s">
        <v>1931</v>
      </c>
      <c r="F76" t="s">
        <v>1857</v>
      </c>
      <c r="G76">
        <v>43.356999999999999</v>
      </c>
      <c r="H76">
        <v>8.8888888888889496E-3</v>
      </c>
      <c r="I76">
        <v>51.481000000000002</v>
      </c>
      <c r="J76">
        <v>6.45148677445206E-3</v>
      </c>
      <c r="K76" t="s">
        <v>1102</v>
      </c>
      <c r="L76" t="s">
        <v>1028</v>
      </c>
    </row>
    <row r="77" spans="1:12" x14ac:dyDescent="0.3">
      <c r="A77">
        <v>4.1025346631292002E-2</v>
      </c>
      <c r="B77">
        <v>3.2561998713341901E-2</v>
      </c>
      <c r="C77">
        <v>5.2865449677459202E-2</v>
      </c>
      <c r="D77">
        <v>2.13020937510979E-2</v>
      </c>
      <c r="E77" t="s">
        <v>1932</v>
      </c>
      <c r="F77" t="s">
        <v>1857</v>
      </c>
      <c r="G77">
        <v>43.918999999999997</v>
      </c>
      <c r="H77">
        <v>1.29621514403671E-2</v>
      </c>
      <c r="I77">
        <v>51.753</v>
      </c>
      <c r="J77">
        <v>5.2835026514637101E-3</v>
      </c>
      <c r="K77" t="s">
        <v>1103</v>
      </c>
      <c r="L77" t="s">
        <v>1028</v>
      </c>
    </row>
    <row r="78" spans="1:12" x14ac:dyDescent="0.3">
      <c r="A78">
        <v>4.6770164599538401E-2</v>
      </c>
      <c r="B78">
        <v>3.00519488200592E-2</v>
      </c>
      <c r="C78">
        <v>6.2050852369377699E-2</v>
      </c>
      <c r="D78">
        <v>1.9463013158635498E-2</v>
      </c>
      <c r="E78" t="s">
        <v>1933</v>
      </c>
      <c r="F78" t="s">
        <v>1857</v>
      </c>
      <c r="G78">
        <v>44.585000000000001</v>
      </c>
      <c r="H78">
        <v>1.5164279696714401E-2</v>
      </c>
      <c r="I78">
        <v>52.003</v>
      </c>
      <c r="J78">
        <v>4.8306378374200999E-3</v>
      </c>
      <c r="K78" t="s">
        <v>1104</v>
      </c>
      <c r="L78" t="s">
        <v>1028</v>
      </c>
    </row>
    <row r="79" spans="1:12" x14ac:dyDescent="0.3">
      <c r="A79">
        <v>5.4994617531312101E-2</v>
      </c>
      <c r="B79">
        <v>2.9679316947533299E-2</v>
      </c>
      <c r="C79">
        <v>6.0821876360983101E-2</v>
      </c>
      <c r="D79">
        <v>3.2856918868300999E-2</v>
      </c>
      <c r="E79" t="s">
        <v>1934</v>
      </c>
      <c r="F79" t="s">
        <v>1857</v>
      </c>
      <c r="G79">
        <v>45.247999999999998</v>
      </c>
      <c r="H79">
        <v>1.48704721318829E-2</v>
      </c>
      <c r="I79">
        <v>52.424999999999997</v>
      </c>
      <c r="J79">
        <v>8.1149164471279196E-3</v>
      </c>
      <c r="K79" t="s">
        <v>1105</v>
      </c>
      <c r="L79" t="s">
        <v>1028</v>
      </c>
    </row>
    <row r="80" spans="1:12" x14ac:dyDescent="0.3">
      <c r="A80">
        <v>2.3822978628153201E-2</v>
      </c>
      <c r="B80">
        <v>2.0057150963272801E-2</v>
      </c>
      <c r="C80">
        <v>3.9922896172757301E-2</v>
      </c>
      <c r="D80">
        <v>3.0012482573731999E-2</v>
      </c>
      <c r="E80" t="s">
        <v>1935</v>
      </c>
      <c r="F80" t="s">
        <v>1857</v>
      </c>
      <c r="G80">
        <v>45.692999999999998</v>
      </c>
      <c r="H80">
        <v>9.8346888260254506E-3</v>
      </c>
      <c r="I80">
        <v>52.814</v>
      </c>
      <c r="J80">
        <v>7.4201239866476002E-3</v>
      </c>
      <c r="K80" t="s">
        <v>1106</v>
      </c>
      <c r="L80" t="s">
        <v>1028</v>
      </c>
    </row>
    <row r="81" spans="1:12" x14ac:dyDescent="0.3">
      <c r="A81">
        <v>3.1803231650019199E-2</v>
      </c>
      <c r="B81">
        <v>1.4432124176051201E-2</v>
      </c>
      <c r="C81">
        <v>6.0046453160524503E-2</v>
      </c>
      <c r="D81">
        <v>2.2222434897181301E-2</v>
      </c>
      <c r="E81" t="s">
        <v>1936</v>
      </c>
      <c r="F81" t="s">
        <v>1857</v>
      </c>
      <c r="G81">
        <v>46.363999999999997</v>
      </c>
      <c r="H81">
        <v>1.46849626857506E-2</v>
      </c>
      <c r="I81">
        <v>53.104999999999997</v>
      </c>
      <c r="J81">
        <v>5.5099026773204303E-3</v>
      </c>
      <c r="K81" t="s">
        <v>1107</v>
      </c>
      <c r="L81" t="s">
        <v>1028</v>
      </c>
    </row>
    <row r="82" spans="1:12" x14ac:dyDescent="0.3">
      <c r="A82">
        <v>5.92740793130948E-2</v>
      </c>
      <c r="B82">
        <v>2.8330647899498702E-2</v>
      </c>
      <c r="C82">
        <v>6.4935137330784501E-2</v>
      </c>
      <c r="D82">
        <v>2.9085137772108E-2</v>
      </c>
      <c r="E82" t="s">
        <v>1937</v>
      </c>
      <c r="F82" t="s">
        <v>1857</v>
      </c>
      <c r="G82">
        <v>47.098999999999997</v>
      </c>
      <c r="H82">
        <v>1.5852816840652199E-2</v>
      </c>
      <c r="I82">
        <v>53.487000000000002</v>
      </c>
      <c r="J82">
        <v>7.1932962997835999E-3</v>
      </c>
      <c r="K82" t="s">
        <v>1108</v>
      </c>
      <c r="L82" t="s">
        <v>1028</v>
      </c>
    </row>
    <row r="83" spans="1:12" x14ac:dyDescent="0.3">
      <c r="A83">
        <v>3.6833081072387398E-2</v>
      </c>
      <c r="B83">
        <v>7.0464261662823505E-2</v>
      </c>
      <c r="C83">
        <v>4.34077415784246E-2</v>
      </c>
      <c r="D83">
        <v>3.5768290293157798E-2</v>
      </c>
      <c r="E83" t="s">
        <v>1938</v>
      </c>
      <c r="F83" t="s">
        <v>1857</v>
      </c>
      <c r="G83">
        <v>47.601999999999997</v>
      </c>
      <c r="H83">
        <v>1.0679632263954599E-2</v>
      </c>
      <c r="I83">
        <v>53.959000000000003</v>
      </c>
      <c r="J83">
        <v>8.8245741955990092E-3</v>
      </c>
      <c r="K83" t="s">
        <v>1109</v>
      </c>
      <c r="L83" t="s">
        <v>1028</v>
      </c>
    </row>
    <row r="84" spans="1:12" x14ac:dyDescent="0.3">
      <c r="A84">
        <v>5.1769155239957503E-2</v>
      </c>
      <c r="B84">
        <v>5.3870047588526803E-3</v>
      </c>
      <c r="C84">
        <v>5.9429132401131797E-2</v>
      </c>
      <c r="D84">
        <v>3.9413809912278698E-2</v>
      </c>
      <c r="E84" t="s">
        <v>1939</v>
      </c>
      <c r="F84" t="s">
        <v>1857</v>
      </c>
      <c r="G84">
        <v>48.293999999999997</v>
      </c>
      <c r="H84">
        <v>1.4537204319146299E-2</v>
      </c>
      <c r="I84">
        <v>54.482999999999997</v>
      </c>
      <c r="J84">
        <v>9.7110769287791499E-3</v>
      </c>
      <c r="K84" t="s">
        <v>1110</v>
      </c>
      <c r="L84" t="s">
        <v>1028</v>
      </c>
    </row>
    <row r="85" spans="1:12" x14ac:dyDescent="0.3">
      <c r="A85">
        <v>5.3985249536158401E-2</v>
      </c>
      <c r="B85">
        <v>4.8480456964960797E-2</v>
      </c>
      <c r="C85">
        <v>7.7879333039596599E-2</v>
      </c>
      <c r="D85">
        <v>1.0688095589023601E-2</v>
      </c>
      <c r="E85" t="s">
        <v>1940</v>
      </c>
      <c r="F85" t="s">
        <v>1857</v>
      </c>
      <c r="G85">
        <v>49.207999999999998</v>
      </c>
      <c r="H85">
        <v>1.8925746469540702E-2</v>
      </c>
      <c r="I85">
        <v>54.628</v>
      </c>
      <c r="J85">
        <v>2.66138061413668E-3</v>
      </c>
      <c r="K85" t="s">
        <v>1111</v>
      </c>
      <c r="L85" t="s">
        <v>1028</v>
      </c>
    </row>
    <row r="86" spans="1:12" x14ac:dyDescent="0.3">
      <c r="A86">
        <v>2.1158982786186002E-2</v>
      </c>
      <c r="B86">
        <v>3.6386290478485302E-2</v>
      </c>
      <c r="C86">
        <v>1.91574066493869E-2</v>
      </c>
      <c r="D86">
        <v>7.9315148019272197E-3</v>
      </c>
      <c r="E86" t="s">
        <v>1941</v>
      </c>
      <c r="F86" t="s">
        <v>1857</v>
      </c>
      <c r="G86">
        <v>49.442</v>
      </c>
      <c r="H86">
        <v>4.7553243375060301E-3</v>
      </c>
      <c r="I86">
        <v>54.735999999999997</v>
      </c>
      <c r="J86">
        <v>1.9770081276999601E-3</v>
      </c>
      <c r="K86" t="s">
        <v>1112</v>
      </c>
      <c r="L86" t="s">
        <v>1028</v>
      </c>
    </row>
    <row r="87" spans="1:12" x14ac:dyDescent="0.3">
      <c r="A87">
        <v>2.2052154501282398E-2</v>
      </c>
      <c r="B87">
        <v>1.9883287825612099E-2</v>
      </c>
      <c r="C87">
        <v>2.5316754451185201E-2</v>
      </c>
      <c r="D87">
        <v>2.0767815828135701E-2</v>
      </c>
      <c r="E87" t="s">
        <v>1942</v>
      </c>
      <c r="F87" t="s">
        <v>1857</v>
      </c>
      <c r="G87">
        <v>49.752000000000002</v>
      </c>
      <c r="H87">
        <v>6.2699728975366097E-3</v>
      </c>
      <c r="I87">
        <v>55.018000000000001</v>
      </c>
      <c r="J87">
        <v>5.1520023384976597E-3</v>
      </c>
      <c r="K87" t="s">
        <v>1113</v>
      </c>
      <c r="L87" t="s">
        <v>1028</v>
      </c>
    </row>
    <row r="88" spans="1:12" x14ac:dyDescent="0.3">
      <c r="A88">
        <v>2.7438615126695699E-2</v>
      </c>
      <c r="B88">
        <v>5.2374465161812503E-2</v>
      </c>
      <c r="C88">
        <v>3.8739820782161899E-2</v>
      </c>
      <c r="D88">
        <v>1.0657034721188501E-2</v>
      </c>
      <c r="E88" t="s">
        <v>1943</v>
      </c>
      <c r="F88" t="s">
        <v>1857</v>
      </c>
      <c r="G88">
        <v>50.226999999999997</v>
      </c>
      <c r="H88">
        <v>9.5473548802056402E-3</v>
      </c>
      <c r="I88">
        <v>55.164000000000001</v>
      </c>
      <c r="J88">
        <v>2.6536769784435399E-3</v>
      </c>
      <c r="K88" t="s">
        <v>1114</v>
      </c>
      <c r="L88" t="s">
        <v>1028</v>
      </c>
    </row>
    <row r="89" spans="1:12" x14ac:dyDescent="0.3">
      <c r="A89">
        <v>2.9370792816648401E-2</v>
      </c>
      <c r="B89">
        <v>4.1076934031538899E-2</v>
      </c>
      <c r="C89">
        <v>4.6254885206873202E-2</v>
      </c>
      <c r="D89">
        <v>-9.9690396175571294E-3</v>
      </c>
      <c r="E89" t="s">
        <v>1944</v>
      </c>
      <c r="F89" t="s">
        <v>1857</v>
      </c>
      <c r="G89">
        <v>50.798000000000002</v>
      </c>
      <c r="H89">
        <v>1.13683875206563E-2</v>
      </c>
      <c r="I89">
        <v>55.026000000000003</v>
      </c>
      <c r="J89">
        <v>-2.5016314988035599E-3</v>
      </c>
      <c r="K89" t="s">
        <v>1115</v>
      </c>
      <c r="L89" t="s">
        <v>1028</v>
      </c>
    </row>
    <row r="90" spans="1:12" x14ac:dyDescent="0.3">
      <c r="A90">
        <v>2.5261592124571599E-2</v>
      </c>
      <c r="B90">
        <v>5.8581566563336001E-3</v>
      </c>
      <c r="C90">
        <v>3.8335869645315497E-2</v>
      </c>
      <c r="D90">
        <v>-1.04267601108922E-2</v>
      </c>
      <c r="E90" t="s">
        <v>1945</v>
      </c>
      <c r="F90" t="s">
        <v>1857</v>
      </c>
      <c r="G90">
        <v>51.277999999999999</v>
      </c>
      <c r="H90">
        <v>9.4491909130280903E-3</v>
      </c>
      <c r="I90">
        <v>54.881999999999998</v>
      </c>
      <c r="J90">
        <v>-2.61694471704299E-3</v>
      </c>
      <c r="K90" t="s">
        <v>1116</v>
      </c>
      <c r="L90" t="s">
        <v>1028</v>
      </c>
    </row>
    <row r="91" spans="1:12" x14ac:dyDescent="0.3">
      <c r="A91">
        <v>2.6883329197386899E-2</v>
      </c>
      <c r="B91">
        <v>1.4672046081608801E-2</v>
      </c>
      <c r="C91">
        <v>5.5488923116520997E-2</v>
      </c>
      <c r="D91">
        <v>1.90848323659343E-2</v>
      </c>
      <c r="E91" t="s">
        <v>1946</v>
      </c>
      <c r="F91" t="s">
        <v>1857</v>
      </c>
      <c r="G91">
        <v>51.975000000000001</v>
      </c>
      <c r="H91">
        <v>1.35925738133313E-2</v>
      </c>
      <c r="I91">
        <v>55.142000000000003</v>
      </c>
      <c r="J91">
        <v>4.7374366823367299E-3</v>
      </c>
      <c r="K91" t="s">
        <v>1117</v>
      </c>
      <c r="L91" t="s">
        <v>1028</v>
      </c>
    </row>
    <row r="92" spans="1:12" x14ac:dyDescent="0.3">
      <c r="A92">
        <v>2.57889573012124E-2</v>
      </c>
      <c r="B92">
        <v>3.5352763805176303E-2</v>
      </c>
      <c r="C92">
        <v>3.4689577494526398E-2</v>
      </c>
      <c r="D92">
        <v>8.1492648352745594E-3</v>
      </c>
      <c r="E92" t="s">
        <v>1947</v>
      </c>
      <c r="F92" t="s">
        <v>1857</v>
      </c>
      <c r="G92">
        <v>52.42</v>
      </c>
      <c r="H92">
        <v>8.5618085618086592E-3</v>
      </c>
      <c r="I92">
        <v>55.253999999999998</v>
      </c>
      <c r="J92">
        <v>2.03111965470959E-3</v>
      </c>
      <c r="K92" t="s">
        <v>1118</v>
      </c>
      <c r="L92" t="s">
        <v>1028</v>
      </c>
    </row>
    <row r="93" spans="1:12" x14ac:dyDescent="0.3">
      <c r="A93">
        <v>2.8170464275272301E-2</v>
      </c>
      <c r="B93">
        <v>2.5395981622951001E-2</v>
      </c>
      <c r="C93">
        <v>2.9547347848341E-2</v>
      </c>
      <c r="D93">
        <v>1.8368205985927599E-2</v>
      </c>
      <c r="E93" t="s">
        <v>1948</v>
      </c>
      <c r="F93" t="s">
        <v>1857</v>
      </c>
      <c r="G93">
        <v>52.802999999999997</v>
      </c>
      <c r="H93">
        <v>7.3063716138877001E-3</v>
      </c>
      <c r="I93">
        <v>55.506</v>
      </c>
      <c r="J93">
        <v>4.5607557823867896E-3</v>
      </c>
      <c r="K93" t="s">
        <v>1119</v>
      </c>
      <c r="L93" t="s">
        <v>1028</v>
      </c>
    </row>
    <row r="94" spans="1:12" x14ac:dyDescent="0.3">
      <c r="A94">
        <v>2.40619409805858E-2</v>
      </c>
      <c r="B94">
        <v>9.9983702538513092E-3</v>
      </c>
      <c r="C94">
        <v>2.2073085991106502E-2</v>
      </c>
      <c r="D94">
        <v>3.0096377482488099E-2</v>
      </c>
      <c r="E94" t="s">
        <v>1949</v>
      </c>
      <c r="F94" t="s">
        <v>1857</v>
      </c>
      <c r="G94">
        <v>53.091999999999999</v>
      </c>
      <c r="H94">
        <v>5.4731738726967504E-3</v>
      </c>
      <c r="I94">
        <v>55.918999999999997</v>
      </c>
      <c r="J94">
        <v>7.4406370482469298E-3</v>
      </c>
      <c r="K94" t="s">
        <v>1120</v>
      </c>
      <c r="L94" t="s">
        <v>1028</v>
      </c>
    </row>
    <row r="95" spans="1:12" x14ac:dyDescent="0.3">
      <c r="A95">
        <v>2.70873737268695E-2</v>
      </c>
      <c r="B95">
        <v>1.7716185249098602E-2</v>
      </c>
      <c r="C95">
        <v>2.3867747826854101E-2</v>
      </c>
      <c r="D95">
        <v>2.3524161594785199E-2</v>
      </c>
      <c r="E95" t="s">
        <v>1950</v>
      </c>
      <c r="F95" t="s">
        <v>1857</v>
      </c>
      <c r="G95">
        <v>53.405999999999999</v>
      </c>
      <c r="H95">
        <v>5.91426203571155E-3</v>
      </c>
      <c r="I95">
        <v>56.244999999999997</v>
      </c>
      <c r="J95">
        <v>5.8298610490172802E-3</v>
      </c>
      <c r="K95" t="s">
        <v>1121</v>
      </c>
      <c r="L95" t="s">
        <v>1028</v>
      </c>
    </row>
    <row r="96" spans="1:12" x14ac:dyDescent="0.3">
      <c r="A96">
        <v>1.7542540867755401E-2</v>
      </c>
      <c r="B96">
        <v>2.9283418694515902E-2</v>
      </c>
      <c r="C96">
        <v>1.3096071782226999E-2</v>
      </c>
      <c r="D96">
        <v>4.0598599880798903E-3</v>
      </c>
      <c r="E96" t="s">
        <v>1951</v>
      </c>
      <c r="F96" t="s">
        <v>1857</v>
      </c>
      <c r="G96">
        <v>53.58</v>
      </c>
      <c r="H96">
        <v>3.2580608920345102E-3</v>
      </c>
      <c r="I96">
        <v>56.302</v>
      </c>
      <c r="J96">
        <v>1.01342341541466E-3</v>
      </c>
      <c r="K96" t="s">
        <v>1122</v>
      </c>
      <c r="L96" t="s">
        <v>1028</v>
      </c>
    </row>
    <row r="97" spans="1:12" x14ac:dyDescent="0.3">
      <c r="A97">
        <v>2.3240038949048102E-2</v>
      </c>
      <c r="B97">
        <v>3.6370296177081797E-2</v>
      </c>
      <c r="C97">
        <v>2.0612838101556001E-2</v>
      </c>
      <c r="D97">
        <v>1.8816279960193898E-2</v>
      </c>
      <c r="E97" t="s">
        <v>1952</v>
      </c>
      <c r="F97" t="s">
        <v>1857</v>
      </c>
      <c r="G97">
        <v>53.853999999999999</v>
      </c>
      <c r="H97">
        <v>5.1138484509145599E-3</v>
      </c>
      <c r="I97">
        <v>56.564999999999998</v>
      </c>
      <c r="J97">
        <v>4.6712372562254202E-3</v>
      </c>
      <c r="K97" t="s">
        <v>1123</v>
      </c>
      <c r="L97" t="s">
        <v>1028</v>
      </c>
    </row>
    <row r="98" spans="1:12" x14ac:dyDescent="0.3">
      <c r="A98">
        <v>1.4387423449919501E-2</v>
      </c>
      <c r="B98">
        <v>1.8449816517922799E-2</v>
      </c>
      <c r="C98">
        <v>3.3921123111567301E-2</v>
      </c>
      <c r="D98">
        <v>2.9526755688726598E-2</v>
      </c>
      <c r="E98" t="s">
        <v>1953</v>
      </c>
      <c r="F98" t="s">
        <v>1857</v>
      </c>
      <c r="G98">
        <v>54.305</v>
      </c>
      <c r="H98">
        <v>8.3744940023024999E-3</v>
      </c>
      <c r="I98">
        <v>56.978000000000002</v>
      </c>
      <c r="J98">
        <v>7.3013347476356101E-3</v>
      </c>
      <c r="K98" t="s">
        <v>1124</v>
      </c>
      <c r="L98" t="s">
        <v>1028</v>
      </c>
    </row>
    <row r="99" spans="1:12" x14ac:dyDescent="0.3">
      <c r="A99">
        <v>2.2496438657089599E-2</v>
      </c>
      <c r="B99">
        <v>3.3991498444716703E-2</v>
      </c>
      <c r="C99">
        <v>2.3479894269272002E-2</v>
      </c>
      <c r="D99">
        <v>1.7453105874537699E-2</v>
      </c>
      <c r="E99" t="s">
        <v>1954</v>
      </c>
      <c r="F99" t="s">
        <v>1857</v>
      </c>
      <c r="G99">
        <v>54.621000000000002</v>
      </c>
      <c r="H99">
        <v>5.8189853604639899E-3</v>
      </c>
      <c r="I99">
        <v>57.225000000000001</v>
      </c>
      <c r="J99">
        <v>4.3350064937344203E-3</v>
      </c>
      <c r="K99" t="s">
        <v>1125</v>
      </c>
      <c r="L99" t="s">
        <v>1028</v>
      </c>
    </row>
    <row r="100" spans="1:12" x14ac:dyDescent="0.3">
      <c r="A100">
        <v>2.90726218207682E-2</v>
      </c>
      <c r="B100">
        <v>2.3185974053502999E-2</v>
      </c>
      <c r="C100">
        <v>3.5391871305663798E-2</v>
      </c>
      <c r="D100">
        <v>3.5482240520336501E-2</v>
      </c>
      <c r="E100" t="s">
        <v>1955</v>
      </c>
      <c r="F100" t="s">
        <v>1857</v>
      </c>
      <c r="G100">
        <v>55.097999999999999</v>
      </c>
      <c r="H100">
        <v>8.7329049266764401E-3</v>
      </c>
      <c r="I100">
        <v>57.725999999999999</v>
      </c>
      <c r="J100">
        <v>8.7549148099605994E-3</v>
      </c>
      <c r="K100" t="s">
        <v>1126</v>
      </c>
      <c r="L100" t="s">
        <v>1028</v>
      </c>
    </row>
    <row r="101" spans="1:12" x14ac:dyDescent="0.3">
      <c r="A101">
        <v>1.88663260541506E-2</v>
      </c>
      <c r="B101">
        <v>3.3254108726641599E-2</v>
      </c>
      <c r="C101">
        <v>3.4634574022881899E-2</v>
      </c>
      <c r="D101">
        <v>3.3748767658719397E-2</v>
      </c>
      <c r="E101" t="s">
        <v>1956</v>
      </c>
      <c r="F101" t="s">
        <v>1857</v>
      </c>
      <c r="G101">
        <v>55.569000000000003</v>
      </c>
      <c r="H101">
        <v>8.5484046607862095E-3</v>
      </c>
      <c r="I101">
        <v>58.207000000000001</v>
      </c>
      <c r="J101">
        <v>8.3324671725046907E-3</v>
      </c>
      <c r="K101" t="s">
        <v>1127</v>
      </c>
      <c r="L101" t="s">
        <v>1028</v>
      </c>
    </row>
    <row r="102" spans="1:12" x14ac:dyDescent="0.3">
      <c r="A102">
        <v>1.9752209109685798E-2</v>
      </c>
      <c r="B102">
        <v>3.4122786590531799E-2</v>
      </c>
      <c r="C102">
        <v>1.8555272424330301E-2</v>
      </c>
      <c r="D102">
        <v>4.0528253340275301E-2</v>
      </c>
      <c r="E102" t="s">
        <v>1957</v>
      </c>
      <c r="F102" t="s">
        <v>1857</v>
      </c>
      <c r="G102">
        <v>55.825000000000003</v>
      </c>
      <c r="H102">
        <v>4.6068851337977001E-3</v>
      </c>
      <c r="I102">
        <v>58.787999999999997</v>
      </c>
      <c r="J102">
        <v>9.9816173312487991E-3</v>
      </c>
      <c r="K102" t="s">
        <v>1128</v>
      </c>
      <c r="L102" t="s">
        <v>1028</v>
      </c>
    </row>
    <row r="103" spans="1:12" x14ac:dyDescent="0.3">
      <c r="A103">
        <v>2.3426148348960799E-2</v>
      </c>
      <c r="B103">
        <v>2.6924495262994098E-2</v>
      </c>
      <c r="C103">
        <v>3.10950653969519E-2</v>
      </c>
      <c r="D103">
        <v>2.8884969324625399E-2</v>
      </c>
      <c r="E103" t="s">
        <v>1958</v>
      </c>
      <c r="F103" t="s">
        <v>1857</v>
      </c>
      <c r="G103">
        <v>56.253999999999998</v>
      </c>
      <c r="H103">
        <v>7.6847290640393896E-3</v>
      </c>
      <c r="I103">
        <v>59.207999999999998</v>
      </c>
      <c r="J103">
        <v>7.1443151663605998E-3</v>
      </c>
      <c r="K103" t="s">
        <v>1129</v>
      </c>
      <c r="L103" t="s">
        <v>1028</v>
      </c>
    </row>
    <row r="104" spans="1:12" x14ac:dyDescent="0.3">
      <c r="A104">
        <v>1.6481276503132601E-2</v>
      </c>
      <c r="B104">
        <v>2.0844963333619401E-2</v>
      </c>
      <c r="C104">
        <v>1.5303746558651399E-2</v>
      </c>
      <c r="D104">
        <v>2.2275298720186399E-2</v>
      </c>
      <c r="E104" t="s">
        <v>1959</v>
      </c>
      <c r="F104" t="s">
        <v>1857</v>
      </c>
      <c r="G104">
        <v>56.468000000000004</v>
      </c>
      <c r="H104">
        <v>3.8041739254097702E-3</v>
      </c>
      <c r="I104">
        <v>59.534999999999997</v>
      </c>
      <c r="J104">
        <v>5.5229023104985701E-3</v>
      </c>
      <c r="K104" t="s">
        <v>1130</v>
      </c>
      <c r="L104" t="s">
        <v>1028</v>
      </c>
    </row>
    <row r="105" spans="1:12" x14ac:dyDescent="0.3">
      <c r="A105">
        <v>1.77105887350755E-2</v>
      </c>
      <c r="B105">
        <v>5.6392491810183902E-2</v>
      </c>
      <c r="C105">
        <v>1.3670147091618101E-2</v>
      </c>
      <c r="D105">
        <v>2.3245190160411201E-2</v>
      </c>
      <c r="E105" t="s">
        <v>1960</v>
      </c>
      <c r="F105" t="s">
        <v>1857</v>
      </c>
      <c r="G105">
        <v>56.66</v>
      </c>
      <c r="H105">
        <v>3.4001558404759299E-3</v>
      </c>
      <c r="I105">
        <v>59.878</v>
      </c>
      <c r="J105">
        <v>5.7613168724279804E-3</v>
      </c>
      <c r="K105" t="s">
        <v>1131</v>
      </c>
      <c r="L105" t="s">
        <v>1028</v>
      </c>
    </row>
    <row r="106" spans="1:12" x14ac:dyDescent="0.3">
      <c r="A106">
        <v>2.24149830534284E-2</v>
      </c>
      <c r="B106">
        <v>9.43340099661172E-3</v>
      </c>
      <c r="C106">
        <v>4.4785324127958097E-2</v>
      </c>
      <c r="D106">
        <v>2.1616654614663E-2</v>
      </c>
      <c r="E106" t="s">
        <v>1961</v>
      </c>
      <c r="F106" t="s">
        <v>1857</v>
      </c>
      <c r="G106">
        <v>57.283999999999999</v>
      </c>
      <c r="H106">
        <v>1.1013060360042499E-2</v>
      </c>
      <c r="I106">
        <v>60.198999999999998</v>
      </c>
      <c r="J106">
        <v>5.3609004976786804E-3</v>
      </c>
      <c r="K106" t="s">
        <v>1132</v>
      </c>
      <c r="L106" t="s">
        <v>1028</v>
      </c>
    </row>
    <row r="107" spans="1:12" x14ac:dyDescent="0.3">
      <c r="A107">
        <v>2.7006131410312901E-2</v>
      </c>
      <c r="B107">
        <v>-2.1272525988481301E-2</v>
      </c>
      <c r="C107">
        <v>5.7381634098421204E-3</v>
      </c>
      <c r="D107">
        <v>4.4593389946305803E-3</v>
      </c>
      <c r="E107" t="s">
        <v>1962</v>
      </c>
      <c r="F107" t="s">
        <v>1857</v>
      </c>
      <c r="G107">
        <v>57.366</v>
      </c>
      <c r="H107">
        <v>1.4314642832204999E-3</v>
      </c>
      <c r="I107">
        <v>60.265999999999998</v>
      </c>
      <c r="J107">
        <v>1.1129752985929999E-3</v>
      </c>
      <c r="K107" t="s">
        <v>1133</v>
      </c>
      <c r="L107" t="s">
        <v>1028</v>
      </c>
    </row>
    <row r="108" spans="1:12" x14ac:dyDescent="0.3">
      <c r="A108">
        <v>1.7195373350960198E-2</v>
      </c>
      <c r="B108">
        <v>2.3444846886997699E-2</v>
      </c>
      <c r="C108">
        <v>2.6760970425558899E-2</v>
      </c>
      <c r="D108">
        <v>1.9993530620905801E-2</v>
      </c>
      <c r="E108" t="s">
        <v>1963</v>
      </c>
      <c r="F108" t="s">
        <v>1857</v>
      </c>
      <c r="G108">
        <v>57.746000000000002</v>
      </c>
      <c r="H108">
        <v>6.62413276156615E-3</v>
      </c>
      <c r="I108">
        <v>60.564999999999998</v>
      </c>
      <c r="J108">
        <v>4.9613380678989998E-3</v>
      </c>
      <c r="K108" t="s">
        <v>1134</v>
      </c>
      <c r="L108" t="s">
        <v>1028</v>
      </c>
    </row>
    <row r="109" spans="1:12" x14ac:dyDescent="0.3">
      <c r="A109">
        <v>2.7544322225657499E-2</v>
      </c>
      <c r="B109">
        <v>1.3803868113502E-2</v>
      </c>
      <c r="C109">
        <v>3.2814056779429501E-2</v>
      </c>
      <c r="D109">
        <v>1.3007743413415899E-2</v>
      </c>
      <c r="E109" t="s">
        <v>1964</v>
      </c>
      <c r="F109" t="s">
        <v>1857</v>
      </c>
      <c r="G109">
        <v>58.213999999999999</v>
      </c>
      <c r="H109">
        <v>8.1044574515982699E-3</v>
      </c>
      <c r="I109">
        <v>60.761000000000003</v>
      </c>
      <c r="J109">
        <v>3.2361925204327201E-3</v>
      </c>
      <c r="K109" t="s">
        <v>1135</v>
      </c>
      <c r="L109" t="s">
        <v>1028</v>
      </c>
    </row>
    <row r="110" spans="1:12" x14ac:dyDescent="0.3">
      <c r="A110">
        <v>1.7773223680601899E-2</v>
      </c>
      <c r="B110">
        <v>1.36962800731413E-2</v>
      </c>
      <c r="C110">
        <v>2.76992412803541E-2</v>
      </c>
      <c r="D110">
        <v>2.2772194889475902E-2</v>
      </c>
      <c r="E110" t="s">
        <v>1965</v>
      </c>
      <c r="F110" t="s">
        <v>1857</v>
      </c>
      <c r="G110">
        <v>58.613</v>
      </c>
      <c r="H110">
        <v>6.8540213694301402E-3</v>
      </c>
      <c r="I110">
        <v>61.103999999999999</v>
      </c>
      <c r="J110">
        <v>5.6450683826796402E-3</v>
      </c>
      <c r="K110" t="s">
        <v>1136</v>
      </c>
      <c r="L110" t="s">
        <v>1028</v>
      </c>
    </row>
    <row r="111" spans="1:12" x14ac:dyDescent="0.3">
      <c r="A111">
        <v>1.0067171002752701E-2</v>
      </c>
      <c r="B111">
        <v>2.65913479501769E-2</v>
      </c>
      <c r="C111">
        <v>9.5884799897107999E-3</v>
      </c>
      <c r="D111">
        <v>2.7578432526699701E-2</v>
      </c>
      <c r="E111" t="s">
        <v>1966</v>
      </c>
      <c r="F111" t="s">
        <v>1857</v>
      </c>
      <c r="G111">
        <v>58.753</v>
      </c>
      <c r="H111">
        <v>2.3885486154948698E-3</v>
      </c>
      <c r="I111">
        <v>61.521000000000001</v>
      </c>
      <c r="J111">
        <v>6.8244304791831301E-3</v>
      </c>
      <c r="K111" t="s">
        <v>1137</v>
      </c>
      <c r="L111" t="s">
        <v>1028</v>
      </c>
    </row>
    <row r="112" spans="1:12" x14ac:dyDescent="0.3">
      <c r="A112">
        <v>1.05839184448571E-2</v>
      </c>
      <c r="B112">
        <v>9.2223862003817398E-3</v>
      </c>
      <c r="C112">
        <v>1.9268623425193102E-2</v>
      </c>
      <c r="D112">
        <v>1.0181522541022199E-2</v>
      </c>
      <c r="E112" t="s">
        <v>1967</v>
      </c>
      <c r="F112" t="s">
        <v>1857</v>
      </c>
      <c r="G112">
        <v>59.033999999999999</v>
      </c>
      <c r="H112">
        <v>4.7827344986639498E-3</v>
      </c>
      <c r="I112">
        <v>61.677</v>
      </c>
      <c r="J112">
        <v>2.5357195104109801E-3</v>
      </c>
      <c r="K112" t="s">
        <v>1138</v>
      </c>
      <c r="L112" t="s">
        <v>1028</v>
      </c>
    </row>
    <row r="113" spans="1:12" x14ac:dyDescent="0.3">
      <c r="A113">
        <v>1.26121897911931E-2</v>
      </c>
      <c r="B113">
        <v>2.8333969394931401E-2</v>
      </c>
      <c r="C113">
        <v>3.3061309623051399E-2</v>
      </c>
      <c r="D113">
        <v>2.5996696664996499E-2</v>
      </c>
      <c r="E113" t="s">
        <v>1968</v>
      </c>
      <c r="F113" t="s">
        <v>1857</v>
      </c>
      <c r="G113">
        <v>59.515999999999998</v>
      </c>
      <c r="H113">
        <v>8.1647863942813093E-3</v>
      </c>
      <c r="I113">
        <v>62.073999999999998</v>
      </c>
      <c r="J113">
        <v>6.4367592457479396E-3</v>
      </c>
      <c r="K113" t="s">
        <v>1139</v>
      </c>
      <c r="L113" t="s">
        <v>1028</v>
      </c>
    </row>
    <row r="114" spans="1:12" x14ac:dyDescent="0.3">
      <c r="A114">
        <v>3.2090280398078302E-4</v>
      </c>
      <c r="B114">
        <v>-1.66473304304918E-2</v>
      </c>
      <c r="C114">
        <v>6.3326118015940604E-3</v>
      </c>
      <c r="D114">
        <v>1.3539104320199301E-3</v>
      </c>
      <c r="E114" t="s">
        <v>1969</v>
      </c>
      <c r="F114" t="s">
        <v>1857</v>
      </c>
      <c r="G114">
        <v>59.61</v>
      </c>
      <c r="H114">
        <v>1.57940721822714E-3</v>
      </c>
      <c r="I114">
        <v>62.094999999999999</v>
      </c>
      <c r="J114">
        <v>3.3830589296646201E-4</v>
      </c>
      <c r="K114" t="s">
        <v>1140</v>
      </c>
      <c r="L114" t="s">
        <v>1028</v>
      </c>
    </row>
    <row r="115" spans="1:12" x14ac:dyDescent="0.3">
      <c r="A115">
        <v>7.2384308298694099E-3</v>
      </c>
      <c r="B115">
        <v>2.5981704959145799E-2</v>
      </c>
      <c r="C115">
        <v>2.14418814289523E-2</v>
      </c>
      <c r="D115">
        <v>2.5146473935451202E-3</v>
      </c>
      <c r="E115" t="s">
        <v>1970</v>
      </c>
      <c r="F115" t="s">
        <v>1857</v>
      </c>
      <c r="G115">
        <v>59.927</v>
      </c>
      <c r="H115">
        <v>5.3178996812615099E-3</v>
      </c>
      <c r="I115">
        <v>62.134</v>
      </c>
      <c r="J115">
        <v>6.2806989290598004E-4</v>
      </c>
      <c r="K115" t="s">
        <v>1141</v>
      </c>
      <c r="L115" t="s">
        <v>1028</v>
      </c>
    </row>
    <row r="116" spans="1:12" x14ac:dyDescent="0.3">
      <c r="A116">
        <v>1.2387156771827E-2</v>
      </c>
      <c r="B116">
        <v>2.6407820145390601E-2</v>
      </c>
      <c r="C116">
        <v>3.1605845001569703E-2</v>
      </c>
      <c r="D116">
        <v>2.4885302644445099E-2</v>
      </c>
      <c r="E116" t="s">
        <v>1971</v>
      </c>
      <c r="F116" t="s">
        <v>1857</v>
      </c>
      <c r="G116">
        <v>60.395000000000003</v>
      </c>
      <c r="H116">
        <v>7.8095015602317498E-3</v>
      </c>
      <c r="I116">
        <v>62.517000000000003</v>
      </c>
      <c r="J116">
        <v>6.1640969517495802E-3</v>
      </c>
      <c r="K116" t="s">
        <v>1142</v>
      </c>
      <c r="L116" t="s">
        <v>1028</v>
      </c>
    </row>
    <row r="117" spans="1:12" x14ac:dyDescent="0.3">
      <c r="A117">
        <v>1.0631455336088899E-2</v>
      </c>
      <c r="B117">
        <v>1.29075602616771E-2</v>
      </c>
      <c r="C117">
        <v>3.6519198475668799E-2</v>
      </c>
      <c r="D117">
        <v>2.2777873103542599E-2</v>
      </c>
      <c r="E117" t="s">
        <v>1972</v>
      </c>
      <c r="F117" t="s">
        <v>1857</v>
      </c>
      <c r="G117">
        <v>60.939</v>
      </c>
      <c r="H117">
        <v>9.0073681596158899E-3</v>
      </c>
      <c r="I117">
        <v>62.87</v>
      </c>
      <c r="J117">
        <v>5.6464641617479704E-3</v>
      </c>
      <c r="K117" t="s">
        <v>1143</v>
      </c>
      <c r="L117" t="s">
        <v>1028</v>
      </c>
    </row>
    <row r="118" spans="1:12" x14ac:dyDescent="0.3">
      <c r="A118">
        <v>7.8778546175835001E-3</v>
      </c>
      <c r="B118">
        <v>1.19346323256166E-2</v>
      </c>
      <c r="C118">
        <v>3.4639204699016303E-2</v>
      </c>
      <c r="D118">
        <v>1.61297394114919E-2</v>
      </c>
      <c r="E118" t="s">
        <v>1973</v>
      </c>
      <c r="F118" t="s">
        <v>1857</v>
      </c>
      <c r="G118">
        <v>61.46</v>
      </c>
      <c r="H118">
        <v>8.5495331396971998E-3</v>
      </c>
      <c r="I118">
        <v>63.122</v>
      </c>
      <c r="J118">
        <v>4.0082710354700799E-3</v>
      </c>
      <c r="K118" t="s">
        <v>1144</v>
      </c>
      <c r="L118" t="s">
        <v>1028</v>
      </c>
    </row>
    <row r="119" spans="1:12" x14ac:dyDescent="0.3">
      <c r="A119">
        <v>2.2971603454798002E-2</v>
      </c>
      <c r="B119">
        <v>3.4068264295770097E-2</v>
      </c>
      <c r="C119">
        <v>6.1370356227924201E-2</v>
      </c>
      <c r="D119">
        <v>2.99883116478201E-2</v>
      </c>
      <c r="E119" t="s">
        <v>1974</v>
      </c>
      <c r="F119" t="s">
        <v>1857</v>
      </c>
      <c r="G119">
        <v>62.381999999999998</v>
      </c>
      <c r="H119">
        <v>1.5001627074519901E-2</v>
      </c>
      <c r="I119">
        <v>63.59</v>
      </c>
      <c r="J119">
        <v>7.4142137448116596E-3</v>
      </c>
      <c r="K119" t="s">
        <v>1145</v>
      </c>
      <c r="L119" t="s">
        <v>1028</v>
      </c>
    </row>
    <row r="120" spans="1:12" x14ac:dyDescent="0.3">
      <c r="A120">
        <v>2.21977740334749E-2</v>
      </c>
      <c r="B120">
        <v>3.6824162588046098E-2</v>
      </c>
      <c r="C120">
        <v>5.6562220210462498E-2</v>
      </c>
      <c r="D120">
        <v>1.6964868305367399E-2</v>
      </c>
      <c r="E120" t="s">
        <v>1975</v>
      </c>
      <c r="F120" t="s">
        <v>1857</v>
      </c>
      <c r="G120">
        <v>63.246000000000002</v>
      </c>
      <c r="H120">
        <v>1.3850149081466E-2</v>
      </c>
      <c r="I120">
        <v>63.857999999999997</v>
      </c>
      <c r="J120">
        <v>4.2144991350840898E-3</v>
      </c>
      <c r="K120" t="s">
        <v>1146</v>
      </c>
      <c r="L120" t="s">
        <v>1028</v>
      </c>
    </row>
    <row r="121" spans="1:12" x14ac:dyDescent="0.3">
      <c r="A121">
        <v>2.4473399596212499E-2</v>
      </c>
      <c r="B121">
        <v>5.00811045761866E-2</v>
      </c>
      <c r="C121">
        <v>4.9726482376824199E-2</v>
      </c>
      <c r="D121">
        <v>3.4513513517111301E-2</v>
      </c>
      <c r="E121" t="s">
        <v>1976</v>
      </c>
      <c r="F121" t="s">
        <v>1857</v>
      </c>
      <c r="G121">
        <v>64.018000000000001</v>
      </c>
      <c r="H121">
        <v>1.2206305537109099E-2</v>
      </c>
      <c r="I121">
        <v>64.402000000000001</v>
      </c>
      <c r="J121">
        <v>8.5189013122866104E-3</v>
      </c>
      <c r="K121" t="s">
        <v>1147</v>
      </c>
      <c r="L121" t="s">
        <v>1028</v>
      </c>
    </row>
    <row r="122" spans="1:12" x14ac:dyDescent="0.3">
      <c r="A122">
        <v>3.2886107964122897E-2</v>
      </c>
      <c r="B122">
        <v>3.9540884737924602E-2</v>
      </c>
      <c r="C122">
        <v>5.7040318663066601E-2</v>
      </c>
      <c r="D122">
        <v>3.2054289459933799E-2</v>
      </c>
      <c r="E122" t="s">
        <v>1977</v>
      </c>
      <c r="F122" t="s">
        <v>1857</v>
      </c>
      <c r="G122">
        <v>64.912000000000006</v>
      </c>
      <c r="H122">
        <v>1.3964822393701899E-2</v>
      </c>
      <c r="I122">
        <v>64.912000000000006</v>
      </c>
      <c r="J122">
        <v>7.9190087264371396E-3</v>
      </c>
      <c r="K122" t="s">
        <v>1148</v>
      </c>
      <c r="L122" t="s">
        <v>1028</v>
      </c>
    </row>
    <row r="123" spans="1:12" x14ac:dyDescent="0.3">
      <c r="A123">
        <v>1.9193585341739101E-2</v>
      </c>
      <c r="B123">
        <v>1.5459188057563401E-2</v>
      </c>
      <c r="C123">
        <v>4.2438786901308999E-2</v>
      </c>
      <c r="D123">
        <v>4.6322155050911397E-2</v>
      </c>
      <c r="E123" t="s">
        <v>1978</v>
      </c>
      <c r="F123" t="s">
        <v>1857</v>
      </c>
      <c r="G123">
        <v>65.59</v>
      </c>
      <c r="H123">
        <v>1.0444910032043399E-2</v>
      </c>
      <c r="I123">
        <v>65.650999999999996</v>
      </c>
      <c r="J123">
        <v>1.13846438254868E-2</v>
      </c>
      <c r="K123" t="s">
        <v>1149</v>
      </c>
      <c r="L123" t="s">
        <v>1028</v>
      </c>
    </row>
    <row r="124" spans="1:12" x14ac:dyDescent="0.3">
      <c r="A124">
        <v>2.6053548554263901E-2</v>
      </c>
      <c r="B124">
        <v>2.8949345820011199E-2</v>
      </c>
      <c r="C124">
        <v>4.7728620369875199E-2</v>
      </c>
      <c r="D124">
        <v>2.6457667912965801E-2</v>
      </c>
      <c r="E124" t="s">
        <v>1979</v>
      </c>
      <c r="F124" t="s">
        <v>1857</v>
      </c>
      <c r="G124">
        <v>66.358999999999995</v>
      </c>
      <c r="H124">
        <v>1.1724348223814501E-2</v>
      </c>
      <c r="I124">
        <v>66.081000000000003</v>
      </c>
      <c r="J124">
        <v>6.5497859895509202E-3</v>
      </c>
      <c r="K124" t="s">
        <v>1150</v>
      </c>
      <c r="L124" t="s">
        <v>1028</v>
      </c>
    </row>
    <row r="125" spans="1:12" x14ac:dyDescent="0.3">
      <c r="A125">
        <v>2.2816932316492001E-2</v>
      </c>
      <c r="B125">
        <v>1.82242710503548E-2</v>
      </c>
      <c r="C125">
        <v>5.7499642478727998E-2</v>
      </c>
      <c r="D125">
        <v>2.3755596803619598E-2</v>
      </c>
      <c r="E125" t="s">
        <v>1980</v>
      </c>
      <c r="F125" t="s">
        <v>1857</v>
      </c>
      <c r="G125">
        <v>67.293000000000006</v>
      </c>
      <c r="H125">
        <v>1.40749559215783E-2</v>
      </c>
      <c r="I125">
        <v>66.47</v>
      </c>
      <c r="J125">
        <v>5.8867147894250396E-3</v>
      </c>
      <c r="K125" t="s">
        <v>1151</v>
      </c>
      <c r="L125" t="s">
        <v>1028</v>
      </c>
    </row>
    <row r="126" spans="1:12" x14ac:dyDescent="0.3">
      <c r="A126">
        <v>2.9937016463394299E-2</v>
      </c>
      <c r="B126">
        <v>6.8223280329673397E-3</v>
      </c>
      <c r="C126">
        <v>5.4456520671492398E-2</v>
      </c>
      <c r="D126">
        <v>2.4902004743710501E-2</v>
      </c>
      <c r="E126" t="s">
        <v>1981</v>
      </c>
      <c r="F126" t="s">
        <v>1857</v>
      </c>
      <c r="G126">
        <v>68.191000000000003</v>
      </c>
      <c r="H126">
        <v>1.33446272272004E-2</v>
      </c>
      <c r="I126">
        <v>66.88</v>
      </c>
      <c r="J126">
        <v>6.16819617872721E-3</v>
      </c>
      <c r="K126" t="s">
        <v>1152</v>
      </c>
      <c r="L126" t="s">
        <v>1028</v>
      </c>
    </row>
    <row r="127" spans="1:12" x14ac:dyDescent="0.3">
      <c r="A127">
        <v>1.8884884410707199E-2</v>
      </c>
      <c r="B127">
        <v>2.1198789662036002E-2</v>
      </c>
      <c r="C127">
        <v>1.7060457300781501E-2</v>
      </c>
      <c r="D127">
        <v>1.0326833438175601E-2</v>
      </c>
      <c r="E127" t="s">
        <v>1982</v>
      </c>
      <c r="F127" t="s">
        <v>1857</v>
      </c>
      <c r="G127">
        <v>68.48</v>
      </c>
      <c r="H127">
        <v>4.2380959364138899E-3</v>
      </c>
      <c r="I127">
        <v>67.052000000000007</v>
      </c>
      <c r="J127">
        <v>2.5717703349283898E-3</v>
      </c>
      <c r="K127" t="s">
        <v>1153</v>
      </c>
      <c r="L127" t="s">
        <v>1028</v>
      </c>
    </row>
    <row r="128" spans="1:12" x14ac:dyDescent="0.3">
      <c r="A128">
        <v>2.0085104332627801E-3</v>
      </c>
      <c r="B128">
        <v>2.5873085754739799E-2</v>
      </c>
      <c r="C128">
        <v>1.0084643678167899E-2</v>
      </c>
      <c r="D128">
        <v>1.25865662000337E-2</v>
      </c>
      <c r="E128" t="s">
        <v>1983</v>
      </c>
      <c r="F128" t="s">
        <v>1857</v>
      </c>
      <c r="G128">
        <v>68.652000000000001</v>
      </c>
      <c r="H128">
        <v>2.5116822429906999E-3</v>
      </c>
      <c r="I128">
        <v>67.262</v>
      </c>
      <c r="J128">
        <v>3.1318976316887502E-3</v>
      </c>
      <c r="K128" t="s">
        <v>1154</v>
      </c>
      <c r="L128" t="s">
        <v>1028</v>
      </c>
    </row>
    <row r="129" spans="1:12" x14ac:dyDescent="0.3">
      <c r="A129">
        <v>1.65597149400032E-3</v>
      </c>
      <c r="B129">
        <v>2.61448943379867E-2</v>
      </c>
      <c r="C129">
        <v>4.4939487008062197E-3</v>
      </c>
      <c r="D129">
        <v>2.16417401943385E-2</v>
      </c>
      <c r="E129" t="s">
        <v>1984</v>
      </c>
      <c r="F129" t="s">
        <v>1857</v>
      </c>
      <c r="G129">
        <v>68.728999999999999</v>
      </c>
      <c r="H129">
        <v>1.1215987880905901E-3</v>
      </c>
      <c r="I129">
        <v>67.623000000000005</v>
      </c>
      <c r="J129">
        <v>5.3670720466236803E-3</v>
      </c>
      <c r="K129" t="s">
        <v>1155</v>
      </c>
      <c r="L129" t="s">
        <v>1028</v>
      </c>
    </row>
    <row r="130" spans="1:12" x14ac:dyDescent="0.3">
      <c r="A130">
        <v>8.0448095256371293E-3</v>
      </c>
      <c r="B130">
        <v>2.6192779718551499E-2</v>
      </c>
      <c r="C130">
        <v>2.6210777008154801E-2</v>
      </c>
      <c r="D130">
        <v>1.77439998941584E-2</v>
      </c>
      <c r="E130" t="s">
        <v>1985</v>
      </c>
      <c r="F130" t="s">
        <v>1857</v>
      </c>
      <c r="G130">
        <v>69.174999999999997</v>
      </c>
      <c r="H130">
        <v>6.4892548996784401E-3</v>
      </c>
      <c r="I130">
        <v>67.921000000000006</v>
      </c>
      <c r="J130">
        <v>4.4067846738535801E-3</v>
      </c>
      <c r="K130" t="s">
        <v>1156</v>
      </c>
      <c r="L130" t="s">
        <v>1028</v>
      </c>
    </row>
    <row r="131" spans="1:12" x14ac:dyDescent="0.3">
      <c r="A131">
        <v>2.9998743908273201E-2</v>
      </c>
      <c r="B131">
        <v>3.8349371649444103E-2</v>
      </c>
      <c r="C131">
        <v>3.99637104830428E-2</v>
      </c>
      <c r="D131">
        <v>2.19088618142655E-2</v>
      </c>
      <c r="E131" t="s">
        <v>1986</v>
      </c>
      <c r="F131" t="s">
        <v>1857</v>
      </c>
      <c r="G131">
        <v>69.855999999999995</v>
      </c>
      <c r="H131">
        <v>9.8445970365015293E-3</v>
      </c>
      <c r="I131">
        <v>68.290000000000006</v>
      </c>
      <c r="J131">
        <v>5.4327822028532599E-3</v>
      </c>
      <c r="K131" t="s">
        <v>1157</v>
      </c>
      <c r="L131" t="s">
        <v>1028</v>
      </c>
    </row>
    <row r="132" spans="1:12" x14ac:dyDescent="0.3">
      <c r="A132">
        <v>2.0869776308943801E-2</v>
      </c>
      <c r="B132">
        <v>3.4801584391165798E-2</v>
      </c>
      <c r="C132">
        <v>3.3157579483975103E-2</v>
      </c>
      <c r="D132">
        <v>1.23573378485025E-2</v>
      </c>
      <c r="E132" t="s">
        <v>1987</v>
      </c>
      <c r="F132" t="s">
        <v>1857</v>
      </c>
      <c r="G132">
        <v>70.427999999999997</v>
      </c>
      <c r="H132">
        <v>8.1882730187814393E-3</v>
      </c>
      <c r="I132">
        <v>68.5</v>
      </c>
      <c r="J132">
        <v>3.07512080831729E-3</v>
      </c>
      <c r="K132" t="s">
        <v>1158</v>
      </c>
      <c r="L132" t="s">
        <v>1028</v>
      </c>
    </row>
    <row r="133" spans="1:12" x14ac:dyDescent="0.3">
      <c r="A133">
        <v>1.8806157080279301E-2</v>
      </c>
      <c r="B133">
        <v>7.6203068975526894E-2</v>
      </c>
      <c r="C133">
        <v>4.04120889716926E-2</v>
      </c>
      <c r="D133">
        <v>6.9083360828583497E-3</v>
      </c>
      <c r="E133" t="s">
        <v>1988</v>
      </c>
      <c r="F133" t="s">
        <v>1857</v>
      </c>
      <c r="G133">
        <v>71.129000000000005</v>
      </c>
      <c r="H133">
        <v>9.9534276140171903E-3</v>
      </c>
      <c r="I133">
        <v>68.617999999999995</v>
      </c>
      <c r="J133">
        <v>1.7226277372262E-3</v>
      </c>
      <c r="K133" t="s">
        <v>1159</v>
      </c>
      <c r="L133" t="s">
        <v>1028</v>
      </c>
    </row>
    <row r="134" spans="1:12" x14ac:dyDescent="0.3">
      <c r="A134">
        <v>3.0939531110064901E-2</v>
      </c>
      <c r="B134">
        <v>4.5343406532494003E-2</v>
      </c>
      <c r="C134">
        <v>6.4192818314913899E-2</v>
      </c>
      <c r="D134">
        <v>3.35839967225895E-2</v>
      </c>
      <c r="E134" t="s">
        <v>1989</v>
      </c>
      <c r="F134" t="s">
        <v>1857</v>
      </c>
      <c r="G134">
        <v>72.244</v>
      </c>
      <c r="H134">
        <v>1.5675744070632099E-2</v>
      </c>
      <c r="I134">
        <v>69.186999999999998</v>
      </c>
      <c r="J134">
        <v>8.2922848232243104E-3</v>
      </c>
      <c r="K134" t="s">
        <v>1160</v>
      </c>
      <c r="L134" t="s">
        <v>1028</v>
      </c>
    </row>
    <row r="135" spans="1:12" x14ac:dyDescent="0.3">
      <c r="A135">
        <v>4.0077661469082298E-3</v>
      </c>
      <c r="B135">
        <v>2.8726975579467701E-2</v>
      </c>
      <c r="C135">
        <v>2.60483280529056E-3</v>
      </c>
      <c r="D135">
        <v>4.1691340309692997E-3</v>
      </c>
      <c r="E135" t="s">
        <v>1990</v>
      </c>
      <c r="F135" t="s">
        <v>1857</v>
      </c>
      <c r="G135">
        <v>72.290999999999997</v>
      </c>
      <c r="H135">
        <v>6.5057305797022703E-4</v>
      </c>
      <c r="I135">
        <v>69.259</v>
      </c>
      <c r="J135">
        <v>1.0406579270672001E-3</v>
      </c>
      <c r="K135" t="s">
        <v>1161</v>
      </c>
      <c r="L135" t="s">
        <v>1028</v>
      </c>
    </row>
    <row r="136" spans="1:12" x14ac:dyDescent="0.3">
      <c r="A136">
        <v>2.6637470683258401E-2</v>
      </c>
      <c r="B136">
        <v>3.6701160751028999E-2</v>
      </c>
      <c r="C136">
        <v>3.2537484109284899E-2</v>
      </c>
      <c r="D136">
        <v>5.0920666130191998E-3</v>
      </c>
      <c r="E136" t="s">
        <v>1991</v>
      </c>
      <c r="F136" t="s">
        <v>1857</v>
      </c>
      <c r="G136">
        <v>72.872</v>
      </c>
      <c r="H136">
        <v>8.0369617241426994E-3</v>
      </c>
      <c r="I136">
        <v>69.346999999999994</v>
      </c>
      <c r="J136">
        <v>1.2705929915244299E-3</v>
      </c>
      <c r="K136" t="s">
        <v>1162</v>
      </c>
      <c r="L136" t="s">
        <v>1028</v>
      </c>
    </row>
    <row r="137" spans="1:12" x14ac:dyDescent="0.3">
      <c r="A137">
        <v>1.9809591582912799E-2</v>
      </c>
      <c r="B137">
        <v>3.0297839189273201E-2</v>
      </c>
      <c r="C137">
        <v>3.6723057880070603E-2</v>
      </c>
      <c r="D137">
        <v>1.11208187291489E-2</v>
      </c>
      <c r="E137" t="s">
        <v>1992</v>
      </c>
      <c r="F137" t="s">
        <v>1857</v>
      </c>
      <c r="G137">
        <v>73.531999999999996</v>
      </c>
      <c r="H137">
        <v>9.0569766165331505E-3</v>
      </c>
      <c r="I137">
        <v>69.539000000000001</v>
      </c>
      <c r="J137">
        <v>2.7686850188184402E-3</v>
      </c>
      <c r="K137" t="s">
        <v>1163</v>
      </c>
      <c r="L137" t="s">
        <v>1028</v>
      </c>
    </row>
    <row r="138" spans="1:12" x14ac:dyDescent="0.3">
      <c r="A138">
        <v>3.1204615634115699E-2</v>
      </c>
      <c r="B138">
        <v>3.4471201135703997E-2</v>
      </c>
      <c r="C138">
        <v>5.7672124037001303E-2</v>
      </c>
      <c r="D138">
        <v>2.6313046913832801E-2</v>
      </c>
      <c r="E138" t="s">
        <v>1993</v>
      </c>
      <c r="F138" t="s">
        <v>1857</v>
      </c>
      <c r="G138">
        <v>74.569999999999993</v>
      </c>
      <c r="H138">
        <v>1.41163031061307E-2</v>
      </c>
      <c r="I138">
        <v>69.992000000000004</v>
      </c>
      <c r="J138">
        <v>6.5143300881520504E-3</v>
      </c>
      <c r="K138" t="s">
        <v>1164</v>
      </c>
      <c r="L138" t="s">
        <v>1028</v>
      </c>
    </row>
    <row r="139" spans="1:12" x14ac:dyDescent="0.3">
      <c r="A139">
        <v>2.7200294389546201E-2</v>
      </c>
      <c r="B139">
        <v>3.5181669062461299E-2</v>
      </c>
      <c r="C139">
        <v>5.42271951092188E-2</v>
      </c>
      <c r="D139">
        <v>7.5544557477534205E-2</v>
      </c>
      <c r="E139" t="s">
        <v>1994</v>
      </c>
      <c r="F139" t="s">
        <v>1857</v>
      </c>
      <c r="G139">
        <v>75.561000000000007</v>
      </c>
      <c r="H139">
        <v>1.3289526619284101E-2</v>
      </c>
      <c r="I139">
        <v>71.278000000000006</v>
      </c>
      <c r="J139">
        <v>1.8373528403245999E-2</v>
      </c>
      <c r="K139" t="s">
        <v>1165</v>
      </c>
      <c r="L139" t="s">
        <v>1028</v>
      </c>
    </row>
    <row r="140" spans="1:12" x14ac:dyDescent="0.3">
      <c r="A140">
        <v>1.9813936050087699E-2</v>
      </c>
      <c r="B140">
        <v>3.71188179062025E-2</v>
      </c>
      <c r="C140">
        <v>5.5705667373545202E-2</v>
      </c>
      <c r="D140">
        <v>0.112118604043563</v>
      </c>
      <c r="E140" t="s">
        <v>1995</v>
      </c>
      <c r="F140" t="s">
        <v>1857</v>
      </c>
      <c r="G140">
        <v>76.591999999999999</v>
      </c>
      <c r="H140">
        <v>1.3644605021108799E-2</v>
      </c>
      <c r="I140">
        <v>73.197000000000003</v>
      </c>
      <c r="J140">
        <v>2.6922753163668899E-2</v>
      </c>
      <c r="K140" t="s">
        <v>1166</v>
      </c>
      <c r="L140" t="s">
        <v>1028</v>
      </c>
    </row>
    <row r="141" spans="1:12" x14ac:dyDescent="0.3">
      <c r="A141">
        <v>3.4620969363609901E-2</v>
      </c>
      <c r="B141">
        <v>3.9499400752586601E-2</v>
      </c>
      <c r="C141">
        <v>6.4048552869122796E-2</v>
      </c>
      <c r="D141">
        <v>9.9586266592777403E-2</v>
      </c>
      <c r="E141" t="s">
        <v>1996</v>
      </c>
      <c r="F141" t="s">
        <v>1857</v>
      </c>
      <c r="G141">
        <v>77.790000000000006</v>
      </c>
      <c r="H141">
        <v>1.5641320242323099E-2</v>
      </c>
      <c r="I141">
        <v>74.954999999999998</v>
      </c>
      <c r="J141">
        <v>2.4017377761383699E-2</v>
      </c>
      <c r="K141" t="s">
        <v>1167</v>
      </c>
      <c r="L141" t="s">
        <v>1028</v>
      </c>
    </row>
    <row r="142" spans="1:12" x14ac:dyDescent="0.3">
      <c r="A142">
        <v>2.34535899973984E-2</v>
      </c>
      <c r="B142">
        <v>5.3706890981395999E-2</v>
      </c>
      <c r="C142">
        <v>3.69057460702173E-2</v>
      </c>
      <c r="D142">
        <v>3.4210597371460802E-2</v>
      </c>
      <c r="E142" t="s">
        <v>1997</v>
      </c>
      <c r="F142" t="s">
        <v>1857</v>
      </c>
      <c r="G142">
        <v>78.498000000000005</v>
      </c>
      <c r="H142">
        <v>9.1014269186271406E-3</v>
      </c>
      <c r="I142">
        <v>75.587999999999994</v>
      </c>
      <c r="J142">
        <v>8.4450670402240694E-3</v>
      </c>
      <c r="K142" t="s">
        <v>1168</v>
      </c>
      <c r="L142" t="s">
        <v>1028</v>
      </c>
    </row>
    <row r="143" spans="1:12" x14ac:dyDescent="0.3">
      <c r="A143">
        <v>2.5499802950129401E-2</v>
      </c>
      <c r="B143">
        <v>3.6566859174503898E-2</v>
      </c>
      <c r="C143">
        <v>4.6392177019789503E-2</v>
      </c>
      <c r="D143">
        <v>7.7400259900339399E-2</v>
      </c>
      <c r="E143" t="s">
        <v>1998</v>
      </c>
      <c r="F143" t="s">
        <v>1857</v>
      </c>
      <c r="G143">
        <v>79.393000000000001</v>
      </c>
      <c r="H143">
        <v>1.14015643710668E-2</v>
      </c>
      <c r="I143">
        <v>77.010000000000005</v>
      </c>
      <c r="J143">
        <v>1.8812509922210102E-2</v>
      </c>
      <c r="K143" t="s">
        <v>1169</v>
      </c>
      <c r="L143" t="s">
        <v>1028</v>
      </c>
    </row>
    <row r="144" spans="1:12" x14ac:dyDescent="0.3">
      <c r="A144">
        <v>4.3914132970667798E-2</v>
      </c>
      <c r="B144">
        <v>4.2425430776049898E-2</v>
      </c>
      <c r="C144">
        <v>5.93159029125543E-2</v>
      </c>
      <c r="D144">
        <v>9.2099438138909306E-2</v>
      </c>
      <c r="E144" t="s">
        <v>1999</v>
      </c>
      <c r="F144" t="s">
        <v>1857</v>
      </c>
      <c r="G144">
        <v>80.545000000000002</v>
      </c>
      <c r="H144">
        <v>1.45100953484565E-2</v>
      </c>
      <c r="I144">
        <v>78.724999999999994</v>
      </c>
      <c r="J144">
        <v>2.2269835086352399E-2</v>
      </c>
      <c r="K144" t="s">
        <v>1170</v>
      </c>
      <c r="L144" t="s">
        <v>1028</v>
      </c>
    </row>
    <row r="145" spans="1:12" x14ac:dyDescent="0.3">
      <c r="A145">
        <v>3.2225013743436802E-2</v>
      </c>
      <c r="B145">
        <v>2.9052051363888599E-2</v>
      </c>
      <c r="C145">
        <v>6.9322056053448003E-2</v>
      </c>
      <c r="D145">
        <v>5.6967190258747399E-2</v>
      </c>
      <c r="E145" t="s">
        <v>2000</v>
      </c>
      <c r="F145" t="s">
        <v>1857</v>
      </c>
      <c r="G145">
        <v>81.906000000000006</v>
      </c>
      <c r="H145">
        <v>1.68973865541002E-2</v>
      </c>
      <c r="I145">
        <v>79.822999999999993</v>
      </c>
      <c r="J145">
        <v>1.39472848523341E-2</v>
      </c>
      <c r="K145" t="s">
        <v>1171</v>
      </c>
      <c r="L145" t="s">
        <v>1028</v>
      </c>
    </row>
    <row r="146" spans="1:12" x14ac:dyDescent="0.3">
      <c r="A146">
        <v>2.0935342800184199E-2</v>
      </c>
      <c r="B146">
        <v>3.4093201961780999E-2</v>
      </c>
      <c r="C146">
        <v>2.9725271896635399E-2</v>
      </c>
      <c r="D146">
        <v>2.50876168066392E-2</v>
      </c>
      <c r="E146" t="s">
        <v>2001</v>
      </c>
      <c r="F146" t="s">
        <v>1857</v>
      </c>
      <c r="G146">
        <v>82.507999999999996</v>
      </c>
      <c r="H146">
        <v>7.3498888970282604E-3</v>
      </c>
      <c r="I146">
        <v>80.319000000000003</v>
      </c>
      <c r="J146">
        <v>6.2137479172670301E-3</v>
      </c>
      <c r="K146" t="s">
        <v>1172</v>
      </c>
      <c r="L146" t="s">
        <v>1028</v>
      </c>
    </row>
    <row r="147" spans="1:12" x14ac:dyDescent="0.3">
      <c r="A147">
        <v>3.5555363218846101E-2</v>
      </c>
      <c r="B147">
        <v>2.8135458399094499E-2</v>
      </c>
      <c r="C147">
        <v>5.61203132204302E-2</v>
      </c>
      <c r="D147">
        <v>9.1105361450751501E-2</v>
      </c>
      <c r="E147" t="s">
        <v>2002</v>
      </c>
      <c r="F147" t="s">
        <v>1857</v>
      </c>
      <c r="G147">
        <v>83.641999999999996</v>
      </c>
      <c r="H147">
        <v>1.37441217821301E-2</v>
      </c>
      <c r="I147">
        <v>82.088999999999999</v>
      </c>
      <c r="J147">
        <v>2.20371269562618E-2</v>
      </c>
      <c r="K147" t="s">
        <v>1173</v>
      </c>
      <c r="L147" t="s">
        <v>1028</v>
      </c>
    </row>
    <row r="148" spans="1:12" x14ac:dyDescent="0.3">
      <c r="A148">
        <v>2.9090990484891902E-2</v>
      </c>
      <c r="B148">
        <v>2.9966625510563099E-2</v>
      </c>
      <c r="C148">
        <v>3.6843754178801799E-2</v>
      </c>
      <c r="D148">
        <v>5.6869734933791702E-2</v>
      </c>
      <c r="E148" t="s">
        <v>2003</v>
      </c>
      <c r="F148" t="s">
        <v>1857</v>
      </c>
      <c r="G148">
        <v>84.402000000000001</v>
      </c>
      <c r="H148">
        <v>9.0863441811530592E-3</v>
      </c>
      <c r="I148">
        <v>83.231999999999999</v>
      </c>
      <c r="J148">
        <v>1.39239118517707E-2</v>
      </c>
      <c r="K148" t="s">
        <v>1174</v>
      </c>
      <c r="L148" t="s">
        <v>1028</v>
      </c>
    </row>
    <row r="149" spans="1:12" x14ac:dyDescent="0.3">
      <c r="A149">
        <v>-6.5707467210734897E-3</v>
      </c>
      <c r="B149">
        <v>2.09838687014814E-2</v>
      </c>
      <c r="C149">
        <v>3.0338463665483501E-2</v>
      </c>
      <c r="D149">
        <v>9.7213617262259494E-2</v>
      </c>
      <c r="E149" t="s">
        <v>2004</v>
      </c>
      <c r="F149" t="s">
        <v>1857</v>
      </c>
      <c r="G149">
        <v>85.034999999999997</v>
      </c>
      <c r="H149">
        <v>7.4998222790929603E-3</v>
      </c>
      <c r="I149">
        <v>85.185000000000002</v>
      </c>
      <c r="J149">
        <v>2.34645328719723E-2</v>
      </c>
      <c r="K149" t="s">
        <v>1175</v>
      </c>
      <c r="L149" t="s">
        <v>1028</v>
      </c>
    </row>
    <row r="150" spans="1:12" x14ac:dyDescent="0.3">
      <c r="A150">
        <v>3.7059917165470399E-2</v>
      </c>
      <c r="B150">
        <v>3.4651107406359301E-2</v>
      </c>
      <c r="C150">
        <v>7.2299496950969405E-2</v>
      </c>
      <c r="D150">
        <v>0.104792955269219</v>
      </c>
      <c r="E150" t="s">
        <v>2005</v>
      </c>
      <c r="F150" t="s">
        <v>1857</v>
      </c>
      <c r="G150">
        <v>86.531999999999996</v>
      </c>
      <c r="H150">
        <v>1.7604515787616799E-2</v>
      </c>
      <c r="I150">
        <v>87.334000000000003</v>
      </c>
      <c r="J150">
        <v>2.5227446146622E-2</v>
      </c>
      <c r="K150" t="s">
        <v>1176</v>
      </c>
      <c r="L150" t="s">
        <v>1028</v>
      </c>
    </row>
    <row r="151" spans="1:12" x14ac:dyDescent="0.3">
      <c r="A151">
        <v>3.4406916686266602E-2</v>
      </c>
      <c r="B151">
        <v>3.2361806516408201E-2</v>
      </c>
      <c r="C151">
        <v>4.4022069506022297E-2</v>
      </c>
      <c r="D151">
        <v>4.2476788274359099E-2</v>
      </c>
      <c r="E151" t="s">
        <v>2006</v>
      </c>
      <c r="F151" t="s">
        <v>1857</v>
      </c>
      <c r="G151">
        <v>87.468999999999994</v>
      </c>
      <c r="H151">
        <v>1.0828364073406401E-2</v>
      </c>
      <c r="I151">
        <v>88.247</v>
      </c>
      <c r="J151">
        <v>1.0454118670849799E-2</v>
      </c>
      <c r="K151" t="s">
        <v>1177</v>
      </c>
      <c r="L151" t="s">
        <v>1028</v>
      </c>
    </row>
    <row r="152" spans="1:12" x14ac:dyDescent="0.3">
      <c r="A152">
        <v>2.2795387185985401E-2</v>
      </c>
      <c r="B152">
        <v>2.78463672712683E-2</v>
      </c>
      <c r="C152">
        <v>4.5480126137950501E-2</v>
      </c>
      <c r="D152">
        <v>3.9088464000031499E-2</v>
      </c>
      <c r="E152" t="s">
        <v>2007</v>
      </c>
      <c r="F152" t="s">
        <v>1857</v>
      </c>
      <c r="G152">
        <v>88.447000000000003</v>
      </c>
      <c r="H152">
        <v>1.11811041626177E-2</v>
      </c>
      <c r="I152">
        <v>89.096999999999994</v>
      </c>
      <c r="J152">
        <v>9.6320554806394992E-3</v>
      </c>
      <c r="K152" t="s">
        <v>1178</v>
      </c>
      <c r="L152" t="s">
        <v>1028</v>
      </c>
    </row>
    <row r="153" spans="1:12" x14ac:dyDescent="0.3">
      <c r="A153">
        <v>4.1308326629664098E-2</v>
      </c>
      <c r="B153">
        <v>3.2459146974833902E-2</v>
      </c>
      <c r="C153">
        <v>6.2039731527971001E-2</v>
      </c>
      <c r="D153">
        <v>4.7886506250196997E-2</v>
      </c>
      <c r="E153" t="s">
        <v>2008</v>
      </c>
      <c r="F153" t="s">
        <v>1857</v>
      </c>
      <c r="G153">
        <v>89.787999999999997</v>
      </c>
      <c r="H153">
        <v>1.51616222144335E-2</v>
      </c>
      <c r="I153">
        <v>90.144999999999996</v>
      </c>
      <c r="J153">
        <v>1.1762461137861099E-2</v>
      </c>
      <c r="K153" t="s">
        <v>1179</v>
      </c>
      <c r="L153" t="s">
        <v>1028</v>
      </c>
    </row>
    <row r="154" spans="1:12" x14ac:dyDescent="0.3">
      <c r="A154">
        <v>3.2954987594988598E-2</v>
      </c>
      <c r="B154">
        <v>3.4144429632388298E-2</v>
      </c>
      <c r="C154">
        <v>7.23147883586404E-2</v>
      </c>
      <c r="D154">
        <v>3.8436409888859401E-2</v>
      </c>
      <c r="E154" t="s">
        <v>2009</v>
      </c>
      <c r="F154" t="s">
        <v>1857</v>
      </c>
      <c r="G154">
        <v>91.369</v>
      </c>
      <c r="H154">
        <v>1.7608143627210901E-2</v>
      </c>
      <c r="I154">
        <v>90.998999999999995</v>
      </c>
      <c r="J154">
        <v>9.4736258250596207E-3</v>
      </c>
      <c r="K154" t="s">
        <v>1180</v>
      </c>
      <c r="L154" t="s">
        <v>1028</v>
      </c>
    </row>
    <row r="155" spans="1:12" x14ac:dyDescent="0.3">
      <c r="A155">
        <v>3.9493950261418401E-2</v>
      </c>
      <c r="B155">
        <v>4.1602053152730099E-2</v>
      </c>
      <c r="C155">
        <v>6.3263019462217004E-2</v>
      </c>
      <c r="D155">
        <v>3.1126430511134499E-2</v>
      </c>
      <c r="E155" t="s">
        <v>2010</v>
      </c>
      <c r="F155" t="s">
        <v>1857</v>
      </c>
      <c r="G155">
        <v>92.781000000000006</v>
      </c>
      <c r="H155">
        <v>1.5453819129026301E-2</v>
      </c>
      <c r="I155">
        <v>91.698999999999998</v>
      </c>
      <c r="J155">
        <v>7.6923922240903497E-3</v>
      </c>
      <c r="K155" t="s">
        <v>1181</v>
      </c>
      <c r="L155" t="s">
        <v>1028</v>
      </c>
    </row>
    <row r="156" spans="1:12" x14ac:dyDescent="0.3">
      <c r="A156">
        <v>4.3386852489040402E-2</v>
      </c>
      <c r="B156">
        <v>3.03408157550791E-2</v>
      </c>
      <c r="C156">
        <v>5.52136316684275E-2</v>
      </c>
      <c r="D156">
        <v>5.2701497522020399E-2</v>
      </c>
      <c r="E156" t="s">
        <v>2011</v>
      </c>
      <c r="F156" t="s">
        <v>1857</v>
      </c>
      <c r="G156">
        <v>94.036000000000001</v>
      </c>
      <c r="H156">
        <v>1.35264763259719E-2</v>
      </c>
      <c r="I156">
        <v>92.884</v>
      </c>
      <c r="J156">
        <v>1.29227145334192E-2</v>
      </c>
      <c r="K156" t="s">
        <v>1182</v>
      </c>
      <c r="L156" t="s">
        <v>1028</v>
      </c>
    </row>
    <row r="157" spans="1:12" x14ac:dyDescent="0.3">
      <c r="A157">
        <v>-6.2360196436278902E-2</v>
      </c>
      <c r="B157">
        <v>-1.8917326805224201E-2</v>
      </c>
      <c r="C157">
        <v>-7.4155067193705196E-2</v>
      </c>
      <c r="D157">
        <v>7.5335045349203197E-2</v>
      </c>
      <c r="E157" t="s">
        <v>2012</v>
      </c>
      <c r="F157" t="s">
        <v>1857</v>
      </c>
      <c r="G157">
        <v>92.242000000000004</v>
      </c>
      <c r="H157">
        <v>-1.9077799991492599E-2</v>
      </c>
      <c r="I157">
        <v>94.585999999999999</v>
      </c>
      <c r="J157">
        <v>1.8323930924594199E-2</v>
      </c>
      <c r="K157" t="s">
        <v>1183</v>
      </c>
      <c r="L157" t="s">
        <v>1028</v>
      </c>
    </row>
    <row r="158" spans="1:12" x14ac:dyDescent="0.3">
      <c r="A158">
        <v>-2.6731212813050201E-2</v>
      </c>
      <c r="B158">
        <v>-3.3135327897025703E-2</v>
      </c>
      <c r="C158">
        <v>-6.8462037949067106E-2</v>
      </c>
      <c r="D158">
        <v>2.5185264843212301E-2</v>
      </c>
      <c r="E158" t="s">
        <v>2013</v>
      </c>
      <c r="F158" t="s">
        <v>1857</v>
      </c>
      <c r="G158">
        <v>90.620999999999995</v>
      </c>
      <c r="H158">
        <v>-1.7573339693415201E-2</v>
      </c>
      <c r="I158">
        <v>95.176000000000002</v>
      </c>
      <c r="J158">
        <v>6.2377095976149403E-3</v>
      </c>
      <c r="K158" t="s">
        <v>1184</v>
      </c>
      <c r="L158" t="s">
        <v>1028</v>
      </c>
    </row>
    <row r="159" spans="1:12" x14ac:dyDescent="0.3">
      <c r="A159">
        <v>1.6004255010514602E-2</v>
      </c>
      <c r="B159">
        <v>7.2471101838833497E-4</v>
      </c>
      <c r="C159">
        <v>1.9832196265286098E-2</v>
      </c>
      <c r="D159">
        <v>-3.4674689642026801E-2</v>
      </c>
      <c r="E159" t="s">
        <v>2014</v>
      </c>
      <c r="F159" t="s">
        <v>1857</v>
      </c>
      <c r="G159">
        <v>91.066999999999993</v>
      </c>
      <c r="H159">
        <v>4.9215965394333603E-3</v>
      </c>
      <c r="I159">
        <v>94.34</v>
      </c>
      <c r="J159">
        <v>-8.7837269899974108E-3</v>
      </c>
      <c r="K159" t="s">
        <v>1185</v>
      </c>
      <c r="L159" t="s">
        <v>1028</v>
      </c>
    </row>
    <row r="160" spans="1:12" x14ac:dyDescent="0.3">
      <c r="A160">
        <v>2.78350080421834E-2</v>
      </c>
      <c r="B160">
        <v>1.22854862155337E-2</v>
      </c>
      <c r="C160">
        <v>3.47933032481611E-2</v>
      </c>
      <c r="D160">
        <v>-3.55556982427905E-2</v>
      </c>
      <c r="E160" t="s">
        <v>2015</v>
      </c>
      <c r="F160" t="s">
        <v>1857</v>
      </c>
      <c r="G160">
        <v>91.849000000000004</v>
      </c>
      <c r="H160">
        <v>8.5870842346844594E-3</v>
      </c>
      <c r="I160">
        <v>93.49</v>
      </c>
      <c r="J160">
        <v>-9.0099639601441996E-3</v>
      </c>
      <c r="K160" t="s">
        <v>1186</v>
      </c>
      <c r="L160" t="s">
        <v>1028</v>
      </c>
    </row>
    <row r="161" spans="1:12" x14ac:dyDescent="0.3">
      <c r="A161">
        <v>3.1240948480233E-2</v>
      </c>
      <c r="B161">
        <v>3.11127095791379E-2</v>
      </c>
      <c r="C161">
        <v>3.76238534925952E-2</v>
      </c>
      <c r="D161">
        <v>-3.0769865450653898E-3</v>
      </c>
      <c r="E161" t="s">
        <v>2016</v>
      </c>
      <c r="F161" t="s">
        <v>1857</v>
      </c>
      <c r="G161">
        <v>92.700999999999993</v>
      </c>
      <c r="H161">
        <v>9.2760944593843798E-3</v>
      </c>
      <c r="I161">
        <v>93.418000000000006</v>
      </c>
      <c r="J161">
        <v>-7.7013584340557305E-4</v>
      </c>
      <c r="K161" t="s">
        <v>1187</v>
      </c>
      <c r="L161" t="s">
        <v>1028</v>
      </c>
    </row>
    <row r="162" spans="1:12" x14ac:dyDescent="0.3">
      <c r="A162">
        <v>1.5538458112328299E-2</v>
      </c>
      <c r="B162">
        <v>2.5706833981413501E-2</v>
      </c>
      <c r="C162">
        <v>4.6975487060338501E-2</v>
      </c>
      <c r="D162">
        <v>1.13952226394907E-2</v>
      </c>
      <c r="E162" t="s">
        <v>2017</v>
      </c>
      <c r="F162" t="s">
        <v>1857</v>
      </c>
      <c r="G162">
        <v>93.771000000000001</v>
      </c>
      <c r="H162">
        <v>1.15424860573241E-2</v>
      </c>
      <c r="I162">
        <v>93.683000000000007</v>
      </c>
      <c r="J162">
        <v>2.8367124108843499E-3</v>
      </c>
      <c r="K162" t="s">
        <v>1188</v>
      </c>
      <c r="L162" t="s">
        <v>1028</v>
      </c>
    </row>
    <row r="163" spans="1:12" x14ac:dyDescent="0.3">
      <c r="A163">
        <v>6.2204942357442202E-3</v>
      </c>
      <c r="B163">
        <v>3.1017939025557401E-2</v>
      </c>
      <c r="C163">
        <v>2.9062361366274402E-2</v>
      </c>
      <c r="D163">
        <v>1.7491325837778699E-2</v>
      </c>
      <c r="E163" t="s">
        <v>2018</v>
      </c>
      <c r="F163" t="s">
        <v>1857</v>
      </c>
      <c r="G163">
        <v>94.444999999999993</v>
      </c>
      <c r="H163">
        <v>7.18772328331774E-3</v>
      </c>
      <c r="I163">
        <v>94.09</v>
      </c>
      <c r="J163">
        <v>4.3444381584705196E-3</v>
      </c>
      <c r="K163" t="s">
        <v>1189</v>
      </c>
      <c r="L163" t="s">
        <v>1028</v>
      </c>
    </row>
    <row r="164" spans="1:12" x14ac:dyDescent="0.3">
      <c r="A164">
        <v>7.72594376628044E-3</v>
      </c>
      <c r="B164">
        <v>1.59750935835106E-2</v>
      </c>
      <c r="C164">
        <v>2.3067349052007899E-2</v>
      </c>
      <c r="D164">
        <v>1.2643202128826501E-2</v>
      </c>
      <c r="E164" t="s">
        <v>2019</v>
      </c>
      <c r="F164" t="s">
        <v>1857</v>
      </c>
      <c r="G164">
        <v>94.984999999999999</v>
      </c>
      <c r="H164">
        <v>5.7176134258034601E-3</v>
      </c>
      <c r="I164">
        <v>94.385999999999996</v>
      </c>
      <c r="J164">
        <v>3.1459241152087501E-3</v>
      </c>
      <c r="K164" t="s">
        <v>1190</v>
      </c>
      <c r="L164" t="s">
        <v>1028</v>
      </c>
    </row>
    <row r="165" spans="1:12" x14ac:dyDescent="0.3">
      <c r="A165">
        <v>2.5862689650447499E-2</v>
      </c>
      <c r="B165">
        <v>3.29452826155043E-2</v>
      </c>
      <c r="C165">
        <v>3.7879756208726099E-2</v>
      </c>
      <c r="D165">
        <v>1.8090208281751299E-2</v>
      </c>
      <c r="E165" t="s">
        <v>2020</v>
      </c>
      <c r="F165" t="s">
        <v>1857</v>
      </c>
      <c r="G165">
        <v>95.872</v>
      </c>
      <c r="H165">
        <v>9.3383165763014607E-3</v>
      </c>
      <c r="I165">
        <v>94.81</v>
      </c>
      <c r="J165">
        <v>4.4921916385904899E-3</v>
      </c>
      <c r="K165" t="s">
        <v>1191</v>
      </c>
      <c r="L165" t="s">
        <v>1028</v>
      </c>
    </row>
    <row r="166" spans="1:12" x14ac:dyDescent="0.3">
      <c r="A166">
        <v>3.4016266815046298E-2</v>
      </c>
      <c r="B166">
        <v>3.64259738306612E-2</v>
      </c>
      <c r="C166">
        <v>4.5137017344844002E-2</v>
      </c>
      <c r="D166">
        <v>2.4394704867924499E-2</v>
      </c>
      <c r="E166" t="s">
        <v>2021</v>
      </c>
      <c r="F166" t="s">
        <v>1857</v>
      </c>
      <c r="G166">
        <v>96.936000000000007</v>
      </c>
      <c r="H166">
        <v>1.10981308411215E-2</v>
      </c>
      <c r="I166">
        <v>95.382999999999996</v>
      </c>
      <c r="J166">
        <v>6.0436662799281402E-3</v>
      </c>
      <c r="K166" t="s">
        <v>1192</v>
      </c>
      <c r="L166" t="s">
        <v>1028</v>
      </c>
    </row>
    <row r="167" spans="1:12" x14ac:dyDescent="0.3">
      <c r="A167">
        <v>3.9906323464895102E-2</v>
      </c>
      <c r="B167">
        <v>3.6682670107609103E-2</v>
      </c>
      <c r="C167">
        <v>5.0829697512543702E-2</v>
      </c>
      <c r="D167">
        <v>4.1043493786856698E-2</v>
      </c>
      <c r="E167" t="s">
        <v>2022</v>
      </c>
      <c r="F167" t="s">
        <v>1857</v>
      </c>
      <c r="G167">
        <v>98.144999999999996</v>
      </c>
      <c r="H167">
        <v>1.24721465709332E-2</v>
      </c>
      <c r="I167">
        <v>96.346999999999994</v>
      </c>
      <c r="J167">
        <v>1.01066227734501E-2</v>
      </c>
      <c r="K167" t="s">
        <v>1193</v>
      </c>
      <c r="L167" t="s">
        <v>1028</v>
      </c>
    </row>
    <row r="168" spans="1:12" x14ac:dyDescent="0.3">
      <c r="A168">
        <v>1.8640626124373699E-2</v>
      </c>
      <c r="B168">
        <v>1.39908352832361E-2</v>
      </c>
      <c r="C168">
        <v>1.5247657751557699E-2</v>
      </c>
      <c r="D168">
        <v>4.5983903903995101E-2</v>
      </c>
      <c r="E168" t="s">
        <v>2023</v>
      </c>
      <c r="F168" t="s">
        <v>1857</v>
      </c>
      <c r="G168">
        <v>98.516999999999996</v>
      </c>
      <c r="H168">
        <v>3.7903102552345699E-3</v>
      </c>
      <c r="I168">
        <v>97.436000000000007</v>
      </c>
      <c r="J168">
        <v>1.13028947450362E-2</v>
      </c>
      <c r="K168" t="s">
        <v>1194</v>
      </c>
      <c r="L168" t="s">
        <v>1028</v>
      </c>
    </row>
    <row r="169" spans="1:12" x14ac:dyDescent="0.3">
      <c r="A169">
        <v>1.32561299755005E-2</v>
      </c>
      <c r="B169">
        <v>-5.33618345022691E-3</v>
      </c>
      <c r="C169">
        <v>-1.40950235359611E-2</v>
      </c>
      <c r="D169">
        <v>3.8137779822804398E-2</v>
      </c>
      <c r="E169" t="s">
        <v>2024</v>
      </c>
      <c r="F169" t="s">
        <v>1857</v>
      </c>
      <c r="G169">
        <v>98.168000000000006</v>
      </c>
      <c r="H169">
        <v>-3.54253580600294E-3</v>
      </c>
      <c r="I169">
        <v>98.352000000000004</v>
      </c>
      <c r="J169">
        <v>9.4010427357444897E-3</v>
      </c>
      <c r="K169" t="s">
        <v>1195</v>
      </c>
      <c r="L169" t="s">
        <v>1028</v>
      </c>
    </row>
    <row r="170" spans="1:12" x14ac:dyDescent="0.3">
      <c r="A170">
        <v>2.6761481120787502E-2</v>
      </c>
      <c r="B170">
        <v>1.39201532997375E-2</v>
      </c>
      <c r="C170">
        <v>5.4116713606157101E-2</v>
      </c>
      <c r="D170">
        <v>3.0312571909831599E-2</v>
      </c>
      <c r="E170" t="s">
        <v>2025</v>
      </c>
      <c r="F170" t="s">
        <v>1857</v>
      </c>
      <c r="G170">
        <v>99.47</v>
      </c>
      <c r="H170">
        <v>1.32629777524242E-2</v>
      </c>
      <c r="I170">
        <v>99.088999999999999</v>
      </c>
      <c r="J170">
        <v>7.4934927606962196E-3</v>
      </c>
      <c r="K170" t="s">
        <v>1196</v>
      </c>
      <c r="L170" t="s">
        <v>1028</v>
      </c>
    </row>
    <row r="171" spans="1:12" x14ac:dyDescent="0.3">
      <c r="A171">
        <v>9.7203652064314899E-3</v>
      </c>
      <c r="B171">
        <v>8.8550245823753003E-3</v>
      </c>
      <c r="C171">
        <v>-6.9787462524018001E-3</v>
      </c>
      <c r="D171">
        <v>3.2273930792219303E-2</v>
      </c>
      <c r="E171" t="s">
        <v>2026</v>
      </c>
      <c r="F171" t="s">
        <v>1857</v>
      </c>
      <c r="G171">
        <v>99.296000000000006</v>
      </c>
      <c r="H171">
        <v>-1.7492711370261599E-3</v>
      </c>
      <c r="I171">
        <v>99.879000000000005</v>
      </c>
      <c r="J171">
        <v>7.9726306653615797E-3</v>
      </c>
      <c r="K171" t="s">
        <v>1197</v>
      </c>
      <c r="L171" t="s">
        <v>1028</v>
      </c>
    </row>
    <row r="172" spans="1:12" x14ac:dyDescent="0.3">
      <c r="A172">
        <v>1.1676944984941699E-2</v>
      </c>
      <c r="B172">
        <v>7.7077122555302396E-3</v>
      </c>
      <c r="C172">
        <v>2.44311343320835E-2</v>
      </c>
      <c r="D172">
        <v>2.17207841742009E-2</v>
      </c>
      <c r="E172" t="s">
        <v>2027</v>
      </c>
      <c r="F172" t="s">
        <v>1857</v>
      </c>
      <c r="G172">
        <v>99.897000000000006</v>
      </c>
      <c r="H172">
        <v>6.0526103770543998E-3</v>
      </c>
      <c r="I172">
        <v>100.417</v>
      </c>
      <c r="J172">
        <v>5.3865176864005297E-3</v>
      </c>
      <c r="K172" t="s">
        <v>1198</v>
      </c>
      <c r="L172" t="s">
        <v>1028</v>
      </c>
    </row>
    <row r="173" spans="1:12" x14ac:dyDescent="0.3">
      <c r="A173">
        <v>2.2614716677978E-2</v>
      </c>
      <c r="B173">
        <v>4.9632662336496196E-3</v>
      </c>
      <c r="C173">
        <v>5.8918140200379103E-2</v>
      </c>
      <c r="D173">
        <v>7.9104688711333394E-3</v>
      </c>
      <c r="E173" t="s">
        <v>2028</v>
      </c>
      <c r="F173" t="s">
        <v>1857</v>
      </c>
      <c r="G173">
        <v>101.337</v>
      </c>
      <c r="H173">
        <v>1.4414847292711501E-2</v>
      </c>
      <c r="I173">
        <v>100.61499999999999</v>
      </c>
      <c r="J173">
        <v>1.9717776870449301E-3</v>
      </c>
      <c r="K173" t="s">
        <v>1199</v>
      </c>
      <c r="L173" t="s">
        <v>1028</v>
      </c>
    </row>
    <row r="174" spans="1:12" x14ac:dyDescent="0.3">
      <c r="A174">
        <v>1.45079389824292E-2</v>
      </c>
      <c r="B174">
        <v>-1.9949826125076301E-4</v>
      </c>
      <c r="C174">
        <v>5.3376513955371498E-2</v>
      </c>
      <c r="D174">
        <v>1.6319173615011201E-2</v>
      </c>
      <c r="E174" t="s">
        <v>2029</v>
      </c>
      <c r="F174" t="s">
        <v>1857</v>
      </c>
      <c r="G174">
        <v>102.663</v>
      </c>
      <c r="H174">
        <v>1.3085052843482501E-2</v>
      </c>
      <c r="I174">
        <v>101.023</v>
      </c>
      <c r="J174">
        <v>4.05506137255873E-3</v>
      </c>
      <c r="K174" t="s">
        <v>1200</v>
      </c>
      <c r="L174" t="s">
        <v>1028</v>
      </c>
    </row>
    <row r="175" spans="1:12" x14ac:dyDescent="0.3">
      <c r="A175">
        <v>2.8548469670495202E-3</v>
      </c>
      <c r="B175">
        <v>7.9245575399269404E-3</v>
      </c>
      <c r="C175">
        <v>2.14833879994034E-2</v>
      </c>
      <c r="D175">
        <v>2.0547855013869399E-2</v>
      </c>
      <c r="E175" t="s">
        <v>2030</v>
      </c>
      <c r="F175" t="s">
        <v>1857</v>
      </c>
      <c r="G175">
        <v>103.21</v>
      </c>
      <c r="H175">
        <v>5.3281123676494103E-3</v>
      </c>
      <c r="I175">
        <v>101.538</v>
      </c>
      <c r="J175">
        <v>5.0978490046820202E-3</v>
      </c>
      <c r="K175" t="s">
        <v>1201</v>
      </c>
      <c r="L175" t="s">
        <v>1028</v>
      </c>
    </row>
    <row r="176" spans="1:12" x14ac:dyDescent="0.3">
      <c r="A176">
        <v>1.6326843500240801E-2</v>
      </c>
      <c r="B176">
        <v>1.3006397529373E-2</v>
      </c>
      <c r="C176">
        <v>3.4225885044726997E-2</v>
      </c>
      <c r="D176">
        <v>2.1723337040250802E-2</v>
      </c>
      <c r="E176" t="s">
        <v>2031</v>
      </c>
      <c r="F176" t="s">
        <v>1857</v>
      </c>
      <c r="G176">
        <v>104.08199999999999</v>
      </c>
      <c r="H176">
        <v>8.4487937215385108E-3</v>
      </c>
      <c r="I176">
        <v>102.08499999999999</v>
      </c>
      <c r="J176">
        <v>5.3871456991470001E-3</v>
      </c>
      <c r="K176" t="s">
        <v>1202</v>
      </c>
      <c r="L176" t="s">
        <v>1028</v>
      </c>
    </row>
    <row r="177" spans="1:12" x14ac:dyDescent="0.3">
      <c r="A177">
        <v>1.6859105016114002E-2</v>
      </c>
      <c r="B177">
        <v>6.2259222369993199E-2</v>
      </c>
      <c r="C177">
        <v>2.1461497744286601E-2</v>
      </c>
      <c r="D177">
        <v>3.0554089712781E-2</v>
      </c>
      <c r="E177" t="s">
        <v>2032</v>
      </c>
      <c r="F177" t="s">
        <v>1857</v>
      </c>
      <c r="G177">
        <v>104.636</v>
      </c>
      <c r="H177">
        <v>5.3227263119464104E-3</v>
      </c>
      <c r="I177">
        <v>102.85599999999999</v>
      </c>
      <c r="J177">
        <v>7.55252975461618E-3</v>
      </c>
      <c r="K177" t="s">
        <v>1203</v>
      </c>
      <c r="L177" t="s">
        <v>1028</v>
      </c>
    </row>
    <row r="178" spans="1:12" x14ac:dyDescent="0.3">
      <c r="A178">
        <v>1.93744928521071E-2</v>
      </c>
      <c r="B178">
        <v>-1.02831916231174E-2</v>
      </c>
      <c r="C178">
        <v>3.4027993671362999E-2</v>
      </c>
      <c r="D178">
        <v>2.27077607090642E-2</v>
      </c>
      <c r="E178" t="s">
        <v>2033</v>
      </c>
      <c r="F178" t="s">
        <v>1857</v>
      </c>
      <c r="G178">
        <v>105.515</v>
      </c>
      <c r="H178">
        <v>8.4005504797584098E-3</v>
      </c>
      <c r="I178">
        <v>103.435</v>
      </c>
      <c r="J178">
        <v>5.6292292136579398E-3</v>
      </c>
      <c r="K178" t="s">
        <v>1204</v>
      </c>
      <c r="L178" t="s">
        <v>1028</v>
      </c>
    </row>
    <row r="179" spans="1:12" x14ac:dyDescent="0.3">
      <c r="A179">
        <v>2.0192934056340501E-2</v>
      </c>
      <c r="B179">
        <v>1.7798477087045E-2</v>
      </c>
      <c r="C179">
        <v>1.2683683496116101E-2</v>
      </c>
      <c r="D179">
        <v>1.8378329285591199E-2</v>
      </c>
      <c r="E179" t="s">
        <v>2034</v>
      </c>
      <c r="F179" t="s">
        <v>1857</v>
      </c>
      <c r="G179">
        <v>105.848</v>
      </c>
      <c r="H179">
        <v>3.1559493910817702E-3</v>
      </c>
      <c r="I179">
        <v>103.907</v>
      </c>
      <c r="J179">
        <v>4.5632522840430801E-3</v>
      </c>
      <c r="K179" t="s">
        <v>1205</v>
      </c>
      <c r="L179" t="s">
        <v>1028</v>
      </c>
    </row>
    <row r="180" spans="1:12" x14ac:dyDescent="0.3">
      <c r="A180">
        <v>1.13601398604235E-2</v>
      </c>
      <c r="B180">
        <v>1.8827452214838801E-2</v>
      </c>
      <c r="C180">
        <v>2.3098181930942801E-2</v>
      </c>
      <c r="D180">
        <v>1.94654703730235E-2</v>
      </c>
      <c r="E180" t="s">
        <v>2035</v>
      </c>
      <c r="F180" t="s">
        <v>1857</v>
      </c>
      <c r="G180">
        <v>106.45399999999999</v>
      </c>
      <c r="H180">
        <v>5.7251908396946903E-3</v>
      </c>
      <c r="I180">
        <v>104.40900000000001</v>
      </c>
      <c r="J180">
        <v>4.8312433233566E-3</v>
      </c>
      <c r="K180" t="s">
        <v>1206</v>
      </c>
      <c r="L180" t="s">
        <v>1028</v>
      </c>
    </row>
    <row r="181" spans="1:12" x14ac:dyDescent="0.3">
      <c r="A181">
        <v>-4.6048768205230201E-3</v>
      </c>
      <c r="B181">
        <v>5.3720415632923001E-3</v>
      </c>
      <c r="C181">
        <v>-3.1150724387948299E-3</v>
      </c>
      <c r="D181">
        <v>7.0678568534106E-3</v>
      </c>
      <c r="E181" t="s">
        <v>2036</v>
      </c>
      <c r="F181" t="s">
        <v>1857</v>
      </c>
      <c r="G181">
        <v>106.371</v>
      </c>
      <c r="H181">
        <v>-7.7967948597512703E-4</v>
      </c>
      <c r="I181">
        <v>104.593</v>
      </c>
      <c r="J181">
        <v>1.76230018484991E-3</v>
      </c>
      <c r="K181" t="s">
        <v>1207</v>
      </c>
      <c r="L181" t="s">
        <v>1028</v>
      </c>
    </row>
    <row r="182" spans="1:12" x14ac:dyDescent="0.3">
      <c r="A182">
        <v>-1.65067373701384E-2</v>
      </c>
      <c r="B182">
        <v>-6.4248737444822001E-3</v>
      </c>
      <c r="C182">
        <v>-3.9305105462135198E-2</v>
      </c>
      <c r="D182">
        <v>-1.18502082280647E-3</v>
      </c>
      <c r="E182" t="s">
        <v>2037</v>
      </c>
      <c r="F182" t="s">
        <v>1857</v>
      </c>
      <c r="G182">
        <v>105.31</v>
      </c>
      <c r="H182">
        <v>-9.9745231313045392E-3</v>
      </c>
      <c r="I182">
        <v>104.562</v>
      </c>
      <c r="J182">
        <v>-2.9638694750133698E-4</v>
      </c>
      <c r="K182" t="s">
        <v>1208</v>
      </c>
      <c r="L182" t="s">
        <v>1028</v>
      </c>
    </row>
    <row r="183" spans="1:12" x14ac:dyDescent="0.3">
      <c r="A183">
        <v>1.9548766403745001E-2</v>
      </c>
      <c r="B183">
        <v>7.87290366046434E-3</v>
      </c>
      <c r="C183">
        <v>2.82887807392058E-2</v>
      </c>
      <c r="D183">
        <v>1.76749178700988E-2</v>
      </c>
      <c r="E183" t="s">
        <v>2038</v>
      </c>
      <c r="F183" t="s">
        <v>1857</v>
      </c>
      <c r="G183">
        <v>106.047</v>
      </c>
      <c r="H183">
        <v>6.9983857183553199E-3</v>
      </c>
      <c r="I183">
        <v>105.021</v>
      </c>
      <c r="J183">
        <v>4.3897400585299904E-3</v>
      </c>
      <c r="K183" t="s">
        <v>1209</v>
      </c>
      <c r="L183" t="s">
        <v>1028</v>
      </c>
    </row>
    <row r="184" spans="1:12" x14ac:dyDescent="0.3">
      <c r="A184">
        <v>9.6917092109320997E-3</v>
      </c>
      <c r="B184">
        <v>6.1419866574232698E-3</v>
      </c>
      <c r="C184">
        <v>2.4162101667697402E-3</v>
      </c>
      <c r="D184">
        <v>1.1398511762960899E-2</v>
      </c>
      <c r="E184" t="s">
        <v>2039</v>
      </c>
      <c r="F184" t="s">
        <v>1857</v>
      </c>
      <c r="G184">
        <v>106.111</v>
      </c>
      <c r="H184">
        <v>6.0350599262592997E-4</v>
      </c>
      <c r="I184">
        <v>105.319</v>
      </c>
      <c r="J184">
        <v>2.8375277325487498E-3</v>
      </c>
      <c r="K184" t="s">
        <v>1210</v>
      </c>
      <c r="L184" t="s">
        <v>1028</v>
      </c>
    </row>
    <row r="185" spans="1:12" x14ac:dyDescent="0.3">
      <c r="A185">
        <v>-3.9403871252573497E-3</v>
      </c>
      <c r="B185">
        <v>-3.1716537268759999E-3</v>
      </c>
      <c r="C185">
        <v>-1.5664221695060501E-2</v>
      </c>
      <c r="D185">
        <v>-2.2010123911118101E-3</v>
      </c>
      <c r="E185" t="s">
        <v>2040</v>
      </c>
      <c r="F185" t="s">
        <v>1857</v>
      </c>
      <c r="G185">
        <v>105.693</v>
      </c>
      <c r="H185">
        <v>-3.9392711405981098E-3</v>
      </c>
      <c r="I185">
        <v>105.261</v>
      </c>
      <c r="J185">
        <v>-5.5070784948596497E-4</v>
      </c>
      <c r="K185" t="s">
        <v>1211</v>
      </c>
      <c r="L185" t="s">
        <v>1028</v>
      </c>
    </row>
    <row r="186" spans="1:12" x14ac:dyDescent="0.3">
      <c r="A186">
        <v>2.1316685833889801E-3</v>
      </c>
      <c r="B186">
        <v>-9.9615046560082004E-3</v>
      </c>
      <c r="C186">
        <v>-3.3665208430493802E-2</v>
      </c>
      <c r="D186">
        <v>-9.6550430027560995E-3</v>
      </c>
      <c r="E186" t="s">
        <v>2041</v>
      </c>
      <c r="F186" t="s">
        <v>1857</v>
      </c>
      <c r="G186">
        <v>104.792</v>
      </c>
      <c r="H186">
        <v>-8.5246894307096106E-3</v>
      </c>
      <c r="I186">
        <v>105.006</v>
      </c>
      <c r="J186">
        <v>-2.4225496622680702E-3</v>
      </c>
      <c r="K186" t="s">
        <v>1212</v>
      </c>
      <c r="L186" t="s">
        <v>1028</v>
      </c>
    </row>
    <row r="187" spans="1:12" x14ac:dyDescent="0.3">
      <c r="A187">
        <v>2.5357857709627601E-2</v>
      </c>
      <c r="B187">
        <v>2.1698746196001199E-2</v>
      </c>
      <c r="C187">
        <v>3.0770998377488399E-2</v>
      </c>
      <c r="D187">
        <v>3.3008554152673703E-2</v>
      </c>
      <c r="E187" t="s">
        <v>2042</v>
      </c>
      <c r="F187" t="s">
        <v>1857</v>
      </c>
      <c r="G187">
        <v>105.589</v>
      </c>
      <c r="H187">
        <v>7.6055424078174099E-3</v>
      </c>
      <c r="I187">
        <v>105.86199999999999</v>
      </c>
      <c r="J187">
        <v>8.1519151286593202E-3</v>
      </c>
      <c r="K187" t="s">
        <v>1213</v>
      </c>
      <c r="L187" t="s">
        <v>1028</v>
      </c>
    </row>
    <row r="188" spans="1:12" x14ac:dyDescent="0.3">
      <c r="A188">
        <v>1.5085753101185199E-2</v>
      </c>
      <c r="B188">
        <v>1.5625918949128799E-2</v>
      </c>
      <c r="C188">
        <v>1.5469326265677499E-2</v>
      </c>
      <c r="D188">
        <v>3.0262315011426702E-3</v>
      </c>
      <c r="E188" t="s">
        <v>2043</v>
      </c>
      <c r="F188" t="s">
        <v>1857</v>
      </c>
      <c r="G188">
        <v>105.995</v>
      </c>
      <c r="H188">
        <v>3.8450975006867299E-3</v>
      </c>
      <c r="I188">
        <v>105.94199999999999</v>
      </c>
      <c r="J188">
        <v>7.5570081804610101E-4</v>
      </c>
      <c r="K188" t="s">
        <v>1214</v>
      </c>
      <c r="L188" t="s">
        <v>1028</v>
      </c>
    </row>
    <row r="189" spans="1:12" x14ac:dyDescent="0.3">
      <c r="A189">
        <v>1.9065277405527499E-2</v>
      </c>
      <c r="B189">
        <v>1.9426037707255001E-2</v>
      </c>
      <c r="C189">
        <v>1.98067429774604E-2</v>
      </c>
      <c r="D189">
        <v>1.9471921944120799E-2</v>
      </c>
      <c r="E189" t="s">
        <v>2044</v>
      </c>
      <c r="F189" t="s">
        <v>1857</v>
      </c>
      <c r="G189">
        <v>106.51600000000001</v>
      </c>
      <c r="H189">
        <v>4.9153261946317502E-3</v>
      </c>
      <c r="I189">
        <v>106.45399999999999</v>
      </c>
      <c r="J189">
        <v>4.8328330595985803E-3</v>
      </c>
      <c r="K189" t="s">
        <v>1215</v>
      </c>
      <c r="L189" t="s">
        <v>1028</v>
      </c>
    </row>
    <row r="190" spans="1:12" x14ac:dyDescent="0.3">
      <c r="A190">
        <v>2.3896314746341098E-2</v>
      </c>
      <c r="B190">
        <v>1.9409885132803301E-2</v>
      </c>
      <c r="C190">
        <v>3.9514900887574103E-2</v>
      </c>
      <c r="D190">
        <v>2.7099611156277601E-2</v>
      </c>
      <c r="E190" t="s">
        <v>2045</v>
      </c>
      <c r="F190" t="s">
        <v>1857</v>
      </c>
      <c r="G190">
        <v>107.53400000000001</v>
      </c>
      <c r="H190">
        <v>9.5572496150813108E-3</v>
      </c>
      <c r="I190">
        <v>107.188</v>
      </c>
      <c r="J190">
        <v>6.8949969000695601E-3</v>
      </c>
      <c r="K190" t="s">
        <v>1216</v>
      </c>
      <c r="L190" t="s">
        <v>1028</v>
      </c>
    </row>
    <row r="191" spans="1:12" x14ac:dyDescent="0.3">
      <c r="A191">
        <v>9.9328007831764892E-3</v>
      </c>
      <c r="B191">
        <v>1.3103273651826199E-2</v>
      </c>
      <c r="C191">
        <v>9.0306358829268501E-3</v>
      </c>
      <c r="D191">
        <v>2.1521193573355E-2</v>
      </c>
      <c r="E191" t="s">
        <v>2046</v>
      </c>
      <c r="F191" t="s">
        <v>1857</v>
      </c>
      <c r="G191">
        <v>107.80200000000001</v>
      </c>
      <c r="H191">
        <v>2.49223501404217E-3</v>
      </c>
      <c r="I191">
        <v>107.712</v>
      </c>
      <c r="J191">
        <v>4.8886069336120403E-3</v>
      </c>
      <c r="K191" t="s">
        <v>1217</v>
      </c>
      <c r="L191" t="s">
        <v>1028</v>
      </c>
    </row>
    <row r="192" spans="1:12" x14ac:dyDescent="0.3">
      <c r="A192">
        <v>1.4603017582518699E-2</v>
      </c>
      <c r="B192">
        <v>1.7788818797953999E-2</v>
      </c>
      <c r="C192">
        <v>3.6635495652026999E-2</v>
      </c>
      <c r="D192">
        <v>3.6311211479282998E-2</v>
      </c>
      <c r="E192" t="s">
        <v>2047</v>
      </c>
      <c r="F192" t="s">
        <v>1857</v>
      </c>
      <c r="G192">
        <v>108.785</v>
      </c>
      <c r="H192">
        <v>9.1185692287711895E-3</v>
      </c>
      <c r="I192">
        <v>108.676</v>
      </c>
      <c r="J192">
        <v>8.94979203802726E-3</v>
      </c>
      <c r="K192" t="s">
        <v>1218</v>
      </c>
      <c r="L192" t="s">
        <v>1028</v>
      </c>
    </row>
    <row r="193" spans="1:12" x14ac:dyDescent="0.3">
      <c r="A193">
        <v>2.5719713356744601E-2</v>
      </c>
      <c r="B193">
        <v>2.90667642529692E-2</v>
      </c>
      <c r="C193">
        <v>5.7042627848445E-2</v>
      </c>
      <c r="D193">
        <v>2.3197124388088401E-2</v>
      </c>
      <c r="E193" t="s">
        <v>2048</v>
      </c>
      <c r="F193" t="s">
        <v>1857</v>
      </c>
      <c r="G193">
        <v>110.252</v>
      </c>
      <c r="H193">
        <v>1.3485315071011699E-2</v>
      </c>
      <c r="I193">
        <v>109.285</v>
      </c>
      <c r="J193">
        <v>5.6038131694209304E-3</v>
      </c>
      <c r="K193" t="s">
        <v>1219</v>
      </c>
      <c r="L193" t="s">
        <v>1028</v>
      </c>
    </row>
    <row r="194" spans="1:12" x14ac:dyDescent="0.3">
      <c r="A194">
        <v>2.9147369447939799E-2</v>
      </c>
      <c r="B194">
        <v>4.11537159385129E-2</v>
      </c>
      <c r="C194">
        <v>5.2316315130779299E-2</v>
      </c>
      <c r="D194">
        <v>3.8107075575473298E-2</v>
      </c>
      <c r="E194" t="s">
        <v>2049</v>
      </c>
      <c r="F194" t="s">
        <v>1857</v>
      </c>
      <c r="G194">
        <v>111.627</v>
      </c>
      <c r="H194">
        <v>1.24714290897217E-2</v>
      </c>
      <c r="I194">
        <v>110.291</v>
      </c>
      <c r="J194">
        <v>9.2052889234570702E-3</v>
      </c>
      <c r="K194" t="s">
        <v>1220</v>
      </c>
      <c r="L194" t="s">
        <v>1028</v>
      </c>
    </row>
    <row r="195" spans="1:12" x14ac:dyDescent="0.3">
      <c r="A195">
        <v>2.1663179127611398E-2</v>
      </c>
      <c r="B195">
        <v>2.95524402709311E-2</v>
      </c>
      <c r="C195">
        <v>4.1414814571916599E-2</v>
      </c>
      <c r="D195">
        <v>5.71493007542314E-2</v>
      </c>
      <c r="E195" t="s">
        <v>2050</v>
      </c>
      <c r="F195" t="s">
        <v>1857</v>
      </c>
      <c r="G195">
        <v>112.81100000000001</v>
      </c>
      <c r="H195">
        <v>1.06067528465337E-2</v>
      </c>
      <c r="I195">
        <v>111.736</v>
      </c>
      <c r="J195">
        <v>1.3101703674824E-2</v>
      </c>
      <c r="K195" t="s">
        <v>1221</v>
      </c>
      <c r="L195" t="s">
        <v>1028</v>
      </c>
    </row>
    <row r="196" spans="1:12" x14ac:dyDescent="0.3">
      <c r="A196">
        <v>1.4350946991545E-2</v>
      </c>
      <c r="B196">
        <v>2.3387558006987101E-2</v>
      </c>
      <c r="C196">
        <v>3.8836746328921902E-2</v>
      </c>
      <c r="D196">
        <v>2.9745006586506799E-2</v>
      </c>
      <c r="E196" t="s">
        <v>2051</v>
      </c>
      <c r="F196" t="s">
        <v>1857</v>
      </c>
      <c r="G196">
        <v>113.875</v>
      </c>
      <c r="H196">
        <v>9.4317043550717905E-3</v>
      </c>
      <c r="I196">
        <v>112.542</v>
      </c>
      <c r="J196">
        <v>7.2134316603422698E-3</v>
      </c>
      <c r="K196" t="s">
        <v>1222</v>
      </c>
      <c r="L196" t="s">
        <v>1028</v>
      </c>
    </row>
    <row r="197" spans="1:12" x14ac:dyDescent="0.3">
      <c r="A197">
        <v>1.51565091171486E-2</v>
      </c>
      <c r="B197">
        <v>2.9652502701153601E-2</v>
      </c>
      <c r="C197">
        <v>1.6036274889288799E-2</v>
      </c>
      <c r="D197">
        <v>4.1912016313216102E-2</v>
      </c>
      <c r="E197" t="s">
        <v>2052</v>
      </c>
      <c r="F197" t="s">
        <v>1857</v>
      </c>
      <c r="G197">
        <v>114.43899999999999</v>
      </c>
      <c r="H197">
        <v>4.9527991218440998E-3</v>
      </c>
      <c r="I197">
        <v>113.715</v>
      </c>
      <c r="J197">
        <v>1.0422775497147801E-2</v>
      </c>
      <c r="K197" t="s">
        <v>1223</v>
      </c>
      <c r="L197" t="s">
        <v>1028</v>
      </c>
    </row>
    <row r="198" spans="1:12" x14ac:dyDescent="0.3">
      <c r="A198">
        <v>8.3593342288621492E-3</v>
      </c>
      <c r="B198">
        <v>4.3357912415273203E-2</v>
      </c>
      <c r="C198">
        <v>-1.6750426853228501E-2</v>
      </c>
      <c r="D198">
        <v>1.5721372171975601E-2</v>
      </c>
      <c r="E198" t="s">
        <v>2053</v>
      </c>
      <c r="F198" t="s">
        <v>1857</v>
      </c>
      <c r="G198">
        <v>113.98</v>
      </c>
      <c r="H198">
        <v>-4.0108704200489996E-3</v>
      </c>
      <c r="I198">
        <v>114.175</v>
      </c>
      <c r="J198">
        <v>4.0452007211009304E-3</v>
      </c>
      <c r="K198" t="s">
        <v>1224</v>
      </c>
      <c r="L198" t="s">
        <v>1028</v>
      </c>
    </row>
    <row r="199" spans="1:12" x14ac:dyDescent="0.3">
      <c r="A199">
        <v>2.4734353401226102E-2</v>
      </c>
      <c r="B199">
        <v>-2.6343933972632301E-2</v>
      </c>
      <c r="C199">
        <v>2.5813818283005E-2</v>
      </c>
      <c r="D199">
        <v>4.8037769815769002E-2</v>
      </c>
      <c r="E199" t="s">
        <v>2054</v>
      </c>
      <c r="F199" t="s">
        <v>1857</v>
      </c>
      <c r="G199">
        <v>114.758</v>
      </c>
      <c r="H199">
        <v>6.8257589050710896E-3</v>
      </c>
      <c r="I199">
        <v>115.41800000000001</v>
      </c>
      <c r="J199">
        <v>1.0886796584191E-2</v>
      </c>
      <c r="K199" t="s">
        <v>1225</v>
      </c>
      <c r="L199" t="s">
        <v>1028</v>
      </c>
    </row>
    <row r="200" spans="1:12" x14ac:dyDescent="0.3">
      <c r="A200">
        <v>1.0490970472330399E-2</v>
      </c>
      <c r="B200">
        <v>1.0018821110834301E-2</v>
      </c>
      <c r="C200">
        <v>8.6124156242581903E-3</v>
      </c>
      <c r="D200">
        <v>1.9083730667159401E-2</v>
      </c>
      <c r="E200" t="s">
        <v>2055</v>
      </c>
      <c r="F200" t="s">
        <v>1857</v>
      </c>
      <c r="G200">
        <v>114.919</v>
      </c>
      <c r="H200">
        <v>1.40295229962173E-3</v>
      </c>
      <c r="I200">
        <v>115.982</v>
      </c>
      <c r="J200">
        <v>4.8865861477411796E-3</v>
      </c>
      <c r="K200" t="s">
        <v>1226</v>
      </c>
      <c r="L200" t="s">
        <v>1028</v>
      </c>
    </row>
    <row r="201" spans="1:12" x14ac:dyDescent="0.3">
      <c r="A201">
        <v>1.45690487077856E-2</v>
      </c>
      <c r="B201">
        <v>1.6245763277308499E-2</v>
      </c>
      <c r="C201">
        <v>1.6996215944869601E-2</v>
      </c>
      <c r="D201">
        <v>5.8979339636946503E-3</v>
      </c>
      <c r="E201" t="s">
        <v>2056</v>
      </c>
      <c r="F201" t="s">
        <v>1857</v>
      </c>
      <c r="G201">
        <v>115.285</v>
      </c>
      <c r="H201">
        <v>3.1848519391919298E-3</v>
      </c>
      <c r="I201">
        <v>116.167</v>
      </c>
      <c r="J201">
        <v>1.59507509785994E-3</v>
      </c>
      <c r="K201" t="s">
        <v>1227</v>
      </c>
      <c r="L201" t="s">
        <v>1028</v>
      </c>
    </row>
    <row r="202" spans="1:12" x14ac:dyDescent="0.3">
      <c r="A202">
        <v>1.46624987744557E-2</v>
      </c>
      <c r="B202">
        <v>1.3591255249432201E-2</v>
      </c>
      <c r="C202">
        <v>5.0660572456327199E-2</v>
      </c>
      <c r="D202">
        <v>1.0418465412080901E-2</v>
      </c>
      <c r="E202" t="s">
        <v>2057</v>
      </c>
      <c r="F202" t="s">
        <v>1857</v>
      </c>
      <c r="G202">
        <v>116.54600000000001</v>
      </c>
      <c r="H202">
        <v>1.09381099015484E-2</v>
      </c>
      <c r="I202">
        <v>116.5</v>
      </c>
      <c r="J202">
        <v>2.86656279322006E-3</v>
      </c>
      <c r="K202" t="s">
        <v>1228</v>
      </c>
      <c r="L202" t="s">
        <v>1028</v>
      </c>
    </row>
    <row r="203" spans="1:12" x14ac:dyDescent="0.3">
      <c r="A203">
        <v>-1.7940859457881899E-2</v>
      </c>
      <c r="B203">
        <v>3.31045118831508E-3</v>
      </c>
      <c r="C203">
        <v>-1.06133933402519E-3</v>
      </c>
      <c r="D203">
        <v>-7.65559802497651E-3</v>
      </c>
      <c r="E203" t="s">
        <v>2058</v>
      </c>
      <c r="F203" t="s">
        <v>1857</v>
      </c>
      <c r="G203">
        <v>116.072</v>
      </c>
      <c r="H203">
        <v>-4.0670636486881398E-3</v>
      </c>
      <c r="I203">
        <v>116.19499999999999</v>
      </c>
      <c r="J203">
        <v>-2.61802575107306E-3</v>
      </c>
      <c r="K203" t="s">
        <v>1229</v>
      </c>
      <c r="L203" t="s">
        <v>1028</v>
      </c>
    </row>
    <row r="204" spans="1:12" x14ac:dyDescent="0.3">
      <c r="A204">
        <v>3.3775526155126898E-2</v>
      </c>
      <c r="B204">
        <v>2.5959727144998501E-2</v>
      </c>
      <c r="C204">
        <v>3.4596703938155803E-2</v>
      </c>
      <c r="D204">
        <v>4.1355015452944698E-2</v>
      </c>
      <c r="E204" t="s">
        <v>2059</v>
      </c>
      <c r="F204" t="s">
        <v>1857</v>
      </c>
      <c r="G204">
        <v>116.51900000000001</v>
      </c>
      <c r="H204">
        <v>3.8510579640223001E-3</v>
      </c>
      <c r="I204">
        <v>117.285</v>
      </c>
      <c r="J204">
        <v>9.3807823056069103E-3</v>
      </c>
      <c r="K204" t="s">
        <v>1230</v>
      </c>
      <c r="L204" t="s">
        <v>1028</v>
      </c>
    </row>
    <row r="205" spans="1:12" x14ac:dyDescent="0.3">
      <c r="A205">
        <v>1.6442937470855502E-2</v>
      </c>
      <c r="B205">
        <v>2.4447407360365301E-2</v>
      </c>
      <c r="C205">
        <v>5.1547958936444697E-2</v>
      </c>
      <c r="D205">
        <v>1.8415186976738801E-2</v>
      </c>
      <c r="E205" t="s">
        <v>2060</v>
      </c>
      <c r="F205" t="s">
        <v>1857</v>
      </c>
      <c r="G205">
        <v>117.593</v>
      </c>
      <c r="H205">
        <v>9.2173808563409398E-3</v>
      </c>
      <c r="I205">
        <v>117.706</v>
      </c>
      <c r="J205">
        <v>3.5895468303705999E-3</v>
      </c>
      <c r="K205" t="s">
        <v>1231</v>
      </c>
      <c r="L205" t="s">
        <v>1028</v>
      </c>
    </row>
    <row r="206" spans="1:12" x14ac:dyDescent="0.3">
      <c r="A206">
        <v>4.5025943450948999E-2</v>
      </c>
      <c r="B206">
        <v>4.0827649049089101E-2</v>
      </c>
      <c r="C206">
        <v>9.2834286401326696E-2</v>
      </c>
      <c r="D206">
        <v>6.4160755006020101E-2</v>
      </c>
      <c r="E206" t="s">
        <v>2061</v>
      </c>
      <c r="F206" t="s">
        <v>1857</v>
      </c>
      <c r="G206">
        <v>119.419</v>
      </c>
      <c r="H206">
        <v>1.5528135178114201E-2</v>
      </c>
      <c r="I206">
        <v>119.416</v>
      </c>
      <c r="J206">
        <v>1.45277216114725E-2</v>
      </c>
      <c r="K206" t="s">
        <v>1232</v>
      </c>
      <c r="L206" t="s">
        <v>1028</v>
      </c>
    </row>
    <row r="207" spans="1:12" x14ac:dyDescent="0.3">
      <c r="A207">
        <v>6.4441802743663304E-2</v>
      </c>
      <c r="B207">
        <v>4.1247362410053098E-2</v>
      </c>
      <c r="C207">
        <v>8.0575514620662397E-2</v>
      </c>
      <c r="D207">
        <v>0.104589902157439</v>
      </c>
      <c r="E207" t="s">
        <v>2062</v>
      </c>
      <c r="F207" t="s">
        <v>1857</v>
      </c>
      <c r="G207">
        <v>121.425</v>
      </c>
      <c r="H207">
        <v>1.6797996968656699E-2</v>
      </c>
      <c r="I207">
        <v>122.101</v>
      </c>
      <c r="J207">
        <v>2.24844241977624E-2</v>
      </c>
      <c r="K207" t="s">
        <v>1233</v>
      </c>
      <c r="L207" t="s">
        <v>1028</v>
      </c>
    </row>
    <row r="208" spans="1:12" x14ac:dyDescent="0.3">
      <c r="A208">
        <v>5.5998846943190198E-2</v>
      </c>
      <c r="B208">
        <v>4.40178580952795E-2</v>
      </c>
      <c r="C208">
        <v>6.4680375979367696E-2</v>
      </c>
      <c r="D208">
        <v>9.3631239224950299E-2</v>
      </c>
      <c r="E208" t="s">
        <v>2063</v>
      </c>
      <c r="F208" t="s">
        <v>1857</v>
      </c>
      <c r="G208">
        <v>123.291</v>
      </c>
      <c r="H208">
        <v>1.53675108091413E-2</v>
      </c>
      <c r="I208">
        <v>124.71</v>
      </c>
      <c r="J208">
        <v>2.13675563672697E-2</v>
      </c>
      <c r="K208" t="s">
        <v>1234</v>
      </c>
      <c r="L208" t="s">
        <v>1028</v>
      </c>
    </row>
    <row r="209" spans="1:12" x14ac:dyDescent="0.3">
      <c r="A209">
        <v>6.1859650545573498E-2</v>
      </c>
      <c r="B209">
        <v>4.34322998250962E-2</v>
      </c>
      <c r="C209">
        <v>8.4136934840178798E-2</v>
      </c>
      <c r="D209">
        <v>0.12124821634027599</v>
      </c>
      <c r="E209" t="s">
        <v>2064</v>
      </c>
      <c r="F209" t="s">
        <v>1857</v>
      </c>
      <c r="G209">
        <v>125.712</v>
      </c>
      <c r="H209">
        <v>1.96364698153151E-2</v>
      </c>
      <c r="I209">
        <v>128.44900000000001</v>
      </c>
      <c r="J209">
        <v>2.9981557212733798E-2</v>
      </c>
      <c r="K209" t="s">
        <v>1235</v>
      </c>
      <c r="L209" t="s">
        <v>1028</v>
      </c>
    </row>
    <row r="210" spans="1:12" x14ac:dyDescent="0.3">
      <c r="A210">
        <v>7.4784916271317198E-2</v>
      </c>
      <c r="B210">
        <v>5.6798579453040801E-2</v>
      </c>
      <c r="C210">
        <v>0.10120576467409099</v>
      </c>
      <c r="D210">
        <v>0.12687792670398401</v>
      </c>
      <c r="E210" t="s">
        <v>2065</v>
      </c>
      <c r="F210" t="s">
        <v>1857</v>
      </c>
      <c r="G210">
        <v>129</v>
      </c>
      <c r="H210">
        <v>2.6155021000381799E-2</v>
      </c>
      <c r="I210">
        <v>132.33099999999999</v>
      </c>
      <c r="J210">
        <v>3.0222111499505398E-2</v>
      </c>
      <c r="K210" t="s">
        <v>1236</v>
      </c>
      <c r="L210" t="s">
        <v>1028</v>
      </c>
    </row>
    <row r="211" spans="1:12" x14ac:dyDescent="0.3">
      <c r="A211">
        <v>7.2922192171477093E-2</v>
      </c>
      <c r="B211">
        <v>5.9959109255099501E-2</v>
      </c>
      <c r="C211">
        <v>0.15221841372862299</v>
      </c>
      <c r="D211">
        <v>0.13796693794697101</v>
      </c>
      <c r="E211" t="s">
        <v>2066</v>
      </c>
      <c r="F211" t="s">
        <v>1857</v>
      </c>
      <c r="G211">
        <v>133.62100000000001</v>
      </c>
      <c r="H211">
        <v>3.5821705426356799E-2</v>
      </c>
      <c r="I211">
        <v>136.69900000000001</v>
      </c>
      <c r="J211">
        <v>3.3008138682546297E-2</v>
      </c>
      <c r="K211" t="s">
        <v>1237</v>
      </c>
      <c r="L211" t="s">
        <v>1028</v>
      </c>
    </row>
    <row r="212" spans="1:12" x14ac:dyDescent="0.3">
      <c r="A212">
        <v>4.1796200977757901E-2</v>
      </c>
      <c r="B212">
        <v>4.8377032065661102E-2</v>
      </c>
      <c r="C212">
        <v>8.9811228034972802E-3</v>
      </c>
      <c r="D212">
        <v>8.9581033951388098E-2</v>
      </c>
      <c r="E212" t="s">
        <v>2067</v>
      </c>
      <c r="F212" t="s">
        <v>1857</v>
      </c>
      <c r="H212">
        <v>1.10762503071244E-2</v>
      </c>
      <c r="J212">
        <v>1.10762503071244E-2</v>
      </c>
      <c r="K212" t="s">
        <v>1238</v>
      </c>
      <c r="L212" t="s">
        <v>1239</v>
      </c>
    </row>
    <row r="213" spans="1:12" x14ac:dyDescent="0.3">
      <c r="A213">
        <v>2.7447616796656402E-2</v>
      </c>
      <c r="B213">
        <v>2.3249618404576101E-2</v>
      </c>
      <c r="C213">
        <v>3.8298767461848897E-2</v>
      </c>
      <c r="D213">
        <v>3.8298767461848897E-2</v>
      </c>
      <c r="E213" t="s">
        <v>2068</v>
      </c>
      <c r="F213" t="s">
        <v>2069</v>
      </c>
      <c r="H213">
        <v>9.4401732935755992E-3</v>
      </c>
      <c r="J213">
        <v>9.4401732935755992E-3</v>
      </c>
      <c r="K213" t="s">
        <v>1240</v>
      </c>
      <c r="L213" t="s">
        <v>1239</v>
      </c>
    </row>
    <row r="214" spans="1:12" x14ac:dyDescent="0.3">
      <c r="A214">
        <v>2.49173870638888E-2</v>
      </c>
      <c r="B214">
        <v>2.1715756912072299E-2</v>
      </c>
      <c r="C214">
        <v>3.6085750781477598E-2</v>
      </c>
      <c r="D214">
        <v>3.6085750781477598E-2</v>
      </c>
      <c r="E214" t="s">
        <v>2070</v>
      </c>
      <c r="F214" t="s">
        <v>2069</v>
      </c>
      <c r="H214">
        <v>8.9018658885664497E-3</v>
      </c>
      <c r="J214">
        <v>8.9018658885664497E-3</v>
      </c>
      <c r="K214" t="s">
        <v>1241</v>
      </c>
      <c r="L214" t="s">
        <v>1239</v>
      </c>
    </row>
    <row r="215" spans="1:12" x14ac:dyDescent="0.3">
      <c r="A215">
        <v>2.33440010578361E-2</v>
      </c>
      <c r="B215">
        <v>2.1485909848918801E-2</v>
      </c>
      <c r="C215">
        <v>3.2005284910624002E-2</v>
      </c>
      <c r="D215">
        <v>3.2005284910624002E-2</v>
      </c>
      <c r="E215" t="s">
        <v>2071</v>
      </c>
      <c r="F215" t="s">
        <v>2069</v>
      </c>
      <c r="H215">
        <v>7.9070438771131606E-3</v>
      </c>
      <c r="J215">
        <v>7.9070438771131606E-3</v>
      </c>
      <c r="K215" t="s">
        <v>1242</v>
      </c>
      <c r="L215" t="s">
        <v>1239</v>
      </c>
    </row>
    <row r="216" spans="1:12" x14ac:dyDescent="0.3">
      <c r="A216">
        <v>2.2676579457354702E-2</v>
      </c>
      <c r="B216">
        <v>2.1729771469873E-2</v>
      </c>
      <c r="C216">
        <v>2.9538555790939999E-2</v>
      </c>
      <c r="D216">
        <v>2.9538555790939999E-2</v>
      </c>
      <c r="E216" t="s">
        <v>2072</v>
      </c>
      <c r="F216" t="s">
        <v>2069</v>
      </c>
      <c r="H216">
        <v>7.3042210756391101E-3</v>
      </c>
      <c r="J216">
        <v>7.3042210756391101E-3</v>
      </c>
      <c r="K216" t="s">
        <v>1243</v>
      </c>
      <c r="L216" t="s">
        <v>1239</v>
      </c>
    </row>
    <row r="217" spans="1:12" x14ac:dyDescent="0.3">
      <c r="A217">
        <v>2.2178287431426899E-2</v>
      </c>
      <c r="B217">
        <v>2.22727407121028E-2</v>
      </c>
      <c r="C217">
        <v>2.8512142036472E-2</v>
      </c>
      <c r="D217">
        <v>2.8512142036472E-2</v>
      </c>
      <c r="E217" t="s">
        <v>2073</v>
      </c>
      <c r="F217" t="s">
        <v>2069</v>
      </c>
      <c r="H217">
        <v>7.0530654325617901E-3</v>
      </c>
      <c r="J217">
        <v>7.0530654325617901E-3</v>
      </c>
      <c r="K217" t="s">
        <v>1244</v>
      </c>
      <c r="L217" t="s">
        <v>1239</v>
      </c>
    </row>
    <row r="218" spans="1:12" x14ac:dyDescent="0.3">
      <c r="A218">
        <v>2.1434276652948898E-2</v>
      </c>
      <c r="B218">
        <v>2.23623952750127E-2</v>
      </c>
      <c r="C218">
        <v>2.8283584176253401E-2</v>
      </c>
      <c r="D218">
        <v>2.8283584176253401E-2</v>
      </c>
      <c r="E218" t="s">
        <v>2074</v>
      </c>
      <c r="F218" t="s">
        <v>2069</v>
      </c>
      <c r="H218">
        <v>6.9971134735056202E-3</v>
      </c>
      <c r="J218">
        <v>6.9971134735056202E-3</v>
      </c>
      <c r="K218" t="s">
        <v>1245</v>
      </c>
      <c r="L218" t="s">
        <v>1239</v>
      </c>
    </row>
    <row r="219" spans="1:12" x14ac:dyDescent="0.3">
      <c r="A219">
        <v>2.10072065089228E-2</v>
      </c>
      <c r="B219">
        <v>2.2496789219665199E-2</v>
      </c>
      <c r="C219">
        <v>2.7654852328046001E-2</v>
      </c>
      <c r="D219">
        <v>2.7654852328046001E-2</v>
      </c>
      <c r="E219" t="s">
        <v>2075</v>
      </c>
      <c r="F219" t="s">
        <v>2069</v>
      </c>
      <c r="H219">
        <v>6.8431490448084302E-3</v>
      </c>
      <c r="J219">
        <v>6.8431490448084302E-3</v>
      </c>
      <c r="K219" t="s">
        <v>1246</v>
      </c>
      <c r="L219" t="s">
        <v>1239</v>
      </c>
    </row>
    <row r="220" spans="1:12" x14ac:dyDescent="0.3">
      <c r="A220">
        <v>2.0591622707038602E-2</v>
      </c>
      <c r="B220">
        <v>2.25123599902981E-2</v>
      </c>
      <c r="C220">
        <v>2.7753662335143502E-2</v>
      </c>
      <c r="D220">
        <v>2.7753662335143502E-2</v>
      </c>
      <c r="E220" t="s">
        <v>2076</v>
      </c>
      <c r="F220" t="s">
        <v>2069</v>
      </c>
      <c r="H220">
        <v>6.8673504076357502E-3</v>
      </c>
      <c r="J220">
        <v>6.8673504076357502E-3</v>
      </c>
      <c r="K220" t="s">
        <v>1247</v>
      </c>
      <c r="L220" t="s">
        <v>1239</v>
      </c>
    </row>
    <row r="221" spans="1:12" x14ac:dyDescent="0.3">
      <c r="A221">
        <v>2.0347186911993099E-2</v>
      </c>
      <c r="B221">
        <v>2.2891901714989799E-2</v>
      </c>
      <c r="C221">
        <v>2.8110399323646899E-2</v>
      </c>
      <c r="D221">
        <v>2.8110399323646899E-2</v>
      </c>
      <c r="E221" t="s">
        <v>2077</v>
      </c>
      <c r="F221" t="s">
        <v>2069</v>
      </c>
      <c r="H221">
        <v>6.9547108559351303E-3</v>
      </c>
      <c r="J221">
        <v>6.9547108559351303E-3</v>
      </c>
      <c r="K221" t="s">
        <v>1248</v>
      </c>
      <c r="L221" t="s">
        <v>1239</v>
      </c>
    </row>
    <row r="222" spans="1:12" x14ac:dyDescent="0.3">
      <c r="A222">
        <v>2.03844462174123E-2</v>
      </c>
      <c r="B222">
        <v>2.2688598137850801E-2</v>
      </c>
      <c r="C222">
        <v>2.89673943247446E-2</v>
      </c>
      <c r="D222">
        <v>2.89673943247446E-2</v>
      </c>
      <c r="E222" t="s">
        <v>2078</v>
      </c>
      <c r="F222" t="s">
        <v>2069</v>
      </c>
      <c r="H222">
        <v>7.1644853940870902E-3</v>
      </c>
      <c r="J222">
        <v>7.1644853940870902E-3</v>
      </c>
      <c r="K222" t="s">
        <v>1249</v>
      </c>
      <c r="L222" t="s">
        <v>1239</v>
      </c>
    </row>
    <row r="223" spans="1:12" x14ac:dyDescent="0.3">
      <c r="A223">
        <v>2.02121429685698E-2</v>
      </c>
      <c r="B223">
        <v>2.2861927422401802E-2</v>
      </c>
      <c r="C223">
        <v>2.97171972862664E-2</v>
      </c>
      <c r="D223">
        <v>2.97171972862664E-2</v>
      </c>
      <c r="E223" t="s">
        <v>2079</v>
      </c>
      <c r="F223" t="s">
        <v>2069</v>
      </c>
      <c r="H223">
        <v>7.3479141028771596E-3</v>
      </c>
      <c r="J223">
        <v>7.3479141028771596E-3</v>
      </c>
      <c r="K223" t="s">
        <v>1250</v>
      </c>
      <c r="L223" t="s">
        <v>1239</v>
      </c>
    </row>
    <row r="224" spans="1:12" x14ac:dyDescent="0.3">
      <c r="A224">
        <v>2.00951255413373E-2</v>
      </c>
      <c r="B224">
        <v>2.2789213164977801E-2</v>
      </c>
      <c r="C224">
        <v>2.9972823640437098E-2</v>
      </c>
      <c r="D224">
        <v>2.9972823640437098E-2</v>
      </c>
      <c r="E224" t="s">
        <v>2080</v>
      </c>
      <c r="F224" t="s">
        <v>2069</v>
      </c>
      <c r="H224">
        <v>7.4104265836887296E-3</v>
      </c>
      <c r="J224">
        <v>7.4104265836887296E-3</v>
      </c>
      <c r="K224" t="s">
        <v>1251</v>
      </c>
      <c r="L224" t="s">
        <v>1239</v>
      </c>
    </row>
    <row r="225" spans="1:12" x14ac:dyDescent="0.3">
      <c r="A225">
        <v>2.0005533751415599E-2</v>
      </c>
      <c r="B225">
        <v>2.30067515754304E-2</v>
      </c>
      <c r="C225">
        <v>3.0378543432117301E-2</v>
      </c>
      <c r="D225">
        <v>3.0378543432117301E-2</v>
      </c>
      <c r="E225" t="s">
        <v>2081</v>
      </c>
      <c r="F225" t="s">
        <v>2069</v>
      </c>
      <c r="H225">
        <v>7.5096199742570296E-3</v>
      </c>
      <c r="J225">
        <v>7.5096199742570296E-3</v>
      </c>
      <c r="K225" t="s">
        <v>1252</v>
      </c>
      <c r="L225" t="s">
        <v>1239</v>
      </c>
    </row>
    <row r="226" spans="1:12" x14ac:dyDescent="0.3">
      <c r="A226">
        <v>1.9992497685795502E-2</v>
      </c>
      <c r="B226">
        <v>2.28689196510703E-2</v>
      </c>
      <c r="C226">
        <v>3.0384347471833498E-2</v>
      </c>
      <c r="D226">
        <v>3.0384347471833498E-2</v>
      </c>
      <c r="E226" t="s">
        <v>2082</v>
      </c>
      <c r="F226" t="s">
        <v>2069</v>
      </c>
      <c r="H226">
        <v>7.5110387764860701E-3</v>
      </c>
      <c r="J226">
        <v>7.5110387764860701E-3</v>
      </c>
      <c r="K226" t="s">
        <v>1253</v>
      </c>
      <c r="L226" t="s">
        <v>1239</v>
      </c>
    </row>
    <row r="227" spans="1:12" x14ac:dyDescent="0.3">
      <c r="A227">
        <v>1.99491524210023E-2</v>
      </c>
      <c r="B227">
        <v>2.2952518060170599E-2</v>
      </c>
      <c r="C227">
        <v>3.0780667439755299E-2</v>
      </c>
      <c r="D227">
        <v>3.0780667439755299E-2</v>
      </c>
      <c r="E227" t="s">
        <v>2083</v>
      </c>
      <c r="F227" t="s">
        <v>2069</v>
      </c>
      <c r="H227">
        <v>7.6079053396602703E-3</v>
      </c>
      <c r="J227">
        <v>7.6079053396602703E-3</v>
      </c>
      <c r="K227" t="s">
        <v>1254</v>
      </c>
      <c r="L227" t="s">
        <v>1239</v>
      </c>
    </row>
    <row r="228" spans="1:12" x14ac:dyDescent="0.3">
      <c r="A228">
        <v>1.99785657506244E-2</v>
      </c>
      <c r="B228">
        <v>2.3092018308592099E-2</v>
      </c>
      <c r="C228">
        <v>3.09234356698747E-2</v>
      </c>
      <c r="D228">
        <v>3.09234356698747E-2</v>
      </c>
      <c r="E228" t="s">
        <v>2084</v>
      </c>
      <c r="F228" t="s">
        <v>2069</v>
      </c>
      <c r="H228">
        <v>7.6427931995954896E-3</v>
      </c>
      <c r="J228">
        <v>7.6427931995954896E-3</v>
      </c>
      <c r="K228" t="s">
        <v>1255</v>
      </c>
      <c r="L228" t="s">
        <v>1239</v>
      </c>
    </row>
    <row r="229" spans="1:12" x14ac:dyDescent="0.3">
      <c r="A229">
        <v>1.9973482507164499E-2</v>
      </c>
      <c r="B229">
        <v>2.29188557927167E-2</v>
      </c>
      <c r="C229">
        <v>3.0940126349132901E-2</v>
      </c>
      <c r="D229">
        <v>3.0940126349132901E-2</v>
      </c>
      <c r="E229" t="s">
        <v>2085</v>
      </c>
      <c r="F229" t="s">
        <v>2069</v>
      </c>
      <c r="H229">
        <v>7.6468716160857904E-3</v>
      </c>
      <c r="J229">
        <v>7.6468716160857904E-3</v>
      </c>
      <c r="K229" t="s">
        <v>1256</v>
      </c>
      <c r="L229" t="s">
        <v>1239</v>
      </c>
    </row>
    <row r="230" spans="1:12" x14ac:dyDescent="0.3">
      <c r="A230">
        <v>2.00262569988248E-2</v>
      </c>
      <c r="B230">
        <v>2.34219478386497E-2</v>
      </c>
      <c r="C230">
        <v>3.08963138434795E-2</v>
      </c>
      <c r="D230">
        <v>3.08963138434795E-2</v>
      </c>
      <c r="E230" t="s">
        <v>2086</v>
      </c>
      <c r="F230" t="s">
        <v>2069</v>
      </c>
      <c r="H230">
        <v>7.6361657960506398E-3</v>
      </c>
      <c r="J230">
        <v>7.6361657960506398E-3</v>
      </c>
      <c r="K230" t="s">
        <v>1257</v>
      </c>
      <c r="L230" t="s">
        <v>1239</v>
      </c>
    </row>
    <row r="231" spans="1:12" x14ac:dyDescent="0.3">
      <c r="A231">
        <v>2.0068184200822601E-2</v>
      </c>
      <c r="B231">
        <v>2.29559923804479E-2</v>
      </c>
      <c r="C231">
        <v>3.1171169586274899E-2</v>
      </c>
      <c r="D231">
        <v>3.1171169586274899E-2</v>
      </c>
      <c r="E231" t="s">
        <v>2087</v>
      </c>
      <c r="F231" t="s">
        <v>2069</v>
      </c>
      <c r="H231">
        <v>7.7033226228278E-3</v>
      </c>
      <c r="J231">
        <v>7.7033226228278E-3</v>
      </c>
      <c r="K231" t="s">
        <v>1258</v>
      </c>
      <c r="L231" t="s">
        <v>1239</v>
      </c>
    </row>
    <row r="232" spans="1:12" x14ac:dyDescent="0.3">
      <c r="A232">
        <v>2.00733299513789E-2</v>
      </c>
      <c r="B232">
        <v>2.3089907346120601E-2</v>
      </c>
      <c r="C232">
        <v>3.11290252355114E-2</v>
      </c>
      <c r="D232">
        <v>3.11290252355114E-2</v>
      </c>
      <c r="E232" t="s">
        <v>2088</v>
      </c>
      <c r="F232" t="s">
        <v>2069</v>
      </c>
      <c r="H232">
        <v>7.6930261622452098E-3</v>
      </c>
      <c r="J232">
        <v>7.6930261622452098E-3</v>
      </c>
      <c r="K232" t="s">
        <v>1259</v>
      </c>
      <c r="L232" t="s">
        <v>1239</v>
      </c>
    </row>
    <row r="233" spans="1:12" x14ac:dyDescent="0.3">
      <c r="A233">
        <v>2.00833471581769E-2</v>
      </c>
      <c r="B233">
        <v>2.2986135275529802E-2</v>
      </c>
      <c r="C233">
        <v>3.12799263503531E-2</v>
      </c>
      <c r="D233">
        <v>3.12799263503531E-2</v>
      </c>
      <c r="E233" t="s">
        <v>2089</v>
      </c>
      <c r="F233" t="s">
        <v>2069</v>
      </c>
      <c r="H233">
        <v>7.72989197946106E-3</v>
      </c>
      <c r="J233">
        <v>7.72989197946106E-3</v>
      </c>
      <c r="K233" t="s">
        <v>1260</v>
      </c>
      <c r="L233" t="s">
        <v>1239</v>
      </c>
    </row>
    <row r="234" spans="1:12" x14ac:dyDescent="0.3">
      <c r="A234">
        <v>2.0140093939852201E-2</v>
      </c>
      <c r="B234">
        <v>2.31414769468055E-2</v>
      </c>
      <c r="C234">
        <v>3.1432246791632999E-2</v>
      </c>
      <c r="D234">
        <v>3.1432246791632999E-2</v>
      </c>
      <c r="E234" t="s">
        <v>2090</v>
      </c>
      <c r="F234" t="s">
        <v>2069</v>
      </c>
      <c r="H234">
        <v>7.76710044167461E-3</v>
      </c>
      <c r="J234">
        <v>7.76710044167461E-3</v>
      </c>
      <c r="K234" t="s">
        <v>1261</v>
      </c>
      <c r="L234" t="s">
        <v>1239</v>
      </c>
    </row>
    <row r="235" spans="1:12" x14ac:dyDescent="0.3">
      <c r="A235">
        <v>2.02021592909249E-2</v>
      </c>
      <c r="B235">
        <v>2.2984714477401601E-2</v>
      </c>
      <c r="C235">
        <v>3.1205847095053599E-2</v>
      </c>
      <c r="D235">
        <v>3.1205847095053599E-2</v>
      </c>
      <c r="E235" t="s">
        <v>2091</v>
      </c>
      <c r="F235" t="s">
        <v>2069</v>
      </c>
      <c r="H235">
        <v>7.7117945916846996E-3</v>
      </c>
      <c r="J235">
        <v>7.7117945916846996E-3</v>
      </c>
      <c r="K235" t="s">
        <v>1262</v>
      </c>
      <c r="L235" t="s">
        <v>1239</v>
      </c>
    </row>
    <row r="236" spans="1:12" x14ac:dyDescent="0.3">
      <c r="A236">
        <v>2.0211898969260102E-2</v>
      </c>
      <c r="B236">
        <v>2.2913195171825301E-2</v>
      </c>
      <c r="C236">
        <v>3.14110402970686E-2</v>
      </c>
      <c r="D236">
        <v>3.14110402970686E-2</v>
      </c>
      <c r="E236" t="s">
        <v>2092</v>
      </c>
      <c r="F236" t="s">
        <v>2069</v>
      </c>
      <c r="H236">
        <v>7.7619204183672101E-3</v>
      </c>
      <c r="J236">
        <v>7.7619204183672101E-3</v>
      </c>
      <c r="K236" t="s">
        <v>1263</v>
      </c>
      <c r="L236" t="s">
        <v>1239</v>
      </c>
    </row>
    <row r="237" spans="1:12" x14ac:dyDescent="0.3">
      <c r="A237">
        <v>2.0290430669000999E-2</v>
      </c>
      <c r="B237">
        <v>2.29758501503456E-2</v>
      </c>
      <c r="C237">
        <v>3.1565029186180898E-2</v>
      </c>
      <c r="D237">
        <v>3.1565029186180898E-2</v>
      </c>
      <c r="E237" t="s">
        <v>2093</v>
      </c>
      <c r="F237" t="s">
        <v>2069</v>
      </c>
      <c r="H237">
        <v>7.7995328359632401E-3</v>
      </c>
      <c r="J237">
        <v>7.7995328359632401E-3</v>
      </c>
      <c r="K237" t="s">
        <v>1264</v>
      </c>
      <c r="L237" t="s">
        <v>1239</v>
      </c>
    </row>
    <row r="238" spans="1:12" x14ac:dyDescent="0.3">
      <c r="A238">
        <v>2.0308808571870299E-2</v>
      </c>
      <c r="B238">
        <v>2.2824531954790599E-2</v>
      </c>
      <c r="C238">
        <v>3.1531274423854297E-2</v>
      </c>
      <c r="D238">
        <v>3.1531274423854297E-2</v>
      </c>
      <c r="E238" t="s">
        <v>2094</v>
      </c>
      <c r="F238" t="s">
        <v>2069</v>
      </c>
      <c r="H238">
        <v>7.7912884572341997E-3</v>
      </c>
      <c r="J238">
        <v>7.7912884572341997E-3</v>
      </c>
      <c r="K238" t="s">
        <v>1265</v>
      </c>
      <c r="L238" t="s">
        <v>1239</v>
      </c>
    </row>
    <row r="239" spans="1:12" x14ac:dyDescent="0.3">
      <c r="A239">
        <v>2.03080060292413E-2</v>
      </c>
      <c r="B239">
        <v>2.2972481063801901E-2</v>
      </c>
      <c r="C239">
        <v>3.1542996473644003E-2</v>
      </c>
      <c r="D239">
        <v>3.1542996473644003E-2</v>
      </c>
      <c r="E239" t="s">
        <v>2095</v>
      </c>
      <c r="F239" t="s">
        <v>2069</v>
      </c>
      <c r="H239">
        <v>7.7941515137436301E-3</v>
      </c>
      <c r="J239">
        <v>7.7941515137436301E-3</v>
      </c>
      <c r="K239" t="s">
        <v>1266</v>
      </c>
      <c r="L239" t="s">
        <v>1239</v>
      </c>
    </row>
    <row r="240" spans="1:12" x14ac:dyDescent="0.3">
      <c r="A240">
        <v>2.0323983720006399E-2</v>
      </c>
      <c r="B240">
        <v>2.2824566637221998E-2</v>
      </c>
      <c r="C240">
        <v>3.1855243350590097E-2</v>
      </c>
      <c r="D240">
        <v>3.1855243350590097E-2</v>
      </c>
      <c r="E240" t="s">
        <v>2096</v>
      </c>
      <c r="F240" t="s">
        <v>2069</v>
      </c>
      <c r="H240">
        <v>7.8704073905595494E-3</v>
      </c>
      <c r="J240">
        <v>7.8704073905595494E-3</v>
      </c>
      <c r="K240" t="s">
        <v>1267</v>
      </c>
      <c r="L240" t="s">
        <v>1239</v>
      </c>
    </row>
    <row r="241" spans="1:12" x14ac:dyDescent="0.3">
      <c r="A241">
        <v>2.0325704902500501E-2</v>
      </c>
      <c r="B241">
        <v>2.2886555231629101E-2</v>
      </c>
      <c r="C241">
        <v>3.1708818720508798E-2</v>
      </c>
      <c r="D241">
        <v>3.1708818720508798E-2</v>
      </c>
      <c r="E241" t="s">
        <v>2097</v>
      </c>
      <c r="F241" t="s">
        <v>2069</v>
      </c>
      <c r="H241">
        <v>7.8346502176538397E-3</v>
      </c>
      <c r="J241">
        <v>7.8346502176538397E-3</v>
      </c>
      <c r="K241" t="s">
        <v>1268</v>
      </c>
      <c r="L241" t="s">
        <v>1239</v>
      </c>
    </row>
    <row r="242" spans="1:12" x14ac:dyDescent="0.3">
      <c r="A242">
        <v>2.0305041683886599E-2</v>
      </c>
      <c r="B242">
        <v>2.29465623765257E-2</v>
      </c>
      <c r="C242">
        <v>3.1893508731351002E-2</v>
      </c>
      <c r="D242">
        <v>3.1893508731351002E-2</v>
      </c>
      <c r="E242" t="s">
        <v>2098</v>
      </c>
      <c r="F242" t="s">
        <v>2069</v>
      </c>
      <c r="H242">
        <v>7.8797512420421007E-3</v>
      </c>
      <c r="J242">
        <v>7.8797512420421007E-3</v>
      </c>
      <c r="K242" t="s">
        <v>1269</v>
      </c>
      <c r="L242" t="s">
        <v>1239</v>
      </c>
    </row>
    <row r="243" spans="1:12" x14ac:dyDescent="0.3">
      <c r="A243">
        <v>2.0287096358251301E-2</v>
      </c>
      <c r="B243">
        <v>2.2798980065175601E-2</v>
      </c>
      <c r="C243">
        <v>3.1810408581062898E-2</v>
      </c>
      <c r="D243">
        <v>3.1810408581062898E-2</v>
      </c>
      <c r="E243" t="s">
        <v>2099</v>
      </c>
      <c r="F243" t="s">
        <v>2069</v>
      </c>
      <c r="H243">
        <v>7.8594590588953999E-3</v>
      </c>
      <c r="J243">
        <v>7.8594590588953999E-3</v>
      </c>
      <c r="K243" t="s">
        <v>1270</v>
      </c>
      <c r="L243" t="s">
        <v>1239</v>
      </c>
    </row>
    <row r="244" spans="1:12" x14ac:dyDescent="0.3">
      <c r="A244">
        <v>2.0271579331879098E-2</v>
      </c>
      <c r="B244">
        <v>2.2857567238674801E-2</v>
      </c>
      <c r="C244">
        <v>3.1611362599311098E-2</v>
      </c>
      <c r="D244">
        <v>3.1611362599311098E-2</v>
      </c>
      <c r="E244" t="s">
        <v>2100</v>
      </c>
      <c r="F244" t="s">
        <v>2069</v>
      </c>
      <c r="H244">
        <v>7.8108491379678098E-3</v>
      </c>
      <c r="J244">
        <v>7.8108491379678098E-3</v>
      </c>
      <c r="K244" t="s">
        <v>1271</v>
      </c>
      <c r="L244" t="s">
        <v>1239</v>
      </c>
    </row>
    <row r="245" spans="1:12" x14ac:dyDescent="0.3">
      <c r="A245">
        <v>2.0226750918557398E-2</v>
      </c>
      <c r="B245">
        <v>2.30078651102898E-2</v>
      </c>
      <c r="C245">
        <v>3.1895036638032601E-2</v>
      </c>
      <c r="D245">
        <v>3.1895036638032601E-2</v>
      </c>
      <c r="E245" t="s">
        <v>2101</v>
      </c>
      <c r="F245" t="s">
        <v>2069</v>
      </c>
      <c r="H245">
        <v>7.8801243293176206E-3</v>
      </c>
      <c r="J245">
        <v>7.8801243293176206E-3</v>
      </c>
      <c r="K245" t="s">
        <v>1272</v>
      </c>
      <c r="L245" t="s">
        <v>1239</v>
      </c>
    </row>
    <row r="246" spans="1:12" x14ac:dyDescent="0.3">
      <c r="A246">
        <v>2.0229639632362201E-2</v>
      </c>
      <c r="B246">
        <v>2.2755662461575201E-2</v>
      </c>
      <c r="C246">
        <v>3.1906732152356301E-2</v>
      </c>
      <c r="D246">
        <v>3.1906732152356301E-2</v>
      </c>
      <c r="E246" t="s">
        <v>2102</v>
      </c>
      <c r="F246" t="s">
        <v>2069</v>
      </c>
      <c r="H246">
        <v>7.88298014941358E-3</v>
      </c>
      <c r="J246">
        <v>7.88298014941358E-3</v>
      </c>
      <c r="K246" t="s">
        <v>1273</v>
      </c>
      <c r="L246" t="s">
        <v>1239</v>
      </c>
    </row>
    <row r="247" spans="1:12" x14ac:dyDescent="0.3">
      <c r="A247">
        <v>2.0196749252488402E-2</v>
      </c>
      <c r="B247">
        <v>2.2817811468051102E-2</v>
      </c>
      <c r="C247">
        <v>3.1666344390047098E-2</v>
      </c>
      <c r="D247">
        <v>3.1666344390047098E-2</v>
      </c>
      <c r="E247" t="s">
        <v>2103</v>
      </c>
      <c r="F247" t="s">
        <v>2069</v>
      </c>
      <c r="H247">
        <v>7.8242771932854893E-3</v>
      </c>
      <c r="J247">
        <v>7.8242771932854893E-3</v>
      </c>
      <c r="K247" t="s">
        <v>1274</v>
      </c>
      <c r="L247" t="s">
        <v>1239</v>
      </c>
    </row>
    <row r="248" spans="1:12" x14ac:dyDescent="0.3">
      <c r="A248">
        <v>2.0138226913895701E-2</v>
      </c>
      <c r="B248">
        <v>2.3174738681931199E-2</v>
      </c>
      <c r="C248">
        <v>3.1749922428638201E-2</v>
      </c>
      <c r="D248">
        <v>3.1749922428638201E-2</v>
      </c>
      <c r="E248" t="s">
        <v>2104</v>
      </c>
      <c r="F248" t="s">
        <v>2069</v>
      </c>
      <c r="H248">
        <v>7.8446882055194199E-3</v>
      </c>
      <c r="J248">
        <v>7.8446882055194199E-3</v>
      </c>
      <c r="K248" t="s">
        <v>1275</v>
      </c>
      <c r="L248" t="s">
        <v>1239</v>
      </c>
    </row>
    <row r="249" spans="1:12" x14ac:dyDescent="0.3">
      <c r="A249">
        <v>2.0129535533826501E-2</v>
      </c>
      <c r="B249">
        <v>2.27379267080541E-2</v>
      </c>
      <c r="C249">
        <v>3.1908648163189397E-2</v>
      </c>
      <c r="D249">
        <v>3.1908648163189397E-2</v>
      </c>
      <c r="E249" t="s">
        <v>2105</v>
      </c>
      <c r="F249" t="s">
        <v>2069</v>
      </c>
      <c r="H249">
        <v>7.8834480001659397E-3</v>
      </c>
      <c r="J249">
        <v>7.8834480001659397E-3</v>
      </c>
      <c r="K249" t="s">
        <v>1276</v>
      </c>
      <c r="L249" t="s">
        <v>1239</v>
      </c>
    </row>
    <row r="250" spans="1:12" x14ac:dyDescent="0.3">
      <c r="A250">
        <v>2.0106884793451098E-2</v>
      </c>
      <c r="B250">
        <v>2.3093327603912001E-2</v>
      </c>
      <c r="C250">
        <v>3.1692204125751702E-2</v>
      </c>
      <c r="D250">
        <v>3.1692204125751702E-2</v>
      </c>
      <c r="E250" t="s">
        <v>2106</v>
      </c>
      <c r="F250" t="s">
        <v>2069</v>
      </c>
      <c r="H250">
        <v>7.8305926616084598E-3</v>
      </c>
      <c r="J250">
        <v>7.8305926616084598E-3</v>
      </c>
      <c r="K250" t="s">
        <v>1277</v>
      </c>
      <c r="L250" t="s">
        <v>1239</v>
      </c>
    </row>
    <row r="251" spans="1:12" x14ac:dyDescent="0.3">
      <c r="A251">
        <v>2.0037252982960399E-2</v>
      </c>
      <c r="B251">
        <v>2.2853757020905099E-2</v>
      </c>
      <c r="C251">
        <v>3.1763978164364597E-2</v>
      </c>
      <c r="D251">
        <v>3.1763978164364597E-2</v>
      </c>
      <c r="E251" t="s">
        <v>2107</v>
      </c>
      <c r="F251" t="s">
        <v>2069</v>
      </c>
      <c r="H251">
        <v>7.8481207054677E-3</v>
      </c>
      <c r="J251">
        <v>7.8481207054677E-3</v>
      </c>
      <c r="K251" t="s">
        <v>1278</v>
      </c>
      <c r="L251" t="s">
        <v>1239</v>
      </c>
    </row>
    <row r="252" spans="1:12" x14ac:dyDescent="0.3">
      <c r="A252">
        <v>2.0056022895238401E-2</v>
      </c>
      <c r="B252">
        <v>2.2713969923905002E-2</v>
      </c>
      <c r="C252">
        <v>3.17278315390737E-2</v>
      </c>
      <c r="D252">
        <v>3.17278315390737E-2</v>
      </c>
      <c r="E252" t="s">
        <v>2108</v>
      </c>
      <c r="F252" t="s">
        <v>2069</v>
      </c>
      <c r="H252">
        <v>7.8392933990876195E-3</v>
      </c>
      <c r="J252">
        <v>7.8392933990876195E-3</v>
      </c>
      <c r="K252" t="s">
        <v>1279</v>
      </c>
      <c r="L252" t="s">
        <v>1239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topLeftCell="B1" zoomScaleNormal="100" workbookViewId="0">
      <selection activeCell="C4" sqref="C4"/>
    </sheetView>
  </sheetViews>
  <sheetFormatPr defaultColWidth="11.5546875" defaultRowHeight="14.4" x14ac:dyDescent="0.3"/>
  <cols>
    <col min="1" max="1" width="23.77734375" customWidth="1"/>
    <col min="2" max="2" width="79.44140625" customWidth="1"/>
    <col min="3" max="3" width="33.44140625" customWidth="1"/>
  </cols>
  <sheetData>
    <row r="1" spans="1:4" ht="47.7" customHeight="1" x14ac:dyDescent="0.3">
      <c r="A1" s="46" t="s">
        <v>33</v>
      </c>
      <c r="B1" s="47" t="s">
        <v>34</v>
      </c>
      <c r="C1" s="47" t="s">
        <v>35</v>
      </c>
      <c r="D1" s="48" t="s">
        <v>36</v>
      </c>
    </row>
    <row r="2" spans="1:4" ht="79.5" customHeight="1" x14ac:dyDescent="0.3">
      <c r="A2" s="43" t="s">
        <v>949</v>
      </c>
      <c r="B2" s="44" t="s">
        <v>996</v>
      </c>
      <c r="C2" s="44" t="s">
        <v>997</v>
      </c>
      <c r="D2" s="40" t="s">
        <v>1014</v>
      </c>
    </row>
    <row r="3" spans="1:4" ht="63.75" customHeight="1" x14ac:dyDescent="0.3">
      <c r="A3" s="18" t="s">
        <v>79</v>
      </c>
      <c r="B3" s="39" t="s">
        <v>40</v>
      </c>
      <c r="C3" s="39" t="s">
        <v>41</v>
      </c>
      <c r="D3" s="41" t="s">
        <v>1014</v>
      </c>
    </row>
    <row r="4" spans="1:4" ht="137.25" customHeight="1" x14ac:dyDescent="0.3">
      <c r="A4" s="49" t="s">
        <v>80</v>
      </c>
      <c r="B4" s="39" t="s">
        <v>995</v>
      </c>
      <c r="C4" s="14" t="s">
        <v>951</v>
      </c>
      <c r="D4" s="41"/>
    </row>
    <row r="5" spans="1:4" ht="29.25" customHeight="1" x14ac:dyDescent="0.3">
      <c r="A5" s="49" t="s">
        <v>81</v>
      </c>
      <c r="B5" s="50" t="s">
        <v>82</v>
      </c>
      <c r="C5" s="37" t="s">
        <v>83</v>
      </c>
      <c r="D5" s="41"/>
    </row>
    <row r="6" spans="1:4" ht="43.2" customHeight="1" x14ac:dyDescent="0.3">
      <c r="A6" s="20" t="s">
        <v>84</v>
      </c>
      <c r="B6" s="45" t="s">
        <v>953</v>
      </c>
      <c r="C6" s="38" t="s">
        <v>952</v>
      </c>
      <c r="D6" s="42"/>
    </row>
    <row r="8" spans="1:4" x14ac:dyDescent="0.3">
      <c r="B8" s="29"/>
    </row>
    <row r="9" spans="1:4" x14ac:dyDescent="0.3">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D89"/>
  <sheetViews>
    <sheetView zoomScaleNormal="100" workbookViewId="0">
      <pane xSplit="1" ySplit="1" topLeftCell="GT55" activePane="bottomRight" state="frozen"/>
      <selection pane="topRight" activeCell="B1" sqref="B1"/>
      <selection pane="bottomLeft" activeCell="A2" sqref="A2"/>
      <selection pane="bottomRight" activeCell="HD72" sqref="HD72"/>
    </sheetView>
  </sheetViews>
  <sheetFormatPr defaultColWidth="11.5546875" defaultRowHeight="14.4" x14ac:dyDescent="0.3"/>
  <cols>
    <col min="1" max="6" width="250.6640625" customWidth="1"/>
    <col min="7" max="212" width="11.77734375" customWidth="1"/>
  </cols>
  <sheetData>
    <row r="1" spans="1:212" x14ac:dyDescent="0.3">
      <c r="A1" s="51" t="s">
        <v>1548</v>
      </c>
      <c r="B1" s="51" t="s">
        <v>1549</v>
      </c>
      <c r="C1" s="51" t="s">
        <v>1550</v>
      </c>
      <c r="D1" s="51" t="s">
        <v>1551</v>
      </c>
      <c r="E1" s="51" t="s">
        <v>1552</v>
      </c>
      <c r="F1" s="51" t="s">
        <v>1553</v>
      </c>
      <c r="G1" s="51" t="s">
        <v>1554</v>
      </c>
      <c r="H1" s="51" t="s">
        <v>1555</v>
      </c>
      <c r="I1" s="51" t="s">
        <v>1556</v>
      </c>
      <c r="J1" s="51" t="s">
        <v>1557</v>
      </c>
      <c r="K1" s="51" t="s">
        <v>1558</v>
      </c>
      <c r="L1" s="51" t="s">
        <v>1559</v>
      </c>
      <c r="M1" s="51" t="s">
        <v>1560</v>
      </c>
      <c r="N1" s="51" t="s">
        <v>1561</v>
      </c>
      <c r="O1" s="51" t="s">
        <v>1562</v>
      </c>
      <c r="P1" s="51" t="s">
        <v>1563</v>
      </c>
      <c r="Q1" s="51" t="s">
        <v>1564</v>
      </c>
      <c r="R1" s="51" t="s">
        <v>1565</v>
      </c>
      <c r="S1" s="51" t="s">
        <v>1566</v>
      </c>
      <c r="T1" s="51" t="s">
        <v>1567</v>
      </c>
      <c r="U1" s="51" t="s">
        <v>1568</v>
      </c>
      <c r="V1" s="51" t="s">
        <v>1569</v>
      </c>
      <c r="W1" s="51" t="s">
        <v>1570</v>
      </c>
      <c r="X1" s="51" t="s">
        <v>1571</v>
      </c>
      <c r="Y1" s="51" t="s">
        <v>1572</v>
      </c>
      <c r="Z1" s="51" t="s">
        <v>1573</v>
      </c>
      <c r="AA1" s="51" t="s">
        <v>1574</v>
      </c>
      <c r="AB1" s="51" t="s">
        <v>1575</v>
      </c>
      <c r="AC1" s="51" t="s">
        <v>1576</v>
      </c>
      <c r="AD1" s="51" t="s">
        <v>1577</v>
      </c>
      <c r="AE1" s="51" t="s">
        <v>1578</v>
      </c>
      <c r="AF1" s="51" t="s">
        <v>1579</v>
      </c>
      <c r="AG1" s="51" t="s">
        <v>1580</v>
      </c>
      <c r="AH1" s="51" t="s">
        <v>1581</v>
      </c>
      <c r="AI1" s="51" t="s">
        <v>1582</v>
      </c>
      <c r="AJ1" s="51" t="s">
        <v>1583</v>
      </c>
      <c r="AK1" s="51" t="s">
        <v>1584</v>
      </c>
      <c r="AL1" s="51" t="s">
        <v>1585</v>
      </c>
      <c r="AM1" s="51" t="s">
        <v>1586</v>
      </c>
      <c r="AN1" s="51" t="s">
        <v>1587</v>
      </c>
      <c r="AO1" s="51" t="s">
        <v>1588</v>
      </c>
      <c r="AP1" s="51" t="s">
        <v>1589</v>
      </c>
      <c r="AQ1" s="51" t="s">
        <v>1590</v>
      </c>
      <c r="AR1" s="51" t="s">
        <v>1591</v>
      </c>
      <c r="AS1" s="51" t="s">
        <v>1592</v>
      </c>
      <c r="AT1" s="51" t="s">
        <v>1593</v>
      </c>
      <c r="AU1" s="51" t="s">
        <v>1594</v>
      </c>
      <c r="AV1" s="51" t="s">
        <v>1595</v>
      </c>
      <c r="AW1" s="51" t="s">
        <v>1596</v>
      </c>
      <c r="AX1" s="51" t="s">
        <v>1597</v>
      </c>
      <c r="AY1" s="51" t="s">
        <v>1598</v>
      </c>
      <c r="AZ1" s="51" t="s">
        <v>1599</v>
      </c>
      <c r="BA1" s="51" t="s">
        <v>1600</v>
      </c>
      <c r="BB1" s="51" t="s">
        <v>1601</v>
      </c>
      <c r="BC1" s="51" t="s">
        <v>1602</v>
      </c>
      <c r="BD1" s="51" t="s">
        <v>1603</v>
      </c>
      <c r="BE1" s="51" t="s">
        <v>1604</v>
      </c>
      <c r="BF1" s="51" t="s">
        <v>1605</v>
      </c>
      <c r="BG1" s="51" t="s">
        <v>1606</v>
      </c>
      <c r="BH1" s="51" t="s">
        <v>1607</v>
      </c>
      <c r="BI1" s="51" t="s">
        <v>1608</v>
      </c>
      <c r="BJ1" s="51" t="s">
        <v>1609</v>
      </c>
      <c r="BK1" s="51" t="s">
        <v>1610</v>
      </c>
      <c r="BL1" s="51" t="s">
        <v>1611</v>
      </c>
      <c r="BM1" s="51" t="s">
        <v>1612</v>
      </c>
      <c r="BN1" s="51" t="s">
        <v>1613</v>
      </c>
      <c r="BO1" s="51" t="s">
        <v>1614</v>
      </c>
      <c r="BP1" s="51" t="s">
        <v>1615</v>
      </c>
      <c r="BQ1" s="51" t="s">
        <v>1616</v>
      </c>
      <c r="BR1" s="51" t="s">
        <v>1617</v>
      </c>
      <c r="BS1" s="51" t="s">
        <v>1618</v>
      </c>
      <c r="BT1" s="51" t="s">
        <v>1619</v>
      </c>
      <c r="BU1" s="51" t="s">
        <v>1620</v>
      </c>
      <c r="BV1" s="51" t="s">
        <v>1621</v>
      </c>
      <c r="BW1" s="51" t="s">
        <v>1622</v>
      </c>
      <c r="BX1" s="51" t="s">
        <v>1623</v>
      </c>
      <c r="BY1" s="51" t="s">
        <v>1624</v>
      </c>
      <c r="BZ1" s="51" t="s">
        <v>1625</v>
      </c>
      <c r="CA1" s="51" t="s">
        <v>1626</v>
      </c>
      <c r="CB1" s="51" t="s">
        <v>1627</v>
      </c>
      <c r="CC1" s="51" t="s">
        <v>1628</v>
      </c>
      <c r="CD1" s="51" t="s">
        <v>1629</v>
      </c>
      <c r="CE1" s="51" t="s">
        <v>1630</v>
      </c>
      <c r="CF1" s="51" t="s">
        <v>1631</v>
      </c>
      <c r="CG1" s="51" t="s">
        <v>1632</v>
      </c>
      <c r="CH1" s="51" t="s">
        <v>1633</v>
      </c>
      <c r="CI1" s="51" t="s">
        <v>1634</v>
      </c>
      <c r="CJ1" s="51" t="s">
        <v>1635</v>
      </c>
      <c r="CK1" s="51" t="s">
        <v>1636</v>
      </c>
      <c r="CL1" s="51" t="s">
        <v>1637</v>
      </c>
      <c r="CM1" s="51" t="s">
        <v>1638</v>
      </c>
      <c r="CN1" s="51" t="s">
        <v>1639</v>
      </c>
      <c r="CO1" s="51" t="s">
        <v>1640</v>
      </c>
      <c r="CP1" s="51" t="s">
        <v>1641</v>
      </c>
      <c r="CQ1" s="51" t="s">
        <v>1642</v>
      </c>
      <c r="CR1" s="51" t="s">
        <v>1643</v>
      </c>
      <c r="CS1" s="51" t="s">
        <v>1644</v>
      </c>
      <c r="CT1" s="51" t="s">
        <v>1645</v>
      </c>
      <c r="CU1" s="51" t="s">
        <v>1646</v>
      </c>
      <c r="CV1" s="51" t="s">
        <v>1647</v>
      </c>
      <c r="CW1" s="51" t="s">
        <v>1648</v>
      </c>
      <c r="CX1" s="51" t="s">
        <v>1649</v>
      </c>
      <c r="CY1" s="51" t="s">
        <v>1650</v>
      </c>
      <c r="CZ1" s="51" t="s">
        <v>1651</v>
      </c>
      <c r="DA1" s="51" t="s">
        <v>1652</v>
      </c>
      <c r="DB1" s="51" t="s">
        <v>1653</v>
      </c>
      <c r="DC1" s="51" t="s">
        <v>1654</v>
      </c>
      <c r="DD1" s="51" t="s">
        <v>1655</v>
      </c>
      <c r="DE1" s="51" t="s">
        <v>1656</v>
      </c>
      <c r="DF1" s="51" t="s">
        <v>1657</v>
      </c>
      <c r="DG1" s="51" t="s">
        <v>1658</v>
      </c>
      <c r="DH1" s="51" t="s">
        <v>1659</v>
      </c>
      <c r="DI1" s="51" t="s">
        <v>1660</v>
      </c>
      <c r="DJ1" s="51" t="s">
        <v>1661</v>
      </c>
      <c r="DK1" s="51" t="s">
        <v>1662</v>
      </c>
      <c r="DL1" s="51" t="s">
        <v>1663</v>
      </c>
      <c r="DM1" s="51" t="s">
        <v>1664</v>
      </c>
      <c r="DN1" s="51" t="s">
        <v>1665</v>
      </c>
      <c r="DO1" s="51" t="s">
        <v>1666</v>
      </c>
      <c r="DP1" s="51" t="s">
        <v>1667</v>
      </c>
      <c r="DQ1" s="51" t="s">
        <v>1668</v>
      </c>
      <c r="DR1" s="51" t="s">
        <v>1669</v>
      </c>
      <c r="DS1" s="51" t="s">
        <v>1670</v>
      </c>
      <c r="DT1" s="51" t="s">
        <v>1671</v>
      </c>
      <c r="DU1" s="51" t="s">
        <v>1672</v>
      </c>
      <c r="DV1" s="51" t="s">
        <v>1673</v>
      </c>
      <c r="DW1" s="51" t="s">
        <v>1674</v>
      </c>
      <c r="DX1" s="51" t="s">
        <v>1675</v>
      </c>
      <c r="DY1" s="51" t="s">
        <v>1676</v>
      </c>
      <c r="DZ1" s="51" t="s">
        <v>1677</v>
      </c>
      <c r="EA1" s="51" t="s">
        <v>1678</v>
      </c>
      <c r="EB1" s="51" t="s">
        <v>1679</v>
      </c>
      <c r="EC1" s="51" t="s">
        <v>1680</v>
      </c>
      <c r="ED1" s="51" t="s">
        <v>1681</v>
      </c>
      <c r="EE1" s="51" t="s">
        <v>1682</v>
      </c>
      <c r="EF1" s="51" t="s">
        <v>1683</v>
      </c>
      <c r="EG1" s="51" t="s">
        <v>1684</v>
      </c>
      <c r="EH1" s="51" t="s">
        <v>1685</v>
      </c>
      <c r="EI1" s="51" t="s">
        <v>1686</v>
      </c>
      <c r="EJ1" s="51" t="s">
        <v>1687</v>
      </c>
      <c r="EK1" s="51" t="s">
        <v>1688</v>
      </c>
      <c r="EL1" s="51" t="s">
        <v>1689</v>
      </c>
      <c r="EM1" s="51" t="s">
        <v>1690</v>
      </c>
      <c r="EN1" s="51" t="s">
        <v>1691</v>
      </c>
      <c r="EO1" s="51" t="s">
        <v>1692</v>
      </c>
      <c r="EP1" s="51" t="s">
        <v>1693</v>
      </c>
      <c r="EQ1" s="51" t="s">
        <v>1694</v>
      </c>
      <c r="ER1" s="51" t="s">
        <v>1695</v>
      </c>
      <c r="ES1" s="51" t="s">
        <v>1696</v>
      </c>
      <c r="ET1" s="51" t="s">
        <v>1697</v>
      </c>
      <c r="EU1" s="51" t="s">
        <v>1698</v>
      </c>
      <c r="EV1" s="51" t="s">
        <v>1699</v>
      </c>
      <c r="EW1" s="51" t="s">
        <v>1700</v>
      </c>
      <c r="EX1" s="51" t="s">
        <v>1701</v>
      </c>
      <c r="EY1" s="51" t="s">
        <v>1702</v>
      </c>
      <c r="EZ1" s="51" t="s">
        <v>1703</v>
      </c>
      <c r="FA1" s="51" t="s">
        <v>1704</v>
      </c>
      <c r="FB1" s="51" t="s">
        <v>1705</v>
      </c>
      <c r="FC1" s="51" t="s">
        <v>1706</v>
      </c>
      <c r="FD1" s="51" t="s">
        <v>1707</v>
      </c>
      <c r="FE1" s="51" t="s">
        <v>1708</v>
      </c>
      <c r="FF1" s="51" t="s">
        <v>1709</v>
      </c>
      <c r="FG1" s="51" t="s">
        <v>1710</v>
      </c>
      <c r="FH1" s="51" t="s">
        <v>1711</v>
      </c>
      <c r="FI1" s="51" t="s">
        <v>1712</v>
      </c>
      <c r="FJ1" s="51" t="s">
        <v>1713</v>
      </c>
      <c r="FK1" s="51" t="s">
        <v>1714</v>
      </c>
      <c r="FL1" s="51" t="s">
        <v>1715</v>
      </c>
      <c r="FM1" s="51" t="s">
        <v>1716</v>
      </c>
      <c r="FN1" s="51" t="s">
        <v>1717</v>
      </c>
      <c r="FO1" s="51" t="s">
        <v>1718</v>
      </c>
      <c r="FP1" s="51" t="s">
        <v>1719</v>
      </c>
      <c r="FQ1" s="51" t="s">
        <v>1720</v>
      </c>
      <c r="FR1" s="51" t="s">
        <v>1721</v>
      </c>
      <c r="FS1" s="51" t="s">
        <v>1722</v>
      </c>
      <c r="FT1" s="51" t="s">
        <v>1723</v>
      </c>
      <c r="FU1" s="51" t="s">
        <v>1724</v>
      </c>
      <c r="FV1" s="51" t="s">
        <v>1725</v>
      </c>
      <c r="FW1" s="51" t="s">
        <v>1726</v>
      </c>
      <c r="FX1" s="51" t="s">
        <v>1727</v>
      </c>
      <c r="FY1" s="51" t="s">
        <v>1728</v>
      </c>
      <c r="FZ1" s="51" t="s">
        <v>1729</v>
      </c>
      <c r="GA1" s="51" t="s">
        <v>1730</v>
      </c>
      <c r="GB1" s="51" t="s">
        <v>1731</v>
      </c>
      <c r="GC1" s="51" t="s">
        <v>1732</v>
      </c>
      <c r="GD1" s="51" t="s">
        <v>1733</v>
      </c>
      <c r="GE1" s="51" t="s">
        <v>1734</v>
      </c>
      <c r="GF1" s="51" t="s">
        <v>1735</v>
      </c>
      <c r="GG1" s="51" t="s">
        <v>1736</v>
      </c>
      <c r="GH1" s="51" t="s">
        <v>1737</v>
      </c>
      <c r="GI1" s="51" t="s">
        <v>1738</v>
      </c>
      <c r="GJ1" s="51" t="s">
        <v>1739</v>
      </c>
      <c r="GK1" s="51" t="s">
        <v>1740</v>
      </c>
      <c r="GL1" s="51" t="s">
        <v>1741</v>
      </c>
      <c r="GM1" s="51" t="s">
        <v>1742</v>
      </c>
      <c r="GN1" s="51" t="s">
        <v>1743</v>
      </c>
      <c r="GO1" s="51" t="s">
        <v>1744</v>
      </c>
      <c r="GP1" s="51" t="s">
        <v>1745</v>
      </c>
      <c r="GQ1" s="51" t="s">
        <v>1746</v>
      </c>
      <c r="GR1" s="51" t="s">
        <v>1747</v>
      </c>
      <c r="GS1" s="51" t="s">
        <v>1748</v>
      </c>
      <c r="GT1" s="51" t="s">
        <v>1749</v>
      </c>
      <c r="GU1" s="51" t="s">
        <v>1750</v>
      </c>
      <c r="GV1" s="51" t="s">
        <v>1751</v>
      </c>
      <c r="GW1" s="51" t="s">
        <v>1752</v>
      </c>
      <c r="GX1" s="51" t="s">
        <v>1753</v>
      </c>
      <c r="GY1" s="51" t="s">
        <v>1754</v>
      </c>
      <c r="GZ1" s="51" t="s">
        <v>1755</v>
      </c>
      <c r="HA1" s="51" t="s">
        <v>1756</v>
      </c>
      <c r="HB1" s="51" t="s">
        <v>1757</v>
      </c>
      <c r="HC1" s="51" t="s">
        <v>1758</v>
      </c>
      <c r="HD1" s="51" t="s">
        <v>1759</v>
      </c>
    </row>
    <row r="2" spans="1:212" x14ac:dyDescent="0.3">
      <c r="A2" s="37" t="s">
        <v>1760</v>
      </c>
      <c r="B2" s="37">
        <v>1051.2</v>
      </c>
      <c r="C2" s="37">
        <v>1067.4000000000001</v>
      </c>
      <c r="D2" s="37">
        <v>1086.0999999999999</v>
      </c>
      <c r="E2" s="37">
        <v>1088.5999999999999</v>
      </c>
      <c r="F2" s="37">
        <v>1135.2</v>
      </c>
      <c r="G2" s="37">
        <v>1156.3</v>
      </c>
      <c r="H2" s="37">
        <v>1177.7</v>
      </c>
      <c r="I2" s="37">
        <v>1190.3</v>
      </c>
      <c r="J2" s="37">
        <v>1230.5999999999999</v>
      </c>
      <c r="K2" s="37">
        <v>1266.4000000000001</v>
      </c>
      <c r="L2" s="37">
        <v>1290.5999999999999</v>
      </c>
      <c r="M2" s="37">
        <v>1328.9</v>
      </c>
      <c r="N2" s="37">
        <v>1377.5</v>
      </c>
      <c r="O2" s="37">
        <v>1413.9</v>
      </c>
      <c r="P2" s="37">
        <v>1433.8</v>
      </c>
      <c r="Q2" s="37">
        <v>1476.3</v>
      </c>
      <c r="R2" s="37">
        <v>1491.2</v>
      </c>
      <c r="S2" s="37">
        <v>1530.1</v>
      </c>
      <c r="T2" s="37">
        <v>1560</v>
      </c>
      <c r="U2" s="37">
        <v>1599.7</v>
      </c>
      <c r="V2" s="37">
        <v>1616.1</v>
      </c>
      <c r="W2" s="37">
        <v>1651.9</v>
      </c>
      <c r="X2" s="37">
        <v>1709.8</v>
      </c>
      <c r="Y2" s="37">
        <v>1761.8</v>
      </c>
      <c r="Z2" s="37">
        <v>1820.5</v>
      </c>
      <c r="AA2" s="37">
        <v>1852.3</v>
      </c>
      <c r="AB2" s="37">
        <v>1886.6</v>
      </c>
      <c r="AC2" s="37">
        <v>1934.3</v>
      </c>
      <c r="AD2" s="37">
        <v>1988.6</v>
      </c>
      <c r="AE2" s="37">
        <v>2055.9</v>
      </c>
      <c r="AF2" s="37">
        <v>2118.5</v>
      </c>
      <c r="AG2" s="37">
        <v>2164.3000000000002</v>
      </c>
      <c r="AH2" s="37">
        <v>2202.8000000000002</v>
      </c>
      <c r="AI2" s="37">
        <v>2331.6</v>
      </c>
      <c r="AJ2" s="37">
        <v>2395.1</v>
      </c>
      <c r="AK2" s="37">
        <v>2476.9</v>
      </c>
      <c r="AL2" s="37">
        <v>2526.6</v>
      </c>
      <c r="AM2" s="37">
        <v>2591.1999999999998</v>
      </c>
      <c r="AN2" s="37">
        <v>2667.6</v>
      </c>
      <c r="AO2" s="37">
        <v>2723.9</v>
      </c>
      <c r="AP2" s="37">
        <v>2789.8</v>
      </c>
      <c r="AQ2" s="37">
        <v>2797.4</v>
      </c>
      <c r="AR2" s="37">
        <v>2856.5</v>
      </c>
      <c r="AS2" s="37">
        <v>2985.6</v>
      </c>
      <c r="AT2" s="37">
        <v>3124.2</v>
      </c>
      <c r="AU2" s="37">
        <v>3162.5</v>
      </c>
      <c r="AV2" s="37">
        <v>3260.6</v>
      </c>
      <c r="AW2" s="37">
        <v>3280.8</v>
      </c>
      <c r="AX2" s="37">
        <v>3274.3</v>
      </c>
      <c r="AY2" s="37">
        <v>3332</v>
      </c>
      <c r="AZ2" s="37">
        <v>3366.3</v>
      </c>
      <c r="BA2" s="37">
        <v>3402.6</v>
      </c>
      <c r="BB2" s="37">
        <v>3473.4</v>
      </c>
      <c r="BC2" s="37">
        <v>3578.8</v>
      </c>
      <c r="BD2" s="37">
        <v>3689.2</v>
      </c>
      <c r="BE2" s="37">
        <v>3794.7</v>
      </c>
      <c r="BF2" s="37">
        <v>3908.1</v>
      </c>
      <c r="BG2" s="37">
        <v>4009.6</v>
      </c>
      <c r="BH2" s="37">
        <v>4084.3</v>
      </c>
      <c r="BI2" s="37">
        <v>4148.6000000000004</v>
      </c>
      <c r="BJ2" s="37">
        <v>4230.2</v>
      </c>
      <c r="BK2" s="37">
        <v>4294.8999999999996</v>
      </c>
      <c r="BL2" s="37">
        <v>4386.8</v>
      </c>
      <c r="BM2" s="37">
        <v>4444.1000000000004</v>
      </c>
      <c r="BN2" s="37">
        <v>4507.8999999999996</v>
      </c>
      <c r="BO2" s="37">
        <v>4545.3</v>
      </c>
      <c r="BP2" s="37">
        <v>4607.7</v>
      </c>
      <c r="BQ2" s="37">
        <v>4657.6000000000004</v>
      </c>
      <c r="BR2" s="37">
        <v>4722.2</v>
      </c>
      <c r="BS2" s="37">
        <v>4806.2</v>
      </c>
      <c r="BT2" s="37">
        <v>4884.6000000000004</v>
      </c>
      <c r="BU2" s="37">
        <v>5008</v>
      </c>
      <c r="BV2" s="37">
        <v>5073.3999999999996</v>
      </c>
      <c r="BW2" s="37">
        <v>5190</v>
      </c>
      <c r="BX2" s="37">
        <v>5282.8</v>
      </c>
      <c r="BY2" s="37">
        <v>5399.5</v>
      </c>
      <c r="BZ2" s="37">
        <v>5511.3</v>
      </c>
      <c r="CA2" s="37">
        <v>5612.5</v>
      </c>
      <c r="CB2" s="37">
        <v>5695.4</v>
      </c>
      <c r="CC2" s="37">
        <v>5747.2</v>
      </c>
      <c r="CD2" s="37">
        <v>5872.7</v>
      </c>
      <c r="CE2" s="37">
        <v>5960</v>
      </c>
      <c r="CF2" s="37">
        <v>6015.1</v>
      </c>
      <c r="CG2" s="37">
        <v>6004.7</v>
      </c>
      <c r="CH2" s="37">
        <v>6035.2</v>
      </c>
      <c r="CI2" s="37">
        <v>6126.9</v>
      </c>
      <c r="CJ2" s="37">
        <v>6205.9</v>
      </c>
      <c r="CK2" s="37">
        <v>6264.5</v>
      </c>
      <c r="CL2" s="37">
        <v>6363.1</v>
      </c>
      <c r="CM2" s="37">
        <v>6470.8</v>
      </c>
      <c r="CN2" s="37">
        <v>6566.6</v>
      </c>
      <c r="CO2" s="37">
        <v>6680.8</v>
      </c>
      <c r="CP2" s="37">
        <v>6729.5</v>
      </c>
      <c r="CQ2" s="37">
        <v>6808.9</v>
      </c>
      <c r="CR2" s="37">
        <v>6882.1</v>
      </c>
      <c r="CS2" s="37">
        <v>7013.7</v>
      </c>
      <c r="CT2" s="37">
        <v>7115.7</v>
      </c>
      <c r="CU2" s="37">
        <v>7246.9</v>
      </c>
      <c r="CV2" s="37">
        <v>7331.1</v>
      </c>
      <c r="CW2" s="37">
        <v>7455.3</v>
      </c>
      <c r="CX2" s="37">
        <v>7522.3</v>
      </c>
      <c r="CY2" s="37">
        <v>7581</v>
      </c>
      <c r="CZ2" s="37">
        <v>7683.1</v>
      </c>
      <c r="DA2" s="37">
        <v>7772.6</v>
      </c>
      <c r="DB2" s="37">
        <v>7868.5</v>
      </c>
      <c r="DC2" s="37">
        <v>8032.8</v>
      </c>
      <c r="DD2" s="37">
        <v>8131.4</v>
      </c>
      <c r="DE2" s="37">
        <v>8259.7999999999993</v>
      </c>
      <c r="DF2" s="37">
        <v>8362.7000000000007</v>
      </c>
      <c r="DG2" s="37">
        <v>8518.7999999999993</v>
      </c>
      <c r="DH2" s="37">
        <v>8662.7999999999993</v>
      </c>
      <c r="DI2" s="37">
        <v>8765.9</v>
      </c>
      <c r="DJ2" s="37">
        <v>8866.5</v>
      </c>
      <c r="DK2" s="37">
        <v>8969.7000000000007</v>
      </c>
      <c r="DL2" s="37">
        <v>9121.1</v>
      </c>
      <c r="DM2" s="37">
        <v>9294</v>
      </c>
      <c r="DN2" s="37">
        <v>9411.7000000000007</v>
      </c>
      <c r="DO2" s="37">
        <v>9526.2000000000007</v>
      </c>
      <c r="DP2" s="37">
        <v>9686.6</v>
      </c>
      <c r="DQ2" s="37">
        <v>9900.2000000000007</v>
      </c>
      <c r="DR2" s="37">
        <v>10002.200000000001</v>
      </c>
      <c r="DS2" s="37">
        <v>10247.700000000001</v>
      </c>
      <c r="DT2" s="37">
        <v>10318.200000000001</v>
      </c>
      <c r="DU2" s="37">
        <v>10435.700000000001</v>
      </c>
      <c r="DV2" s="37">
        <v>10470.200000000001</v>
      </c>
      <c r="DW2" s="37">
        <v>10599</v>
      </c>
      <c r="DX2" s="37">
        <v>10598</v>
      </c>
      <c r="DY2" s="37">
        <v>10660.5</v>
      </c>
      <c r="DZ2" s="37">
        <v>10783.5</v>
      </c>
      <c r="EA2" s="37">
        <v>10887.5</v>
      </c>
      <c r="EB2" s="37">
        <v>10984</v>
      </c>
      <c r="EC2" s="37">
        <v>11061.4</v>
      </c>
      <c r="ED2" s="37">
        <v>11174.1</v>
      </c>
      <c r="EE2" s="37">
        <v>11312.8</v>
      </c>
      <c r="EF2" s="37">
        <v>11566.7</v>
      </c>
      <c r="EG2" s="37">
        <v>11772.2</v>
      </c>
      <c r="EH2" s="37">
        <v>11923.4</v>
      </c>
      <c r="EI2" s="37">
        <v>12112.8</v>
      </c>
      <c r="EJ2" s="37">
        <v>12305.3</v>
      </c>
      <c r="EK2" s="37">
        <v>12527.2</v>
      </c>
      <c r="EL2" s="37">
        <v>12767.3</v>
      </c>
      <c r="EM2" s="37">
        <v>12922.7</v>
      </c>
      <c r="EN2" s="37">
        <v>13142.6</v>
      </c>
      <c r="EO2" s="37">
        <v>13324.2</v>
      </c>
      <c r="EP2" s="37">
        <v>13599.2</v>
      </c>
      <c r="EQ2" s="37">
        <v>13753.4</v>
      </c>
      <c r="ER2" s="37">
        <v>13870.2</v>
      </c>
      <c r="ES2" s="37">
        <v>14039.6</v>
      </c>
      <c r="ET2" s="37">
        <v>14215.7</v>
      </c>
      <c r="EU2" s="37">
        <v>14402.1</v>
      </c>
      <c r="EV2" s="37">
        <v>14564.1</v>
      </c>
      <c r="EW2" s="37">
        <v>14715.1</v>
      </c>
      <c r="EX2" s="37">
        <v>14706.5</v>
      </c>
      <c r="EY2" s="37">
        <v>14865.7</v>
      </c>
      <c r="EZ2" s="37">
        <v>14899</v>
      </c>
      <c r="FA2" s="37">
        <v>14608.2</v>
      </c>
      <c r="FB2" s="37">
        <v>14430.9</v>
      </c>
      <c r="FC2" s="37">
        <v>14381.2</v>
      </c>
      <c r="FD2" s="37">
        <v>14448.9</v>
      </c>
      <c r="FE2" s="37">
        <v>14651.2</v>
      </c>
      <c r="FF2" s="37">
        <v>14764.6</v>
      </c>
      <c r="FG2" s="37">
        <v>14980.2</v>
      </c>
      <c r="FH2" s="37">
        <v>15141.6</v>
      </c>
      <c r="FI2" s="37">
        <v>15309.5</v>
      </c>
      <c r="FJ2" s="37">
        <v>15351.4</v>
      </c>
      <c r="FK2" s="37">
        <v>15557.5</v>
      </c>
      <c r="FL2" s="37">
        <v>15647.7</v>
      </c>
      <c r="FM2" s="37">
        <v>15842.3</v>
      </c>
      <c r="FN2" s="37">
        <v>16068.8</v>
      </c>
      <c r="FO2" s="37">
        <v>16207.1</v>
      </c>
      <c r="FP2" s="37">
        <v>16319.5</v>
      </c>
      <c r="FQ2" s="37">
        <v>16420.400000000001</v>
      </c>
      <c r="FR2" s="37">
        <v>16629.099999999999</v>
      </c>
      <c r="FS2" s="37">
        <v>16699.599999999999</v>
      </c>
      <c r="FT2" s="37">
        <v>16911.099999999999</v>
      </c>
      <c r="FU2" s="37">
        <v>17133.099999999999</v>
      </c>
      <c r="FV2" s="37">
        <v>17144.3</v>
      </c>
      <c r="FW2" s="37">
        <v>17462.7</v>
      </c>
      <c r="FX2" s="37">
        <v>17743.2</v>
      </c>
      <c r="FY2" s="37">
        <v>17852.5</v>
      </c>
      <c r="FZ2" s="37">
        <v>17991.3</v>
      </c>
      <c r="GA2" s="37">
        <v>18193.7</v>
      </c>
      <c r="GB2" s="37">
        <v>18307</v>
      </c>
      <c r="GC2" s="37">
        <v>18332.099999999999</v>
      </c>
      <c r="GD2" s="37">
        <v>18425.3</v>
      </c>
      <c r="GE2" s="37">
        <v>18611.599999999999</v>
      </c>
      <c r="GF2" s="37">
        <v>18775.5</v>
      </c>
      <c r="GG2" s="37">
        <v>18968</v>
      </c>
      <c r="GH2" s="37">
        <v>19148.2</v>
      </c>
      <c r="GI2" s="37">
        <v>19304.5</v>
      </c>
      <c r="GJ2" s="37">
        <v>19561.900000000001</v>
      </c>
      <c r="GK2" s="37">
        <v>19894.8</v>
      </c>
      <c r="GL2" s="37">
        <v>20155.5</v>
      </c>
      <c r="GM2" s="37">
        <v>20470.2</v>
      </c>
      <c r="GN2" s="37">
        <v>20687.3</v>
      </c>
      <c r="GO2" s="37">
        <v>20819.3</v>
      </c>
      <c r="GP2" s="37">
        <v>21013.1</v>
      </c>
      <c r="GQ2" s="37">
        <v>21272.400000000001</v>
      </c>
      <c r="GR2" s="37">
        <v>21531.8</v>
      </c>
      <c r="GS2" s="37">
        <v>21706.5</v>
      </c>
      <c r="GT2" s="37">
        <v>21538</v>
      </c>
      <c r="GU2" s="37">
        <v>19636.7</v>
      </c>
      <c r="GV2" s="37">
        <v>21362.400000000001</v>
      </c>
      <c r="GW2" s="37">
        <v>21704.7</v>
      </c>
      <c r="GX2" s="37">
        <v>22313.9</v>
      </c>
      <c r="GY2" s="37">
        <v>23046.9</v>
      </c>
      <c r="GZ2" s="37">
        <v>23550.400000000001</v>
      </c>
      <c r="HA2" s="37">
        <v>24349.1</v>
      </c>
      <c r="HB2" s="37">
        <v>24740.5</v>
      </c>
      <c r="HC2">
        <v>25248.5</v>
      </c>
      <c r="HD2">
        <v>25699</v>
      </c>
    </row>
    <row r="3" spans="1:212" x14ac:dyDescent="0.3">
      <c r="A3" s="37" t="s">
        <v>1761</v>
      </c>
      <c r="B3" s="37">
        <v>4939.8</v>
      </c>
      <c r="C3" s="37">
        <v>4946.8</v>
      </c>
      <c r="D3" s="37">
        <v>4992.3999999999996</v>
      </c>
      <c r="E3" s="37">
        <v>4938.8999999999996</v>
      </c>
      <c r="F3" s="37">
        <v>5073</v>
      </c>
      <c r="G3" s="37">
        <v>5100.3999999999996</v>
      </c>
      <c r="H3" s="37">
        <v>5142.3999999999996</v>
      </c>
      <c r="I3" s="37">
        <v>5154.5</v>
      </c>
      <c r="J3" s="37">
        <v>5249.3</v>
      </c>
      <c r="K3" s="37">
        <v>5368.5</v>
      </c>
      <c r="L3" s="37">
        <v>5419.2</v>
      </c>
      <c r="M3" s="37">
        <v>5509.9</v>
      </c>
      <c r="N3" s="37">
        <v>5646.3</v>
      </c>
      <c r="O3" s="37">
        <v>5707.8</v>
      </c>
      <c r="P3" s="37">
        <v>5677.7</v>
      </c>
      <c r="Q3" s="37">
        <v>5731.6</v>
      </c>
      <c r="R3" s="37">
        <v>5682.4</v>
      </c>
      <c r="S3" s="37">
        <v>5695.9</v>
      </c>
      <c r="T3" s="37">
        <v>5642</v>
      </c>
      <c r="U3" s="37">
        <v>5620.1</v>
      </c>
      <c r="V3" s="37">
        <v>5551.7</v>
      </c>
      <c r="W3" s="37">
        <v>5591.4</v>
      </c>
      <c r="X3" s="37">
        <v>5687.1</v>
      </c>
      <c r="Y3" s="37">
        <v>5763.7</v>
      </c>
      <c r="Z3" s="37">
        <v>5893.3</v>
      </c>
      <c r="AA3" s="37">
        <v>5936.5</v>
      </c>
      <c r="AB3" s="37">
        <v>5969.1</v>
      </c>
      <c r="AC3" s="37">
        <v>6012.4</v>
      </c>
      <c r="AD3" s="37">
        <v>6083.4</v>
      </c>
      <c r="AE3" s="37">
        <v>6201.7</v>
      </c>
      <c r="AF3" s="37">
        <v>6313.6</v>
      </c>
      <c r="AG3" s="37">
        <v>6313.7</v>
      </c>
      <c r="AH3" s="37">
        <v>6333.8</v>
      </c>
      <c r="AI3" s="37">
        <v>6578.6</v>
      </c>
      <c r="AJ3" s="37">
        <v>6644.8</v>
      </c>
      <c r="AK3" s="37">
        <v>6734.1</v>
      </c>
      <c r="AL3" s="37">
        <v>6746.2</v>
      </c>
      <c r="AM3" s="37">
        <v>6753.4</v>
      </c>
      <c r="AN3" s="37">
        <v>6803.6</v>
      </c>
      <c r="AO3" s="37">
        <v>6820.6</v>
      </c>
      <c r="AP3" s="37">
        <v>6842</v>
      </c>
      <c r="AQ3" s="37">
        <v>6701</v>
      </c>
      <c r="AR3" s="37">
        <v>6693.1</v>
      </c>
      <c r="AS3" s="37">
        <v>6817.9</v>
      </c>
      <c r="AT3" s="37">
        <v>6951.5</v>
      </c>
      <c r="AU3" s="37">
        <v>6900</v>
      </c>
      <c r="AV3" s="37">
        <v>6982.6</v>
      </c>
      <c r="AW3" s="37">
        <v>6906.5</v>
      </c>
      <c r="AX3" s="37">
        <v>6799.2</v>
      </c>
      <c r="AY3" s="37">
        <v>6830.3</v>
      </c>
      <c r="AZ3" s="37">
        <v>6804.1</v>
      </c>
      <c r="BA3" s="37">
        <v>6806.9</v>
      </c>
      <c r="BB3" s="37">
        <v>6896.6</v>
      </c>
      <c r="BC3" s="37">
        <v>7053.5</v>
      </c>
      <c r="BD3" s="37">
        <v>7194.5</v>
      </c>
      <c r="BE3" s="37">
        <v>7344.6</v>
      </c>
      <c r="BF3" s="37">
        <v>7488.2</v>
      </c>
      <c r="BG3" s="37">
        <v>7617.5</v>
      </c>
      <c r="BH3" s="37">
        <v>7691</v>
      </c>
      <c r="BI3" s="37">
        <v>7754.1</v>
      </c>
      <c r="BJ3" s="37">
        <v>7829.3</v>
      </c>
      <c r="BK3" s="37">
        <v>7898.2</v>
      </c>
      <c r="BL3" s="37">
        <v>8018.8</v>
      </c>
      <c r="BM3" s="37">
        <v>8078.4</v>
      </c>
      <c r="BN3" s="37">
        <v>8153.8</v>
      </c>
      <c r="BO3" s="37">
        <v>8190.6</v>
      </c>
      <c r="BP3" s="37">
        <v>8268.9</v>
      </c>
      <c r="BQ3" s="37">
        <v>8313.2999999999993</v>
      </c>
      <c r="BR3" s="37">
        <v>8375.2999999999993</v>
      </c>
      <c r="BS3" s="37">
        <v>8465.6</v>
      </c>
      <c r="BT3" s="37">
        <v>8539.1</v>
      </c>
      <c r="BU3" s="37">
        <v>8685.7000000000007</v>
      </c>
      <c r="BV3" s="37">
        <v>8730.6</v>
      </c>
      <c r="BW3" s="37">
        <v>8845.2999999999993</v>
      </c>
      <c r="BX3" s="37">
        <v>8897.1</v>
      </c>
      <c r="BY3" s="37">
        <v>9015.7000000000007</v>
      </c>
      <c r="BZ3" s="37">
        <v>9107.2999999999993</v>
      </c>
      <c r="CA3" s="37">
        <v>9176.7999999999993</v>
      </c>
      <c r="CB3" s="37">
        <v>9244.7999999999993</v>
      </c>
      <c r="CC3" s="37">
        <v>9263</v>
      </c>
      <c r="CD3" s="37">
        <v>9364.2999999999993</v>
      </c>
      <c r="CE3" s="37">
        <v>9398.2000000000007</v>
      </c>
      <c r="CF3" s="37">
        <v>9404.5</v>
      </c>
      <c r="CG3" s="37">
        <v>9318.9</v>
      </c>
      <c r="CH3" s="37">
        <v>9275.2999999999993</v>
      </c>
      <c r="CI3" s="37">
        <v>9347.6</v>
      </c>
      <c r="CJ3" s="37">
        <v>9394.7999999999993</v>
      </c>
      <c r="CK3" s="37">
        <v>9427.6</v>
      </c>
      <c r="CL3" s="37">
        <v>9540.4</v>
      </c>
      <c r="CM3" s="37">
        <v>9643.9</v>
      </c>
      <c r="CN3" s="37">
        <v>9739.2000000000007</v>
      </c>
      <c r="CO3" s="37">
        <v>9840.7999999999993</v>
      </c>
      <c r="CP3" s="37">
        <v>9857.2000000000007</v>
      </c>
      <c r="CQ3" s="37">
        <v>9914.6</v>
      </c>
      <c r="CR3" s="37">
        <v>9961.9</v>
      </c>
      <c r="CS3" s="37">
        <v>10097.4</v>
      </c>
      <c r="CT3" s="37">
        <v>10195.299999999999</v>
      </c>
      <c r="CU3" s="37">
        <v>10333.5</v>
      </c>
      <c r="CV3" s="37">
        <v>10393.9</v>
      </c>
      <c r="CW3" s="37">
        <v>10513</v>
      </c>
      <c r="CX3" s="37">
        <v>10550.3</v>
      </c>
      <c r="CY3" s="37">
        <v>10581.7</v>
      </c>
      <c r="CZ3" s="37">
        <v>10671.7</v>
      </c>
      <c r="DA3" s="37">
        <v>10744.2</v>
      </c>
      <c r="DB3" s="37">
        <v>10824.7</v>
      </c>
      <c r="DC3" s="37">
        <v>11005.2</v>
      </c>
      <c r="DD3" s="37">
        <v>11103.9</v>
      </c>
      <c r="DE3" s="37">
        <v>11219.2</v>
      </c>
      <c r="DF3" s="37">
        <v>11291.7</v>
      </c>
      <c r="DG3" s="37">
        <v>11479.3</v>
      </c>
      <c r="DH3" s="37">
        <v>11622.9</v>
      </c>
      <c r="DI3" s="37">
        <v>11722.7</v>
      </c>
      <c r="DJ3" s="37">
        <v>11839.9</v>
      </c>
      <c r="DK3" s="37">
        <v>11949.5</v>
      </c>
      <c r="DL3" s="37">
        <v>12099.2</v>
      </c>
      <c r="DM3" s="37">
        <v>12294.7</v>
      </c>
      <c r="DN3" s="37">
        <v>12410.8</v>
      </c>
      <c r="DO3" s="37">
        <v>12514.4</v>
      </c>
      <c r="DP3" s="37">
        <v>12680</v>
      </c>
      <c r="DQ3" s="37">
        <v>12888.3</v>
      </c>
      <c r="DR3" s="37">
        <v>12935.3</v>
      </c>
      <c r="DS3" s="37">
        <v>13170.7</v>
      </c>
      <c r="DT3" s="37">
        <v>13183.9</v>
      </c>
      <c r="DU3" s="37">
        <v>13262.3</v>
      </c>
      <c r="DV3" s="37">
        <v>13219.3</v>
      </c>
      <c r="DW3" s="37">
        <v>13301.4</v>
      </c>
      <c r="DX3" s="37">
        <v>13248.1</v>
      </c>
      <c r="DY3" s="37">
        <v>13284.9</v>
      </c>
      <c r="DZ3" s="37">
        <v>13394.9</v>
      </c>
      <c r="EA3" s="37">
        <v>13477.4</v>
      </c>
      <c r="EB3" s="37">
        <v>13531.7</v>
      </c>
      <c r="EC3" s="37">
        <v>13549.4</v>
      </c>
      <c r="ED3" s="37">
        <v>13619.4</v>
      </c>
      <c r="EE3" s="37">
        <v>13741.1</v>
      </c>
      <c r="EF3" s="37">
        <v>13970.2</v>
      </c>
      <c r="EG3" s="37">
        <v>14131.4</v>
      </c>
      <c r="EH3" s="37">
        <v>14212.3</v>
      </c>
      <c r="EI3" s="37">
        <v>14323</v>
      </c>
      <c r="EJ3" s="37">
        <v>14457.8</v>
      </c>
      <c r="EK3" s="37">
        <v>14605.6</v>
      </c>
      <c r="EL3" s="37">
        <v>14767.8</v>
      </c>
      <c r="EM3" s="37">
        <v>14839.7</v>
      </c>
      <c r="EN3" s="37">
        <v>14956.3</v>
      </c>
      <c r="EO3" s="37">
        <v>15041.2</v>
      </c>
      <c r="EP3" s="37">
        <v>15244.1</v>
      </c>
      <c r="EQ3" s="37">
        <v>15281.5</v>
      </c>
      <c r="ER3" s="37">
        <v>15304.5</v>
      </c>
      <c r="ES3" s="37">
        <v>15433.6</v>
      </c>
      <c r="ET3" s="37">
        <v>15479</v>
      </c>
      <c r="EU3" s="37">
        <v>15577.8</v>
      </c>
      <c r="EV3" s="37">
        <v>15671.6</v>
      </c>
      <c r="EW3" s="37">
        <v>15767.1</v>
      </c>
      <c r="EX3" s="37">
        <v>15702.9</v>
      </c>
      <c r="EY3" s="37">
        <v>15792.8</v>
      </c>
      <c r="EZ3" s="37">
        <v>15709.6</v>
      </c>
      <c r="FA3" s="37">
        <v>15366.6</v>
      </c>
      <c r="FB3" s="37">
        <v>15187.5</v>
      </c>
      <c r="FC3" s="37">
        <v>15161.8</v>
      </c>
      <c r="FD3" s="37">
        <v>15216.6</v>
      </c>
      <c r="FE3" s="37">
        <v>15379.2</v>
      </c>
      <c r="FF3" s="37">
        <v>15456.1</v>
      </c>
      <c r="FG3" s="37">
        <v>15605.6</v>
      </c>
      <c r="FH3" s="37">
        <v>15726.3</v>
      </c>
      <c r="FI3" s="37">
        <v>15808</v>
      </c>
      <c r="FJ3" s="37">
        <v>15769.9</v>
      </c>
      <c r="FK3" s="37">
        <v>15876.8</v>
      </c>
      <c r="FL3" s="37">
        <v>15870.7</v>
      </c>
      <c r="FM3" s="37">
        <v>16048.7</v>
      </c>
      <c r="FN3" s="37">
        <v>16180</v>
      </c>
      <c r="FO3" s="37">
        <v>16253.7</v>
      </c>
      <c r="FP3" s="37">
        <v>16282.2</v>
      </c>
      <c r="FQ3" s="37">
        <v>16300</v>
      </c>
      <c r="FR3" s="37">
        <v>16441.5</v>
      </c>
      <c r="FS3" s="37">
        <v>16464.400000000001</v>
      </c>
      <c r="FT3" s="37">
        <v>16594.7</v>
      </c>
      <c r="FU3" s="37">
        <v>16712.8</v>
      </c>
      <c r="FV3" s="37">
        <v>16654.2</v>
      </c>
      <c r="FW3" s="37">
        <v>16868.099999999999</v>
      </c>
      <c r="FX3" s="37">
        <v>17064.599999999999</v>
      </c>
      <c r="FY3" s="37">
        <v>17141.2</v>
      </c>
      <c r="FZ3" s="37">
        <v>17280.599999999999</v>
      </c>
      <c r="GA3" s="37">
        <v>17380.900000000001</v>
      </c>
      <c r="GB3" s="37">
        <v>17437.099999999999</v>
      </c>
      <c r="GC3" s="37">
        <v>17462.599999999999</v>
      </c>
      <c r="GD3" s="37">
        <v>17565.5</v>
      </c>
      <c r="GE3" s="37">
        <v>17618.599999999999</v>
      </c>
      <c r="GF3" s="37">
        <v>17724.5</v>
      </c>
      <c r="GG3" s="37">
        <v>17812.599999999999</v>
      </c>
      <c r="GH3" s="37">
        <v>17889.099999999999</v>
      </c>
      <c r="GI3" s="37">
        <v>17979.2</v>
      </c>
      <c r="GJ3" s="37">
        <v>18128</v>
      </c>
      <c r="GK3" s="37">
        <v>18310.3</v>
      </c>
      <c r="GL3" s="37">
        <v>18437.099999999999</v>
      </c>
      <c r="GM3" s="37">
        <v>18565.7</v>
      </c>
      <c r="GN3" s="37">
        <v>18699.7</v>
      </c>
      <c r="GO3" s="37">
        <v>18733.7</v>
      </c>
      <c r="GP3" s="37">
        <v>18835.400000000001</v>
      </c>
      <c r="GQ3" s="37">
        <v>18962.2</v>
      </c>
      <c r="GR3" s="37">
        <v>19130.900000000001</v>
      </c>
      <c r="GS3" s="37">
        <v>19215.7</v>
      </c>
      <c r="GT3" s="37">
        <v>18989.900000000001</v>
      </c>
      <c r="GU3" s="37">
        <v>17378.7</v>
      </c>
      <c r="GV3" s="37">
        <v>18743.7</v>
      </c>
      <c r="GW3" s="37">
        <v>18924.3</v>
      </c>
      <c r="GX3" s="37">
        <v>19216.2</v>
      </c>
      <c r="GY3" s="37">
        <v>19544.2</v>
      </c>
      <c r="GZ3" s="37">
        <v>19672.599999999999</v>
      </c>
      <c r="HA3" s="37">
        <v>20006.2</v>
      </c>
      <c r="HB3" s="37">
        <v>19924.099999999999</v>
      </c>
      <c r="HC3">
        <v>19895.3</v>
      </c>
      <c r="HD3">
        <v>20039.400000000001</v>
      </c>
    </row>
    <row r="4" spans="1:212" x14ac:dyDescent="0.3">
      <c r="A4" s="37" t="s">
        <v>1762</v>
      </c>
      <c r="B4" s="37">
        <v>21.271999999999998</v>
      </c>
      <c r="C4" s="37">
        <v>21.579000000000001</v>
      </c>
      <c r="D4" s="37">
        <v>21.756</v>
      </c>
      <c r="E4" s="37">
        <v>22.041</v>
      </c>
      <c r="F4" s="37">
        <v>22.375</v>
      </c>
      <c r="G4" s="37">
        <v>22.673999999999999</v>
      </c>
      <c r="H4" s="37">
        <v>22.902999999999999</v>
      </c>
      <c r="I4" s="37">
        <v>23.091999999999999</v>
      </c>
      <c r="J4" s="37">
        <v>23.463000000000001</v>
      </c>
      <c r="K4" s="37">
        <v>23.606000000000002</v>
      </c>
      <c r="L4" s="37">
        <v>23.82</v>
      </c>
      <c r="M4" s="37">
        <v>24.09</v>
      </c>
      <c r="N4" s="37">
        <v>24.396000000000001</v>
      </c>
      <c r="O4" s="37">
        <v>24.8</v>
      </c>
      <c r="P4" s="37">
        <v>25.273</v>
      </c>
      <c r="Q4" s="37">
        <v>25.710999999999999</v>
      </c>
      <c r="R4" s="37">
        <v>26.231999999999999</v>
      </c>
      <c r="S4" s="37">
        <v>26.815000000000001</v>
      </c>
      <c r="T4" s="37">
        <v>27.640999999999998</v>
      </c>
      <c r="U4" s="37">
        <v>28.478999999999999</v>
      </c>
      <c r="V4" s="37">
        <v>29.123999999999999</v>
      </c>
      <c r="W4" s="37">
        <v>29.545999999999999</v>
      </c>
      <c r="X4" s="37">
        <v>30.068000000000001</v>
      </c>
      <c r="Y4" s="37">
        <v>30.57</v>
      </c>
      <c r="Z4" s="37">
        <v>30.905000000000001</v>
      </c>
      <c r="AA4" s="37">
        <v>31.213000000000001</v>
      </c>
      <c r="AB4" s="37">
        <v>31.611000000000001</v>
      </c>
      <c r="AC4" s="37">
        <v>32.148000000000003</v>
      </c>
      <c r="AD4" s="37">
        <v>32.667999999999999</v>
      </c>
      <c r="AE4" s="37">
        <v>33.183999999999997</v>
      </c>
      <c r="AF4" s="37">
        <v>33.640999999999998</v>
      </c>
      <c r="AG4" s="37">
        <v>34.203000000000003</v>
      </c>
      <c r="AH4" s="37">
        <v>34.762999999999998</v>
      </c>
      <c r="AI4" s="37">
        <v>35.457000000000001</v>
      </c>
      <c r="AJ4" s="37">
        <v>36.082999999999998</v>
      </c>
      <c r="AK4" s="37">
        <v>36.795999999999999</v>
      </c>
      <c r="AL4" s="37">
        <v>37.482999999999997</v>
      </c>
      <c r="AM4" s="37">
        <v>38.387999999999998</v>
      </c>
      <c r="AN4" s="37">
        <v>39.19</v>
      </c>
      <c r="AO4" s="37">
        <v>39.905000000000001</v>
      </c>
      <c r="AP4" s="37">
        <v>40.777000000000001</v>
      </c>
      <c r="AQ4" s="37">
        <v>41.744999999999997</v>
      </c>
      <c r="AR4" s="37">
        <v>42.676000000000002</v>
      </c>
      <c r="AS4" s="37">
        <v>43.807000000000002</v>
      </c>
      <c r="AT4" s="37">
        <v>44.968000000000004</v>
      </c>
      <c r="AU4" s="37">
        <v>45.813000000000002</v>
      </c>
      <c r="AV4" s="37">
        <v>46.703000000000003</v>
      </c>
      <c r="AW4" s="37">
        <v>47.475000000000001</v>
      </c>
      <c r="AX4" s="37">
        <v>48.155000000000001</v>
      </c>
      <c r="AY4" s="37">
        <v>48.795000000000002</v>
      </c>
      <c r="AZ4" s="37">
        <v>49.472000000000001</v>
      </c>
      <c r="BA4" s="37">
        <v>49.972999999999999</v>
      </c>
      <c r="BB4" s="37">
        <v>50.372</v>
      </c>
      <c r="BC4" s="37">
        <v>50.746000000000002</v>
      </c>
      <c r="BD4" s="37">
        <v>51.284999999999997</v>
      </c>
      <c r="BE4" s="37">
        <v>51.668999999999997</v>
      </c>
      <c r="BF4" s="37">
        <v>52.177999999999997</v>
      </c>
      <c r="BG4" s="37">
        <v>52.646999999999998</v>
      </c>
      <c r="BH4" s="37">
        <v>53.122</v>
      </c>
      <c r="BI4" s="37">
        <v>53.494</v>
      </c>
      <c r="BJ4" s="37">
        <v>54.040999999999997</v>
      </c>
      <c r="BK4" s="37">
        <v>54.360999999999997</v>
      </c>
      <c r="BL4" s="37">
        <v>54.722000000000001</v>
      </c>
      <c r="BM4" s="37">
        <v>55.006</v>
      </c>
      <c r="BN4" s="37">
        <v>55.277999999999999</v>
      </c>
      <c r="BO4" s="37">
        <v>55.472000000000001</v>
      </c>
      <c r="BP4" s="37">
        <v>55.734999999999999</v>
      </c>
      <c r="BQ4" s="37">
        <v>56.066000000000003</v>
      </c>
      <c r="BR4" s="37">
        <v>56.390999999999998</v>
      </c>
      <c r="BS4" s="37">
        <v>56.774000000000001</v>
      </c>
      <c r="BT4" s="37">
        <v>57.212000000000003</v>
      </c>
      <c r="BU4" s="37">
        <v>57.640999999999998</v>
      </c>
      <c r="BV4" s="37">
        <v>58.087000000000003</v>
      </c>
      <c r="BW4" s="37">
        <v>58.667000000000002</v>
      </c>
      <c r="BX4" s="37">
        <v>59.384999999999998</v>
      </c>
      <c r="BY4" s="37">
        <v>59.932000000000002</v>
      </c>
      <c r="BZ4" s="37">
        <v>60.508000000000003</v>
      </c>
      <c r="CA4" s="37">
        <v>61.162999999999997</v>
      </c>
      <c r="CB4" s="37">
        <v>61.616999999999997</v>
      </c>
      <c r="CC4" s="37">
        <v>62.036999999999999</v>
      </c>
      <c r="CD4" s="37">
        <v>62.713000000000001</v>
      </c>
      <c r="CE4" s="37">
        <v>63.414999999999999</v>
      </c>
      <c r="CF4" s="37">
        <v>63.963000000000001</v>
      </c>
      <c r="CG4" s="37">
        <v>64.451999999999998</v>
      </c>
      <c r="CH4" s="37">
        <v>65.078000000000003</v>
      </c>
      <c r="CI4" s="37">
        <v>65.546999999999997</v>
      </c>
      <c r="CJ4" s="37">
        <v>66.05</v>
      </c>
      <c r="CK4" s="37">
        <v>66.433999999999997</v>
      </c>
      <c r="CL4" s="37">
        <v>66.7</v>
      </c>
      <c r="CM4" s="37">
        <v>67.097999999999999</v>
      </c>
      <c r="CN4" s="37">
        <v>67.418999999999997</v>
      </c>
      <c r="CO4" s="37">
        <v>67.894000000000005</v>
      </c>
      <c r="CP4" s="37">
        <v>68.298000000000002</v>
      </c>
      <c r="CQ4" s="37">
        <v>68.700999999999993</v>
      </c>
      <c r="CR4" s="37">
        <v>69.046000000000006</v>
      </c>
      <c r="CS4" s="37">
        <v>69.451999999999998</v>
      </c>
      <c r="CT4" s="37">
        <v>69.807000000000002</v>
      </c>
      <c r="CU4" s="37">
        <v>70.14</v>
      </c>
      <c r="CV4" s="37">
        <v>70.513999999999996</v>
      </c>
      <c r="CW4" s="37">
        <v>70.906999999999996</v>
      </c>
      <c r="CX4" s="37">
        <v>71.311000000000007</v>
      </c>
      <c r="CY4" s="37">
        <v>71.661000000000001</v>
      </c>
      <c r="CZ4" s="37">
        <v>71.981999999999999</v>
      </c>
      <c r="DA4" s="37">
        <v>72.322000000000003</v>
      </c>
      <c r="DB4" s="37">
        <v>72.655000000000001</v>
      </c>
      <c r="DC4" s="37">
        <v>72.951999999999998</v>
      </c>
      <c r="DD4" s="37">
        <v>73.305999999999997</v>
      </c>
      <c r="DE4" s="37">
        <v>73.616</v>
      </c>
      <c r="DF4" s="37">
        <v>73.945999999999998</v>
      </c>
      <c r="DG4" s="37">
        <v>74.313999999999993</v>
      </c>
      <c r="DH4" s="37">
        <v>74.534999999999997</v>
      </c>
      <c r="DI4" s="37">
        <v>74.802000000000007</v>
      </c>
      <c r="DJ4" s="37">
        <v>74.878</v>
      </c>
      <c r="DK4" s="37">
        <v>75.072000000000003</v>
      </c>
      <c r="DL4" s="37">
        <v>75.363</v>
      </c>
      <c r="DM4" s="37">
        <v>75.564999999999998</v>
      </c>
      <c r="DN4" s="37">
        <v>75.769000000000005</v>
      </c>
      <c r="DO4" s="37">
        <v>76.111999999999995</v>
      </c>
      <c r="DP4" s="37">
        <v>76.403999999999996</v>
      </c>
      <c r="DQ4" s="37">
        <v>76.805999999999997</v>
      </c>
      <c r="DR4" s="37">
        <v>77.317999999999998</v>
      </c>
      <c r="DS4" s="37">
        <v>77.783000000000001</v>
      </c>
      <c r="DT4" s="37">
        <v>78.27</v>
      </c>
      <c r="DU4" s="37">
        <v>78.694000000000003</v>
      </c>
      <c r="DV4" s="37">
        <v>79.233000000000004</v>
      </c>
      <c r="DW4" s="37">
        <v>79.760999999999996</v>
      </c>
      <c r="DX4" s="37">
        <v>80.003</v>
      </c>
      <c r="DY4" s="37">
        <v>80.260999999999996</v>
      </c>
      <c r="DZ4" s="37">
        <v>80.474999999999994</v>
      </c>
      <c r="EA4" s="37">
        <v>80.793999999999997</v>
      </c>
      <c r="EB4" s="37">
        <v>81.155000000000001</v>
      </c>
      <c r="EC4" s="37">
        <v>81.626999999999995</v>
      </c>
      <c r="ED4" s="37">
        <v>82.067999999999998</v>
      </c>
      <c r="EE4" s="37">
        <v>82.349000000000004</v>
      </c>
      <c r="EF4" s="37">
        <v>82.822000000000003</v>
      </c>
      <c r="EG4" s="37">
        <v>83.302000000000007</v>
      </c>
      <c r="EH4" s="37">
        <v>83.899000000000001</v>
      </c>
      <c r="EI4" s="37">
        <v>84.58</v>
      </c>
      <c r="EJ4" s="37">
        <v>85.116</v>
      </c>
      <c r="EK4" s="37">
        <v>85.772000000000006</v>
      </c>
      <c r="EL4" s="37">
        <v>86.43</v>
      </c>
      <c r="EM4" s="37">
        <v>87.061999999999998</v>
      </c>
      <c r="EN4" s="37">
        <v>87.884</v>
      </c>
      <c r="EO4" s="37">
        <v>88.584000000000003</v>
      </c>
      <c r="EP4" s="37">
        <v>89.203999999999994</v>
      </c>
      <c r="EQ4" s="37">
        <v>89.992999999999995</v>
      </c>
      <c r="ER4" s="37">
        <v>90.652000000000001</v>
      </c>
      <c r="ES4" s="37">
        <v>90.997</v>
      </c>
      <c r="ET4" s="37">
        <v>91.908000000000001</v>
      </c>
      <c r="EU4" s="37">
        <v>92.491</v>
      </c>
      <c r="EV4" s="37">
        <v>92.882000000000005</v>
      </c>
      <c r="EW4" s="37">
        <v>93.331999999999994</v>
      </c>
      <c r="EX4" s="37">
        <v>93.734999999999999</v>
      </c>
      <c r="EY4" s="37">
        <v>94.075000000000003</v>
      </c>
      <c r="EZ4" s="37">
        <v>94.804000000000002</v>
      </c>
      <c r="FA4" s="37">
        <v>94.974999999999994</v>
      </c>
      <c r="FB4" s="37">
        <v>95.001000000000005</v>
      </c>
      <c r="FC4" s="37">
        <v>94.87</v>
      </c>
      <c r="FD4" s="37">
        <v>94.927999999999997</v>
      </c>
      <c r="FE4" s="37">
        <v>95.277000000000001</v>
      </c>
      <c r="FF4" s="37">
        <v>95.518000000000001</v>
      </c>
      <c r="FG4" s="37">
        <v>95.962999999999994</v>
      </c>
      <c r="FH4" s="37">
        <v>96.311999999999998</v>
      </c>
      <c r="FI4" s="37">
        <v>96.864000000000004</v>
      </c>
      <c r="FJ4" s="37">
        <v>97.338999999999999</v>
      </c>
      <c r="FK4" s="37">
        <v>98.042000000000002</v>
      </c>
      <c r="FL4" s="37">
        <v>98.561000000000007</v>
      </c>
      <c r="FM4" s="37">
        <v>98.686999999999998</v>
      </c>
      <c r="FN4" s="37">
        <v>99.277000000000001</v>
      </c>
      <c r="FO4" s="37">
        <v>99.69</v>
      </c>
      <c r="FP4" s="37">
        <v>100.304</v>
      </c>
      <c r="FQ4" s="37">
        <v>100.73</v>
      </c>
      <c r="FR4" s="37">
        <v>101.124</v>
      </c>
      <c r="FS4" s="37">
        <v>101.428</v>
      </c>
      <c r="FT4" s="37">
        <v>101.973</v>
      </c>
      <c r="FU4" s="37">
        <v>102.55</v>
      </c>
      <c r="FV4" s="37">
        <v>102.965</v>
      </c>
      <c r="FW4" s="37">
        <v>103.55200000000001</v>
      </c>
      <c r="FX4" s="37">
        <v>104.029</v>
      </c>
      <c r="FY4" s="37">
        <v>104.104</v>
      </c>
      <c r="FZ4" s="37">
        <v>104.092</v>
      </c>
      <c r="GA4" s="37">
        <v>104.68300000000001</v>
      </c>
      <c r="GB4" s="37">
        <v>104.93899999999999</v>
      </c>
      <c r="GC4" s="37">
        <v>104.932</v>
      </c>
      <c r="GD4" s="37">
        <v>104.873</v>
      </c>
      <c r="GE4" s="37">
        <v>105.57599999999999</v>
      </c>
      <c r="GF4" s="37">
        <v>105.89400000000001</v>
      </c>
      <c r="GG4" s="37">
        <v>106.47</v>
      </c>
      <c r="GH4" s="37">
        <v>107.02200000000001</v>
      </c>
      <c r="GI4" s="37">
        <v>107.363</v>
      </c>
      <c r="GJ4" s="37">
        <v>107.94799999999999</v>
      </c>
      <c r="GK4" s="37">
        <v>108.639</v>
      </c>
      <c r="GL4" s="37">
        <v>109.36499999999999</v>
      </c>
      <c r="GM4" s="37">
        <v>110.176</v>
      </c>
      <c r="GN4" s="37">
        <v>110.68</v>
      </c>
      <c r="GO4" s="37">
        <v>111.155</v>
      </c>
      <c r="GP4" s="37">
        <v>111.56</v>
      </c>
      <c r="GQ4" s="37">
        <v>112.184</v>
      </c>
      <c r="GR4" s="37">
        <v>112.55800000000001</v>
      </c>
      <c r="GS4" s="37">
        <v>112.91</v>
      </c>
      <c r="GT4" s="37">
        <v>113.42700000000001</v>
      </c>
      <c r="GU4" s="37">
        <v>113.053</v>
      </c>
      <c r="GV4" s="37">
        <v>114.032</v>
      </c>
      <c r="GW4" s="37">
        <v>114.744</v>
      </c>
      <c r="GX4" s="37">
        <v>116.199</v>
      </c>
      <c r="GY4" s="37">
        <v>117.974</v>
      </c>
      <c r="GZ4" s="37">
        <v>119.76300000000001</v>
      </c>
      <c r="HA4" s="37">
        <v>121.758</v>
      </c>
      <c r="HB4" s="37">
        <v>124.209</v>
      </c>
      <c r="HC4">
        <v>126.914</v>
      </c>
      <c r="HD4">
        <v>128.24799999999999</v>
      </c>
    </row>
    <row r="5" spans="1:212" x14ac:dyDescent="0.3">
      <c r="A5" s="37" t="s">
        <v>1763</v>
      </c>
      <c r="B5" s="37">
        <v>631.70000000000005</v>
      </c>
      <c r="C5" s="37">
        <v>641.6</v>
      </c>
      <c r="D5" s="37">
        <v>653.5</v>
      </c>
      <c r="E5" s="37">
        <v>660.2</v>
      </c>
      <c r="F5" s="37">
        <v>679.2</v>
      </c>
      <c r="G5" s="37">
        <v>693.2</v>
      </c>
      <c r="H5" s="37">
        <v>705.6</v>
      </c>
      <c r="I5" s="37">
        <v>721.7</v>
      </c>
      <c r="J5" s="37">
        <v>738.9</v>
      </c>
      <c r="K5" s="37">
        <v>757.4</v>
      </c>
      <c r="L5" s="37">
        <v>775.8</v>
      </c>
      <c r="M5" s="37">
        <v>800.5</v>
      </c>
      <c r="N5" s="37">
        <v>825</v>
      </c>
      <c r="O5" s="37">
        <v>840.5</v>
      </c>
      <c r="P5" s="37">
        <v>858.9</v>
      </c>
      <c r="Q5" s="37">
        <v>873.9</v>
      </c>
      <c r="R5" s="37">
        <v>891.9</v>
      </c>
      <c r="S5" s="37">
        <v>920.4</v>
      </c>
      <c r="T5" s="37">
        <v>949.3</v>
      </c>
      <c r="U5" s="37">
        <v>959.1</v>
      </c>
      <c r="V5" s="37">
        <v>985.2</v>
      </c>
      <c r="W5" s="37">
        <v>1013.6</v>
      </c>
      <c r="X5" s="37">
        <v>1047.2</v>
      </c>
      <c r="Y5" s="37">
        <v>1076.2</v>
      </c>
      <c r="Z5" s="37">
        <v>1109.9000000000001</v>
      </c>
      <c r="AA5" s="37">
        <v>1129.5</v>
      </c>
      <c r="AB5" s="37">
        <v>1158.8</v>
      </c>
      <c r="AC5" s="37">
        <v>1192.4000000000001</v>
      </c>
      <c r="AD5" s="37">
        <v>1228.2</v>
      </c>
      <c r="AE5" s="37">
        <v>1256</v>
      </c>
      <c r="AF5" s="37">
        <v>1286.9000000000001</v>
      </c>
      <c r="AG5" s="37">
        <v>1324.8</v>
      </c>
      <c r="AH5" s="37">
        <v>1354.1</v>
      </c>
      <c r="AI5" s="37">
        <v>1411.4</v>
      </c>
      <c r="AJ5" s="37">
        <v>1442.2</v>
      </c>
      <c r="AK5" s="37">
        <v>1481.4</v>
      </c>
      <c r="AL5" s="37">
        <v>1517.1</v>
      </c>
      <c r="AM5" s="37">
        <v>1557.6</v>
      </c>
      <c r="AN5" s="37">
        <v>1611.9</v>
      </c>
      <c r="AO5" s="37">
        <v>1655</v>
      </c>
      <c r="AP5" s="37">
        <v>1702.3</v>
      </c>
      <c r="AQ5" s="37">
        <v>1704.7</v>
      </c>
      <c r="AR5" s="37">
        <v>1763.8</v>
      </c>
      <c r="AS5" s="37">
        <v>1831.9</v>
      </c>
      <c r="AT5" s="37">
        <v>1885.7</v>
      </c>
      <c r="AU5" s="37">
        <v>1917.5</v>
      </c>
      <c r="AV5" s="37">
        <v>1958.1</v>
      </c>
      <c r="AW5" s="37">
        <v>1974.4</v>
      </c>
      <c r="AX5" s="37">
        <v>2014.2</v>
      </c>
      <c r="AY5" s="37">
        <v>2039.6</v>
      </c>
      <c r="AZ5" s="37">
        <v>2085.6999999999998</v>
      </c>
      <c r="BA5" s="37">
        <v>2145.6</v>
      </c>
      <c r="BB5" s="37">
        <v>2184.6</v>
      </c>
      <c r="BC5" s="37">
        <v>2249.4</v>
      </c>
      <c r="BD5" s="37">
        <v>2319.9</v>
      </c>
      <c r="BE5" s="37">
        <v>2372.5</v>
      </c>
      <c r="BF5" s="37">
        <v>2418.1999999999998</v>
      </c>
      <c r="BG5" s="37">
        <v>2475.9</v>
      </c>
      <c r="BH5" s="37">
        <v>2513.5</v>
      </c>
      <c r="BI5" s="37">
        <v>2561.8000000000002</v>
      </c>
      <c r="BJ5" s="37">
        <v>2636</v>
      </c>
      <c r="BK5" s="37">
        <v>2681.8</v>
      </c>
      <c r="BL5" s="37">
        <v>2754.1</v>
      </c>
      <c r="BM5" s="37">
        <v>2779.4</v>
      </c>
      <c r="BN5" s="37">
        <v>2823.6</v>
      </c>
      <c r="BO5" s="37">
        <v>2851.5</v>
      </c>
      <c r="BP5" s="37">
        <v>2917.2</v>
      </c>
      <c r="BQ5" s="37">
        <v>2952.8</v>
      </c>
      <c r="BR5" s="37">
        <v>2983.5</v>
      </c>
      <c r="BS5" s="37">
        <v>3053.3</v>
      </c>
      <c r="BT5" s="37">
        <v>3117.4</v>
      </c>
      <c r="BU5" s="37">
        <v>3150.9</v>
      </c>
      <c r="BV5" s="37">
        <v>3231.9</v>
      </c>
      <c r="BW5" s="37">
        <v>3291.7</v>
      </c>
      <c r="BX5" s="37">
        <v>3361.9</v>
      </c>
      <c r="BY5" s="37">
        <v>3434.5</v>
      </c>
      <c r="BZ5" s="37">
        <v>3490.2</v>
      </c>
      <c r="CA5" s="37">
        <v>3553.8</v>
      </c>
      <c r="CB5" s="37">
        <v>3609.4</v>
      </c>
      <c r="CC5" s="37">
        <v>3653.7</v>
      </c>
      <c r="CD5" s="37">
        <v>3737.9</v>
      </c>
      <c r="CE5" s="37">
        <v>3783.4</v>
      </c>
      <c r="CF5" s="37">
        <v>3846.7</v>
      </c>
      <c r="CG5" s="37">
        <v>3867.9</v>
      </c>
      <c r="CH5" s="37">
        <v>3873.6</v>
      </c>
      <c r="CI5" s="37">
        <v>3926.9</v>
      </c>
      <c r="CJ5" s="37">
        <v>3973.3</v>
      </c>
      <c r="CK5" s="37">
        <v>4000</v>
      </c>
      <c r="CL5" s="37">
        <v>4100.3999999999996</v>
      </c>
      <c r="CM5" s="37">
        <v>4155.7</v>
      </c>
      <c r="CN5" s="37">
        <v>4227</v>
      </c>
      <c r="CO5" s="37">
        <v>4307.2</v>
      </c>
      <c r="CP5" s="37">
        <v>4349.5</v>
      </c>
      <c r="CQ5" s="37">
        <v>4418.6000000000004</v>
      </c>
      <c r="CR5" s="37">
        <v>4487.2</v>
      </c>
      <c r="CS5" s="37">
        <v>4552.7</v>
      </c>
      <c r="CT5" s="37">
        <v>4621.2</v>
      </c>
      <c r="CU5" s="37">
        <v>4683.2</v>
      </c>
      <c r="CV5" s="37">
        <v>4752.8</v>
      </c>
      <c r="CW5" s="37">
        <v>4826.7</v>
      </c>
      <c r="CX5" s="37">
        <v>4862.3999999999996</v>
      </c>
      <c r="CY5" s="37">
        <v>4933.6000000000004</v>
      </c>
      <c r="CZ5" s="37">
        <v>4998.7</v>
      </c>
      <c r="DA5" s="37">
        <v>5055.7</v>
      </c>
      <c r="DB5" s="37">
        <v>5130.6000000000004</v>
      </c>
      <c r="DC5" s="37">
        <v>5220.5</v>
      </c>
      <c r="DD5" s="37">
        <v>5274.5</v>
      </c>
      <c r="DE5" s="37">
        <v>5352.8</v>
      </c>
      <c r="DF5" s="37">
        <v>5433.1</v>
      </c>
      <c r="DG5" s="37">
        <v>5471.3</v>
      </c>
      <c r="DH5" s="37">
        <v>5579.2</v>
      </c>
      <c r="DI5" s="37">
        <v>5663.6</v>
      </c>
      <c r="DJ5" s="37">
        <v>5721.3</v>
      </c>
      <c r="DK5" s="37">
        <v>5832.6</v>
      </c>
      <c r="DL5" s="37">
        <v>5926.8</v>
      </c>
      <c r="DM5" s="37">
        <v>6028.2</v>
      </c>
      <c r="DN5" s="37">
        <v>6102</v>
      </c>
      <c r="DO5" s="37">
        <v>6230.6</v>
      </c>
      <c r="DP5" s="37">
        <v>6335.3</v>
      </c>
      <c r="DQ5" s="37">
        <v>6467</v>
      </c>
      <c r="DR5" s="37">
        <v>6618.2</v>
      </c>
      <c r="DS5" s="37">
        <v>6711.9</v>
      </c>
      <c r="DT5" s="37">
        <v>6820</v>
      </c>
      <c r="DU5" s="37">
        <v>6918.6</v>
      </c>
      <c r="DV5" s="37">
        <v>6995.3</v>
      </c>
      <c r="DW5" s="37">
        <v>7042.3</v>
      </c>
      <c r="DX5" s="37">
        <v>7070.3</v>
      </c>
      <c r="DY5" s="37">
        <v>7187.3</v>
      </c>
      <c r="DZ5" s="37">
        <v>7217.7</v>
      </c>
      <c r="EA5" s="37">
        <v>7308</v>
      </c>
      <c r="EB5" s="37">
        <v>7397.1</v>
      </c>
      <c r="EC5" s="37">
        <v>7473</v>
      </c>
      <c r="ED5" s="37">
        <v>7567.2</v>
      </c>
      <c r="EE5" s="37">
        <v>7661.5</v>
      </c>
      <c r="EF5" s="37">
        <v>7820.9</v>
      </c>
      <c r="EG5" s="37">
        <v>7913.5</v>
      </c>
      <c r="EH5" s="37">
        <v>8048.8</v>
      </c>
      <c r="EI5" s="37">
        <v>8147.1</v>
      </c>
      <c r="EJ5" s="37">
        <v>8283.2999999999993</v>
      </c>
      <c r="EK5" s="37">
        <v>8448.6</v>
      </c>
      <c r="EL5" s="37">
        <v>8551.7000000000007</v>
      </c>
      <c r="EM5" s="37">
        <v>8701.1</v>
      </c>
      <c r="EN5" s="37">
        <v>8868.1</v>
      </c>
      <c r="EO5" s="37">
        <v>8955.2999999999993</v>
      </c>
      <c r="EP5" s="37">
        <v>9100.2000000000007</v>
      </c>
      <c r="EQ5" s="37">
        <v>9227.6</v>
      </c>
      <c r="ER5" s="37">
        <v>9353.7999999999993</v>
      </c>
      <c r="ES5" s="37">
        <v>9427.4</v>
      </c>
      <c r="ET5" s="37">
        <v>9572.1</v>
      </c>
      <c r="EU5" s="37">
        <v>9678.7000000000007</v>
      </c>
      <c r="EV5" s="37">
        <v>9798.4</v>
      </c>
      <c r="EW5" s="37">
        <v>9937.1</v>
      </c>
      <c r="EX5" s="37">
        <v>10004.4</v>
      </c>
      <c r="EY5" s="37">
        <v>10129.9</v>
      </c>
      <c r="EZ5" s="37">
        <v>10159.1</v>
      </c>
      <c r="FA5" s="37">
        <v>9906.9</v>
      </c>
      <c r="FB5" s="37">
        <v>9815</v>
      </c>
      <c r="FC5" s="37">
        <v>9805.5</v>
      </c>
      <c r="FD5" s="37">
        <v>9939.4</v>
      </c>
      <c r="FE5" s="37">
        <v>10005</v>
      </c>
      <c r="FF5" s="37">
        <v>10101.799999999999</v>
      </c>
      <c r="FG5" s="37">
        <v>10208.1</v>
      </c>
      <c r="FH5" s="37">
        <v>10300.799999999999</v>
      </c>
      <c r="FI5" s="37">
        <v>10430.299999999999</v>
      </c>
      <c r="FJ5" s="37">
        <v>10558.2</v>
      </c>
      <c r="FK5" s="37">
        <v>10673</v>
      </c>
      <c r="FL5" s="37">
        <v>10755</v>
      </c>
      <c r="FM5" s="37">
        <v>10809.2</v>
      </c>
      <c r="FN5" s="37">
        <v>10959.3</v>
      </c>
      <c r="FO5" s="37">
        <v>11005.1</v>
      </c>
      <c r="FP5" s="37">
        <v>11059.4</v>
      </c>
      <c r="FQ5" s="37">
        <v>11165.7</v>
      </c>
      <c r="FR5" s="37">
        <v>11265.6</v>
      </c>
      <c r="FS5" s="37">
        <v>11291</v>
      </c>
      <c r="FT5" s="37">
        <v>11379.2</v>
      </c>
      <c r="FU5" s="37">
        <v>11518.4</v>
      </c>
      <c r="FV5" s="37">
        <v>11618.1</v>
      </c>
      <c r="FW5" s="37">
        <v>11784.7</v>
      </c>
      <c r="FX5" s="37">
        <v>11934.3</v>
      </c>
      <c r="FY5" s="37">
        <v>12053.8</v>
      </c>
      <c r="FZ5" s="37">
        <v>12083.9</v>
      </c>
      <c r="GA5" s="37">
        <v>12224.7</v>
      </c>
      <c r="GB5" s="37">
        <v>12347.8</v>
      </c>
      <c r="GC5" s="37">
        <v>12397.5</v>
      </c>
      <c r="GD5" s="37">
        <v>12495.1</v>
      </c>
      <c r="GE5" s="37">
        <v>12637.4</v>
      </c>
      <c r="GF5" s="37">
        <v>12759.1</v>
      </c>
      <c r="GG5" s="37">
        <v>12881.6</v>
      </c>
      <c r="GH5" s="37">
        <v>13049.4</v>
      </c>
      <c r="GI5" s="37">
        <v>13134</v>
      </c>
      <c r="GJ5" s="37">
        <v>13260.3</v>
      </c>
      <c r="GK5" s="37">
        <v>13490.7</v>
      </c>
      <c r="GL5" s="37">
        <v>13677.3</v>
      </c>
      <c r="GM5" s="37">
        <v>13850.8</v>
      </c>
      <c r="GN5" s="37">
        <v>13988.8</v>
      </c>
      <c r="GO5" s="37">
        <v>14102.9</v>
      </c>
      <c r="GP5" s="37">
        <v>14145.9</v>
      </c>
      <c r="GQ5" s="37">
        <v>14323.7</v>
      </c>
      <c r="GR5" s="37">
        <v>14482.2</v>
      </c>
      <c r="GS5" s="37">
        <v>14619</v>
      </c>
      <c r="GT5" s="37">
        <v>14440.2</v>
      </c>
      <c r="GU5" s="37">
        <v>13049.8</v>
      </c>
      <c r="GV5" s="37">
        <v>14388.7</v>
      </c>
      <c r="GW5" s="37">
        <v>14586</v>
      </c>
      <c r="GX5" s="37">
        <v>15131.5</v>
      </c>
      <c r="GY5" s="37">
        <v>15813.5</v>
      </c>
      <c r="GZ5" s="37">
        <v>16147.3</v>
      </c>
      <c r="HA5" s="37">
        <v>16518</v>
      </c>
      <c r="HB5" s="37">
        <v>16874.8</v>
      </c>
      <c r="HC5">
        <v>17261.3</v>
      </c>
      <c r="HD5">
        <v>17517.099999999999</v>
      </c>
    </row>
    <row r="6" spans="1:212" x14ac:dyDescent="0.3">
      <c r="A6" s="37" t="s">
        <v>1764</v>
      </c>
      <c r="B6" s="37">
        <v>3071.1</v>
      </c>
      <c r="C6" s="37">
        <v>3085</v>
      </c>
      <c r="D6" s="37">
        <v>3112</v>
      </c>
      <c r="E6" s="37">
        <v>3103.6</v>
      </c>
      <c r="F6" s="37">
        <v>3163.1</v>
      </c>
      <c r="G6" s="37">
        <v>3192.2</v>
      </c>
      <c r="H6" s="37">
        <v>3217.7</v>
      </c>
      <c r="I6" s="37">
        <v>3271.1</v>
      </c>
      <c r="J6" s="37">
        <v>3314.2</v>
      </c>
      <c r="K6" s="37">
        <v>3377.3</v>
      </c>
      <c r="L6" s="37">
        <v>3429.4</v>
      </c>
      <c r="M6" s="37">
        <v>3509.8</v>
      </c>
      <c r="N6" s="37">
        <v>3573.9</v>
      </c>
      <c r="O6" s="37">
        <v>3572.3</v>
      </c>
      <c r="P6" s="37">
        <v>3584.9</v>
      </c>
      <c r="Q6" s="37">
        <v>3574.2</v>
      </c>
      <c r="R6" s="37">
        <v>3542.2</v>
      </c>
      <c r="S6" s="37">
        <v>3555</v>
      </c>
      <c r="T6" s="37">
        <v>3570.2</v>
      </c>
      <c r="U6" s="37">
        <v>3518.1</v>
      </c>
      <c r="V6" s="37">
        <v>3547.6</v>
      </c>
      <c r="W6" s="37">
        <v>3605.9</v>
      </c>
      <c r="X6" s="37">
        <v>3657.2</v>
      </c>
      <c r="Y6" s="37">
        <v>3696.5</v>
      </c>
      <c r="Z6" s="37">
        <v>3770.4</v>
      </c>
      <c r="AA6" s="37">
        <v>3805.1</v>
      </c>
      <c r="AB6" s="37">
        <v>3845.1</v>
      </c>
      <c r="AC6" s="37">
        <v>3895</v>
      </c>
      <c r="AD6" s="37">
        <v>3940.9</v>
      </c>
      <c r="AE6" s="37">
        <v>3962.3</v>
      </c>
      <c r="AF6" s="37">
        <v>3999.8</v>
      </c>
      <c r="AG6" s="37">
        <v>4059.9</v>
      </c>
      <c r="AH6" s="37">
        <v>4082.7</v>
      </c>
      <c r="AI6" s="37">
        <v>4170</v>
      </c>
      <c r="AJ6" s="37">
        <v>4187.5</v>
      </c>
      <c r="AK6" s="37">
        <v>4221.3</v>
      </c>
      <c r="AL6" s="37">
        <v>4243.2</v>
      </c>
      <c r="AM6" s="37">
        <v>4240.3999999999996</v>
      </c>
      <c r="AN6" s="37">
        <v>4281.7</v>
      </c>
      <c r="AO6" s="37">
        <v>4292.3</v>
      </c>
      <c r="AP6" s="37">
        <v>4286.2</v>
      </c>
      <c r="AQ6" s="37">
        <v>4189.7</v>
      </c>
      <c r="AR6" s="37">
        <v>4235.6000000000004</v>
      </c>
      <c r="AS6" s="37">
        <v>4292.8999999999996</v>
      </c>
      <c r="AT6" s="37">
        <v>4307.2</v>
      </c>
      <c r="AU6" s="37">
        <v>4307.6000000000004</v>
      </c>
      <c r="AV6" s="37">
        <v>4327.5</v>
      </c>
      <c r="AW6" s="37">
        <v>4297.8999999999996</v>
      </c>
      <c r="AX6" s="37">
        <v>4329.5</v>
      </c>
      <c r="AY6" s="37">
        <v>4342.7</v>
      </c>
      <c r="AZ6" s="37">
        <v>4371.8</v>
      </c>
      <c r="BA6" s="37">
        <v>4448.3999999999996</v>
      </c>
      <c r="BB6" s="37">
        <v>4492.3999999999996</v>
      </c>
      <c r="BC6" s="37">
        <v>4583.8999999999996</v>
      </c>
      <c r="BD6" s="37">
        <v>4666.1000000000004</v>
      </c>
      <c r="BE6" s="37">
        <v>4740.3999999999996</v>
      </c>
      <c r="BF6" s="37">
        <v>4779.8</v>
      </c>
      <c r="BG6" s="37">
        <v>4846.7</v>
      </c>
      <c r="BH6" s="37">
        <v>4882.7</v>
      </c>
      <c r="BI6" s="37">
        <v>4945.8999999999996</v>
      </c>
      <c r="BJ6" s="37">
        <v>5030</v>
      </c>
      <c r="BK6" s="37">
        <v>5076.1000000000004</v>
      </c>
      <c r="BL6" s="37">
        <v>5172.6000000000004</v>
      </c>
      <c r="BM6" s="37">
        <v>5183.7</v>
      </c>
      <c r="BN6" s="37">
        <v>5229</v>
      </c>
      <c r="BO6" s="37">
        <v>5286</v>
      </c>
      <c r="BP6" s="37">
        <v>5379.5</v>
      </c>
      <c r="BQ6" s="37">
        <v>5412.5</v>
      </c>
      <c r="BR6" s="37">
        <v>5417.9</v>
      </c>
      <c r="BS6" s="37">
        <v>5491.8</v>
      </c>
      <c r="BT6" s="37">
        <v>5554.5</v>
      </c>
      <c r="BU6" s="37">
        <v>5566.3</v>
      </c>
      <c r="BV6" s="37">
        <v>5664.6</v>
      </c>
      <c r="BW6" s="37">
        <v>5706.4</v>
      </c>
      <c r="BX6" s="37">
        <v>5757.1</v>
      </c>
      <c r="BY6" s="37">
        <v>5822.6</v>
      </c>
      <c r="BZ6" s="37">
        <v>5849.6</v>
      </c>
      <c r="CA6" s="37">
        <v>5876.9</v>
      </c>
      <c r="CB6" s="37">
        <v>5933.8</v>
      </c>
      <c r="CC6" s="37">
        <v>5959.6</v>
      </c>
      <c r="CD6" s="37">
        <v>6009.7</v>
      </c>
      <c r="CE6" s="37">
        <v>6028</v>
      </c>
      <c r="CF6" s="37">
        <v>6051.9</v>
      </c>
      <c r="CG6" s="37">
        <v>6005.9</v>
      </c>
      <c r="CH6" s="37">
        <v>5983.3</v>
      </c>
      <c r="CI6" s="37">
        <v>6032.9</v>
      </c>
      <c r="CJ6" s="37">
        <v>6063</v>
      </c>
      <c r="CK6" s="37">
        <v>6059.9</v>
      </c>
      <c r="CL6" s="37">
        <v>6173.4</v>
      </c>
      <c r="CM6" s="37">
        <v>6215.3</v>
      </c>
      <c r="CN6" s="37">
        <v>6281.9</v>
      </c>
      <c r="CO6" s="37">
        <v>6356.8</v>
      </c>
      <c r="CP6" s="37">
        <v>6381.2</v>
      </c>
      <c r="CQ6" s="37">
        <v>6439.2</v>
      </c>
      <c r="CR6" s="37">
        <v>6510.9</v>
      </c>
      <c r="CS6" s="37">
        <v>6568</v>
      </c>
      <c r="CT6" s="37">
        <v>6643.2</v>
      </c>
      <c r="CU6" s="37">
        <v>6694.8</v>
      </c>
      <c r="CV6" s="37">
        <v>6745.9</v>
      </c>
      <c r="CW6" s="37">
        <v>6818.8</v>
      </c>
      <c r="CX6" s="37">
        <v>6835.8</v>
      </c>
      <c r="CY6" s="37">
        <v>6895.7</v>
      </c>
      <c r="CZ6" s="37">
        <v>6958.2</v>
      </c>
      <c r="DA6" s="37">
        <v>7006.7</v>
      </c>
      <c r="DB6" s="37">
        <v>7071.4</v>
      </c>
      <c r="DC6" s="37">
        <v>7147.4</v>
      </c>
      <c r="DD6" s="37">
        <v>7190.7</v>
      </c>
      <c r="DE6" s="37">
        <v>7248</v>
      </c>
      <c r="DF6" s="37">
        <v>7324.4</v>
      </c>
      <c r="DG6" s="37">
        <v>7357.4</v>
      </c>
      <c r="DH6" s="37">
        <v>7482.7</v>
      </c>
      <c r="DI6" s="37">
        <v>7572.1</v>
      </c>
      <c r="DJ6" s="37">
        <v>7648.7</v>
      </c>
      <c r="DK6" s="37">
        <v>7783.4</v>
      </c>
      <c r="DL6" s="37">
        <v>7884.9</v>
      </c>
      <c r="DM6" s="37">
        <v>7998.8</v>
      </c>
      <c r="DN6" s="37">
        <v>8081</v>
      </c>
      <c r="DO6" s="37">
        <v>8204.7999999999993</v>
      </c>
      <c r="DP6" s="37">
        <v>8297</v>
      </c>
      <c r="DQ6" s="37">
        <v>8418.2999999999993</v>
      </c>
      <c r="DR6" s="37">
        <v>8545.6</v>
      </c>
      <c r="DS6" s="37">
        <v>8625.4</v>
      </c>
      <c r="DT6" s="37">
        <v>8708.1</v>
      </c>
      <c r="DU6" s="37">
        <v>8784.2000000000007</v>
      </c>
      <c r="DV6" s="37">
        <v>8816</v>
      </c>
      <c r="DW6" s="37">
        <v>8833.7000000000007</v>
      </c>
      <c r="DX6" s="37">
        <v>8864.5</v>
      </c>
      <c r="DY6" s="37">
        <v>9007.5</v>
      </c>
      <c r="DZ6" s="37">
        <v>9027.5</v>
      </c>
      <c r="EA6" s="37">
        <v>9073.2000000000007</v>
      </c>
      <c r="EB6" s="37">
        <v>9136.7000000000007</v>
      </c>
      <c r="EC6" s="37">
        <v>9187.5</v>
      </c>
      <c r="ED6" s="37">
        <v>9232.7999999999993</v>
      </c>
      <c r="EE6" s="37">
        <v>9338.5</v>
      </c>
      <c r="EF6" s="37">
        <v>9470.5</v>
      </c>
      <c r="EG6" s="37">
        <v>9535.7000000000007</v>
      </c>
      <c r="EH6" s="37">
        <v>9624.6</v>
      </c>
      <c r="EI6" s="37">
        <v>9677.2000000000007</v>
      </c>
      <c r="EJ6" s="37">
        <v>9790.7999999999993</v>
      </c>
      <c r="EK6" s="37">
        <v>9901.6</v>
      </c>
      <c r="EL6" s="37">
        <v>9964.5</v>
      </c>
      <c r="EM6" s="37">
        <v>10074.9</v>
      </c>
      <c r="EN6" s="37">
        <v>10158.5</v>
      </c>
      <c r="EO6" s="37">
        <v>10177.200000000001</v>
      </c>
      <c r="EP6" s="37">
        <v>10288.200000000001</v>
      </c>
      <c r="EQ6" s="37">
        <v>10341.6</v>
      </c>
      <c r="ER6" s="37">
        <v>10408</v>
      </c>
      <c r="ES6" s="37">
        <v>10507.2</v>
      </c>
      <c r="ET6" s="37">
        <v>10572.1</v>
      </c>
      <c r="EU6" s="37">
        <v>10599.8</v>
      </c>
      <c r="EV6" s="37">
        <v>10670.5</v>
      </c>
      <c r="EW6" s="37">
        <v>10712.6</v>
      </c>
      <c r="EX6" s="37">
        <v>10697.9</v>
      </c>
      <c r="EY6" s="37">
        <v>10727.3</v>
      </c>
      <c r="EZ6" s="37">
        <v>10644.7</v>
      </c>
      <c r="FA6" s="37">
        <v>10548.9</v>
      </c>
      <c r="FB6" s="37">
        <v>10522.1</v>
      </c>
      <c r="FC6" s="37">
        <v>10470.4</v>
      </c>
      <c r="FD6" s="37">
        <v>10540.8</v>
      </c>
      <c r="FE6" s="37">
        <v>10529.2</v>
      </c>
      <c r="FF6" s="37">
        <v>10590.2</v>
      </c>
      <c r="FG6" s="37">
        <v>10685.1</v>
      </c>
      <c r="FH6" s="37">
        <v>10761.4</v>
      </c>
      <c r="FI6" s="37">
        <v>10827.3</v>
      </c>
      <c r="FJ6" s="37">
        <v>10868.7</v>
      </c>
      <c r="FK6" s="37">
        <v>10879.9</v>
      </c>
      <c r="FL6" s="37">
        <v>10913</v>
      </c>
      <c r="FM6" s="37">
        <v>10931.8</v>
      </c>
      <c r="FN6" s="37">
        <v>11010.7</v>
      </c>
      <c r="FO6" s="37">
        <v>11030</v>
      </c>
      <c r="FP6" s="37">
        <v>11052.4</v>
      </c>
      <c r="FQ6" s="37">
        <v>11096.4</v>
      </c>
      <c r="FR6" s="37">
        <v>11155.5</v>
      </c>
      <c r="FS6" s="37">
        <v>11172.6</v>
      </c>
      <c r="FT6" s="37">
        <v>11214.4</v>
      </c>
      <c r="FU6" s="37">
        <v>11304.3</v>
      </c>
      <c r="FV6" s="37">
        <v>11347.6</v>
      </c>
      <c r="FW6" s="37">
        <v>11453</v>
      </c>
      <c r="FX6" s="37">
        <v>11565.7</v>
      </c>
      <c r="FY6" s="37">
        <v>11694.9</v>
      </c>
      <c r="FZ6" s="37">
        <v>11772.9</v>
      </c>
      <c r="GA6" s="37">
        <v>11852.7</v>
      </c>
      <c r="GB6" s="37">
        <v>11943</v>
      </c>
      <c r="GC6" s="37">
        <v>12003.1</v>
      </c>
      <c r="GD6" s="37">
        <v>12091.2</v>
      </c>
      <c r="GE6" s="37">
        <v>12152.6</v>
      </c>
      <c r="GF6" s="37">
        <v>12223.8</v>
      </c>
      <c r="GG6" s="37">
        <v>12283.1</v>
      </c>
      <c r="GH6" s="37">
        <v>12369.9</v>
      </c>
      <c r="GI6" s="37">
        <v>12419.4</v>
      </c>
      <c r="GJ6" s="37">
        <v>12493.5</v>
      </c>
      <c r="GK6" s="37">
        <v>12630.1</v>
      </c>
      <c r="GL6" s="37">
        <v>12713.2</v>
      </c>
      <c r="GM6" s="37">
        <v>12805.6</v>
      </c>
      <c r="GN6" s="37">
        <v>12887.1</v>
      </c>
      <c r="GO6" s="37">
        <v>12943.4</v>
      </c>
      <c r="GP6" s="37">
        <v>12955.7</v>
      </c>
      <c r="GQ6" s="37">
        <v>13038.9</v>
      </c>
      <c r="GR6" s="37">
        <v>13148.9</v>
      </c>
      <c r="GS6" s="37">
        <v>13225.6</v>
      </c>
      <c r="GT6" s="37">
        <v>13016.8</v>
      </c>
      <c r="GU6" s="37">
        <v>11817.1</v>
      </c>
      <c r="GV6" s="37">
        <v>12922.4</v>
      </c>
      <c r="GW6" s="37">
        <v>13046.6</v>
      </c>
      <c r="GX6" s="37">
        <v>13386.8</v>
      </c>
      <c r="GY6" s="37">
        <v>13773.7</v>
      </c>
      <c r="GZ6" s="37">
        <v>13874.4</v>
      </c>
      <c r="HA6" s="37">
        <v>13981.5</v>
      </c>
      <c r="HB6" s="37">
        <v>14028.4</v>
      </c>
      <c r="HC6">
        <v>14099.5</v>
      </c>
      <c r="HD6">
        <v>14159.9</v>
      </c>
    </row>
    <row r="7" spans="1:212" x14ac:dyDescent="0.3">
      <c r="A7" s="37" t="s">
        <v>1765</v>
      </c>
      <c r="B7" s="37">
        <v>20.57</v>
      </c>
      <c r="C7" s="37">
        <v>20.797999999999998</v>
      </c>
      <c r="D7" s="37">
        <v>21</v>
      </c>
      <c r="E7" s="37">
        <v>21.271999999999998</v>
      </c>
      <c r="F7" s="37">
        <v>21.474</v>
      </c>
      <c r="G7" s="37">
        <v>21.718</v>
      </c>
      <c r="H7" s="37">
        <v>21.931999999999999</v>
      </c>
      <c r="I7" s="37">
        <v>22.068000000000001</v>
      </c>
      <c r="J7" s="37">
        <v>22.300999999999998</v>
      </c>
      <c r="K7" s="37">
        <v>22.428999999999998</v>
      </c>
      <c r="L7" s="37">
        <v>22.626000000000001</v>
      </c>
      <c r="M7" s="37">
        <v>22.811</v>
      </c>
      <c r="N7" s="37">
        <v>23.085999999999999</v>
      </c>
      <c r="O7" s="37">
        <v>23.53</v>
      </c>
      <c r="P7" s="37">
        <v>23.957999999999998</v>
      </c>
      <c r="Q7" s="37">
        <v>24.448</v>
      </c>
      <c r="R7" s="37">
        <v>25.175999999999998</v>
      </c>
      <c r="S7" s="37">
        <v>25.888999999999999</v>
      </c>
      <c r="T7" s="37">
        <v>26.587</v>
      </c>
      <c r="U7" s="37">
        <v>27.263000000000002</v>
      </c>
      <c r="V7" s="37">
        <v>27.776</v>
      </c>
      <c r="W7" s="37">
        <v>28.117000000000001</v>
      </c>
      <c r="X7" s="37">
        <v>28.643000000000001</v>
      </c>
      <c r="Y7" s="37">
        <v>29.123999999999999</v>
      </c>
      <c r="Z7" s="37">
        <v>29.443999999999999</v>
      </c>
      <c r="AA7" s="37">
        <v>29.690999999999999</v>
      </c>
      <c r="AB7" s="37">
        <v>30.141999999999999</v>
      </c>
      <c r="AC7" s="37">
        <v>30.617999999999999</v>
      </c>
      <c r="AD7" s="37">
        <v>31.17</v>
      </c>
      <c r="AE7" s="37">
        <v>31.704000000000001</v>
      </c>
      <c r="AF7" s="37">
        <v>32.180999999999997</v>
      </c>
      <c r="AG7" s="37">
        <v>32.637999999999998</v>
      </c>
      <c r="AH7" s="37">
        <v>33.173999999999999</v>
      </c>
      <c r="AI7" s="37">
        <v>33.854999999999997</v>
      </c>
      <c r="AJ7" s="37">
        <v>34.448999999999998</v>
      </c>
      <c r="AK7" s="37">
        <v>35.1</v>
      </c>
      <c r="AL7" s="37">
        <v>35.762</v>
      </c>
      <c r="AM7" s="37">
        <v>36.738999999999997</v>
      </c>
      <c r="AN7" s="37">
        <v>37.65</v>
      </c>
      <c r="AO7" s="37">
        <v>38.561999999999998</v>
      </c>
      <c r="AP7" s="37">
        <v>39.719000000000001</v>
      </c>
      <c r="AQ7" s="37">
        <v>40.691000000000003</v>
      </c>
      <c r="AR7" s="37">
        <v>41.643000000000001</v>
      </c>
      <c r="AS7" s="37">
        <v>42.673000000000002</v>
      </c>
      <c r="AT7" s="37">
        <v>43.78</v>
      </c>
      <c r="AU7" s="37">
        <v>44.515000000000001</v>
      </c>
      <c r="AV7" s="37">
        <v>45.247999999999998</v>
      </c>
      <c r="AW7" s="37">
        <v>45.941000000000003</v>
      </c>
      <c r="AX7" s="37">
        <v>46.524999999999999</v>
      </c>
      <c r="AY7" s="37">
        <v>46.972999999999999</v>
      </c>
      <c r="AZ7" s="37">
        <v>47.715000000000003</v>
      </c>
      <c r="BA7" s="37">
        <v>48.241</v>
      </c>
      <c r="BB7" s="37">
        <v>48.64</v>
      </c>
      <c r="BC7" s="37">
        <v>49.085000000000001</v>
      </c>
      <c r="BD7" s="37">
        <v>49.73</v>
      </c>
      <c r="BE7" s="37">
        <v>50.058</v>
      </c>
      <c r="BF7" s="37">
        <v>50.598999999999997</v>
      </c>
      <c r="BG7" s="37">
        <v>51.088999999999999</v>
      </c>
      <c r="BH7" s="37">
        <v>51.482999999999997</v>
      </c>
      <c r="BI7" s="37">
        <v>51.801000000000002</v>
      </c>
      <c r="BJ7" s="37">
        <v>52.411999999999999</v>
      </c>
      <c r="BK7" s="37">
        <v>52.837000000000003</v>
      </c>
      <c r="BL7" s="37">
        <v>53.250999999999998</v>
      </c>
      <c r="BM7" s="37">
        <v>53.622999999999998</v>
      </c>
      <c r="BN7" s="37">
        <v>54.003</v>
      </c>
      <c r="BO7" s="37">
        <v>53.945999999999998</v>
      </c>
      <c r="BP7" s="37">
        <v>54.23</v>
      </c>
      <c r="BQ7" s="37">
        <v>54.558</v>
      </c>
      <c r="BR7" s="37">
        <v>55.072000000000003</v>
      </c>
      <c r="BS7" s="37">
        <v>55.603000000000002</v>
      </c>
      <c r="BT7" s="37">
        <v>56.13</v>
      </c>
      <c r="BU7" s="37">
        <v>56.615000000000002</v>
      </c>
      <c r="BV7" s="37">
        <v>57.061999999999998</v>
      </c>
      <c r="BW7" s="37">
        <v>57.692</v>
      </c>
      <c r="BX7" s="37">
        <v>58.402999999999999</v>
      </c>
      <c r="BY7" s="37">
        <v>58.993000000000002</v>
      </c>
      <c r="BZ7" s="37">
        <v>59.670999999999999</v>
      </c>
      <c r="CA7" s="37">
        <v>60.475000000000001</v>
      </c>
      <c r="CB7" s="37">
        <v>60.832000000000001</v>
      </c>
      <c r="CC7" s="37">
        <v>61.31</v>
      </c>
      <c r="CD7" s="37">
        <v>62.198999999999998</v>
      </c>
      <c r="CE7" s="37">
        <v>62.764000000000003</v>
      </c>
      <c r="CF7" s="37">
        <v>63.561</v>
      </c>
      <c r="CG7" s="37">
        <v>64.402000000000001</v>
      </c>
      <c r="CH7" s="37">
        <v>64.739999999999995</v>
      </c>
      <c r="CI7" s="37">
        <v>65.093999999999994</v>
      </c>
      <c r="CJ7" s="37">
        <v>65.536000000000001</v>
      </c>
      <c r="CK7" s="37">
        <v>66.012</v>
      </c>
      <c r="CL7" s="37">
        <v>66.424999999999997</v>
      </c>
      <c r="CM7" s="37">
        <v>66.867000000000004</v>
      </c>
      <c r="CN7" s="37">
        <v>67.293999999999997</v>
      </c>
      <c r="CO7" s="37">
        <v>67.763000000000005</v>
      </c>
      <c r="CP7" s="37">
        <v>68.167000000000002</v>
      </c>
      <c r="CQ7" s="37">
        <v>68.623999999999995</v>
      </c>
      <c r="CR7" s="37">
        <v>68.923000000000002</v>
      </c>
      <c r="CS7" s="37">
        <v>69.319999999999993</v>
      </c>
      <c r="CT7" s="37">
        <v>69.567999999999998</v>
      </c>
      <c r="CU7" s="37">
        <v>69.956000000000003</v>
      </c>
      <c r="CV7" s="37">
        <v>70.459000000000003</v>
      </c>
      <c r="CW7" s="37">
        <v>70.789000000000001</v>
      </c>
      <c r="CX7" s="37">
        <v>71.135999999999996</v>
      </c>
      <c r="CY7" s="37">
        <v>71.549000000000007</v>
      </c>
      <c r="CZ7" s="37">
        <v>71.841999999999999</v>
      </c>
      <c r="DA7" s="37">
        <v>72.158000000000001</v>
      </c>
      <c r="DB7" s="37">
        <v>72.558999999999997</v>
      </c>
      <c r="DC7" s="37">
        <v>73.043999999999997</v>
      </c>
      <c r="DD7" s="37">
        <v>73.355999999999995</v>
      </c>
      <c r="DE7" s="37">
        <v>73.855999999999995</v>
      </c>
      <c r="DF7" s="37">
        <v>74.182000000000002</v>
      </c>
      <c r="DG7" s="37">
        <v>74.367999999999995</v>
      </c>
      <c r="DH7" s="37">
        <v>74.563999999999993</v>
      </c>
      <c r="DI7" s="37">
        <v>74.798000000000002</v>
      </c>
      <c r="DJ7" s="37">
        <v>74.804000000000002</v>
      </c>
      <c r="DK7" s="37">
        <v>74.938999999999993</v>
      </c>
      <c r="DL7" s="37">
        <v>75.17</v>
      </c>
      <c r="DM7" s="37">
        <v>75.369</v>
      </c>
      <c r="DN7" s="37">
        <v>75.516999999999996</v>
      </c>
      <c r="DO7" s="37">
        <v>75.947000000000003</v>
      </c>
      <c r="DP7" s="37">
        <v>76.364999999999995</v>
      </c>
      <c r="DQ7" s="37">
        <v>76.828000000000003</v>
      </c>
      <c r="DR7" s="37">
        <v>77.451999999999998</v>
      </c>
      <c r="DS7" s="37">
        <v>77.820999999999998</v>
      </c>
      <c r="DT7" s="37">
        <v>78.322999999999993</v>
      </c>
      <c r="DU7" s="37">
        <v>78.766000000000005</v>
      </c>
      <c r="DV7" s="37">
        <v>79.349000000000004</v>
      </c>
      <c r="DW7" s="37">
        <v>79.721000000000004</v>
      </c>
      <c r="DX7" s="37">
        <v>79.760999999999996</v>
      </c>
      <c r="DY7" s="37">
        <v>79.793999999999997</v>
      </c>
      <c r="DZ7" s="37">
        <v>79.953999999999994</v>
      </c>
      <c r="EA7" s="37">
        <v>80.546999999999997</v>
      </c>
      <c r="EB7" s="37">
        <v>80.963999999999999</v>
      </c>
      <c r="EC7" s="37">
        <v>81.341999999999999</v>
      </c>
      <c r="ED7" s="37">
        <v>81.963999999999999</v>
      </c>
      <c r="EE7" s="37">
        <v>82.046000000000006</v>
      </c>
      <c r="EF7" s="37">
        <v>82.587000000000003</v>
      </c>
      <c r="EG7" s="37">
        <v>82.992999999999995</v>
      </c>
      <c r="EH7" s="37">
        <v>83.632999999999996</v>
      </c>
      <c r="EI7" s="37">
        <v>84.195999999999998</v>
      </c>
      <c r="EJ7" s="37">
        <v>84.61</v>
      </c>
      <c r="EK7" s="37">
        <v>85.332999999999998</v>
      </c>
      <c r="EL7" s="37">
        <v>85.828999999999994</v>
      </c>
      <c r="EM7" s="37">
        <v>86.370999999999995</v>
      </c>
      <c r="EN7" s="37">
        <v>87.304000000000002</v>
      </c>
      <c r="EO7" s="37">
        <v>87.998999999999995</v>
      </c>
      <c r="EP7" s="37">
        <v>88.456000000000003</v>
      </c>
      <c r="EQ7" s="37">
        <v>89.231999999999999</v>
      </c>
      <c r="ER7" s="37">
        <v>89.873999999999995</v>
      </c>
      <c r="ES7" s="37">
        <v>89.725999999999999</v>
      </c>
      <c r="ET7" s="37">
        <v>90.546000000000006</v>
      </c>
      <c r="EU7" s="37">
        <v>91.314999999999998</v>
      </c>
      <c r="EV7" s="37">
        <v>91.831000000000003</v>
      </c>
      <c r="EW7" s="37">
        <v>92.765000000000001</v>
      </c>
      <c r="EX7" s="37">
        <v>93.52</v>
      </c>
      <c r="EY7" s="37">
        <v>94.43</v>
      </c>
      <c r="EZ7" s="37">
        <v>95.438000000000002</v>
      </c>
      <c r="FA7" s="37">
        <v>93.914000000000001</v>
      </c>
      <c r="FB7" s="37">
        <v>93.28</v>
      </c>
      <c r="FC7" s="37">
        <v>93.650999999999996</v>
      </c>
      <c r="FD7" s="37">
        <v>94.296000000000006</v>
      </c>
      <c r="FE7" s="37">
        <v>95.024000000000001</v>
      </c>
      <c r="FF7" s="37">
        <v>95.391000000000005</v>
      </c>
      <c r="FG7" s="37">
        <v>95.539000000000001</v>
      </c>
      <c r="FH7" s="37">
        <v>95.722999999999999</v>
      </c>
      <c r="FI7" s="37">
        <v>96.335999999999999</v>
      </c>
      <c r="FJ7" s="37">
        <v>97.144999999999996</v>
      </c>
      <c r="FK7" s="37">
        <v>98.1</v>
      </c>
      <c r="FL7" s="37">
        <v>98.554000000000002</v>
      </c>
      <c r="FM7" s="37">
        <v>98.879000000000005</v>
      </c>
      <c r="FN7" s="37">
        <v>99.534000000000006</v>
      </c>
      <c r="FO7" s="37">
        <v>99.775000000000006</v>
      </c>
      <c r="FP7" s="37">
        <v>100.065</v>
      </c>
      <c r="FQ7" s="37">
        <v>100.626</v>
      </c>
      <c r="FR7" s="37">
        <v>100.989</v>
      </c>
      <c r="FS7" s="37">
        <v>101.06100000000001</v>
      </c>
      <c r="FT7" s="37">
        <v>101.471</v>
      </c>
      <c r="FU7" s="37">
        <v>101.896</v>
      </c>
      <c r="FV7" s="37">
        <v>102.386</v>
      </c>
      <c r="FW7" s="37">
        <v>102.899</v>
      </c>
      <c r="FX7" s="37">
        <v>103.19</v>
      </c>
      <c r="FY7" s="37">
        <v>103.071</v>
      </c>
      <c r="FZ7" s="37">
        <v>102.643</v>
      </c>
      <c r="GA7" s="37">
        <v>103.14100000000001</v>
      </c>
      <c r="GB7" s="37">
        <v>103.39</v>
      </c>
      <c r="GC7" s="37">
        <v>103.288</v>
      </c>
      <c r="GD7" s="37">
        <v>103.343</v>
      </c>
      <c r="GE7" s="37">
        <v>103.992</v>
      </c>
      <c r="GF7" s="37">
        <v>104.38200000000001</v>
      </c>
      <c r="GG7" s="37">
        <v>104.876</v>
      </c>
      <c r="GH7" s="37">
        <v>105.497</v>
      </c>
      <c r="GI7" s="37">
        <v>105.758</v>
      </c>
      <c r="GJ7" s="37">
        <v>106.142</v>
      </c>
      <c r="GK7" s="37">
        <v>106.818</v>
      </c>
      <c r="GL7" s="37">
        <v>107.58799999999999</v>
      </c>
      <c r="GM7" s="37">
        <v>108.166</v>
      </c>
      <c r="GN7" s="37">
        <v>108.55200000000001</v>
      </c>
      <c r="GO7" s="37">
        <v>108.961</v>
      </c>
      <c r="GP7" s="37">
        <v>109.188</v>
      </c>
      <c r="GQ7" s="37">
        <v>109.857</v>
      </c>
      <c r="GR7" s="37">
        <v>110.14400000000001</v>
      </c>
      <c r="GS7" s="37">
        <v>110.54300000000001</v>
      </c>
      <c r="GT7" s="37">
        <v>110.946</v>
      </c>
      <c r="GU7" s="37">
        <v>110.44499999999999</v>
      </c>
      <c r="GV7" s="37">
        <v>111.366</v>
      </c>
      <c r="GW7" s="37">
        <v>111.821</v>
      </c>
      <c r="GX7" s="37">
        <v>113.059</v>
      </c>
      <c r="GY7" s="37">
        <v>114.83799999999999</v>
      </c>
      <c r="GZ7" s="37">
        <v>116.413</v>
      </c>
      <c r="HA7" s="37">
        <v>118.173</v>
      </c>
      <c r="HB7" s="37">
        <v>120.32299999999999</v>
      </c>
      <c r="HC7">
        <v>122.459</v>
      </c>
      <c r="HD7">
        <v>123.74299999999999</v>
      </c>
    </row>
    <row r="8" spans="1:212" x14ac:dyDescent="0.3">
      <c r="A8" s="37" t="s">
        <v>1766</v>
      </c>
      <c r="B8" s="37">
        <v>18.704000000000001</v>
      </c>
      <c r="C8" s="37">
        <v>18.951000000000001</v>
      </c>
      <c r="D8" s="37">
        <v>19.274000000000001</v>
      </c>
      <c r="E8" s="37">
        <v>19.518999999999998</v>
      </c>
      <c r="F8" s="37">
        <v>20.137</v>
      </c>
      <c r="G8" s="37">
        <v>20.513000000000002</v>
      </c>
      <c r="H8" s="37">
        <v>20.81</v>
      </c>
      <c r="I8" s="37">
        <v>21.233000000000001</v>
      </c>
      <c r="J8" s="37">
        <v>22.106999999999999</v>
      </c>
      <c r="K8" s="37">
        <v>22.33</v>
      </c>
      <c r="L8" s="37">
        <v>22.513000000000002</v>
      </c>
      <c r="M8" s="37">
        <v>23.003</v>
      </c>
      <c r="N8" s="37">
        <v>23.373000000000001</v>
      </c>
      <c r="O8" s="37">
        <v>23.78</v>
      </c>
      <c r="P8" s="37">
        <v>24.271999999999998</v>
      </c>
      <c r="Q8" s="37">
        <v>24.791</v>
      </c>
      <c r="R8" s="37">
        <v>25.045000000000002</v>
      </c>
      <c r="S8" s="37">
        <v>25.498000000000001</v>
      </c>
      <c r="T8" s="37">
        <v>26.242000000000001</v>
      </c>
      <c r="U8" s="37">
        <v>27.114000000000001</v>
      </c>
      <c r="V8" s="37">
        <v>27.606999999999999</v>
      </c>
      <c r="W8" s="37">
        <v>28.006</v>
      </c>
      <c r="X8" s="37">
        <v>28.384</v>
      </c>
      <c r="Y8" s="37">
        <v>29.036000000000001</v>
      </c>
      <c r="Z8" s="37">
        <v>29.46</v>
      </c>
      <c r="AA8" s="37">
        <v>29.707000000000001</v>
      </c>
      <c r="AB8" s="37">
        <v>30.047000000000001</v>
      </c>
      <c r="AC8" s="37">
        <v>30.850999999999999</v>
      </c>
      <c r="AD8" s="37">
        <v>31.286999999999999</v>
      </c>
      <c r="AE8" s="37">
        <v>31.643000000000001</v>
      </c>
      <c r="AF8" s="37">
        <v>31.798999999999999</v>
      </c>
      <c r="AG8" s="37">
        <v>32.720999999999997</v>
      </c>
      <c r="AH8" s="37">
        <v>33.094999999999999</v>
      </c>
      <c r="AI8" s="37">
        <v>33.744999999999997</v>
      </c>
      <c r="AJ8" s="37">
        <v>34.308999999999997</v>
      </c>
      <c r="AK8" s="37">
        <v>34.901000000000003</v>
      </c>
      <c r="AL8" s="37">
        <v>35.543999999999997</v>
      </c>
      <c r="AM8" s="37">
        <v>36.081000000000003</v>
      </c>
      <c r="AN8" s="37">
        <v>36.923000000000002</v>
      </c>
      <c r="AO8" s="37">
        <v>37.735999999999997</v>
      </c>
      <c r="AP8" s="37">
        <v>38.481999999999999</v>
      </c>
      <c r="AQ8" s="37">
        <v>39.97</v>
      </c>
      <c r="AR8" s="37">
        <v>40.375</v>
      </c>
      <c r="AS8" s="37">
        <v>41.59</v>
      </c>
      <c r="AT8" s="37">
        <v>42.420999999999999</v>
      </c>
      <c r="AU8" s="37">
        <v>43.406999999999996</v>
      </c>
      <c r="AV8" s="37">
        <v>44.36</v>
      </c>
      <c r="AW8" s="37">
        <v>45.209000000000003</v>
      </c>
      <c r="AX8" s="37">
        <v>45.932000000000002</v>
      </c>
      <c r="AY8" s="37">
        <v>46.841000000000001</v>
      </c>
      <c r="AZ8" s="37">
        <v>47.234999999999999</v>
      </c>
      <c r="BA8" s="37">
        <v>47.792000000000002</v>
      </c>
      <c r="BB8" s="37">
        <v>47.881999999999998</v>
      </c>
      <c r="BC8" s="37">
        <v>48.252000000000002</v>
      </c>
      <c r="BD8" s="37">
        <v>48.786000000000001</v>
      </c>
      <c r="BE8" s="37">
        <v>49.104999999999997</v>
      </c>
      <c r="BF8" s="37">
        <v>49.741</v>
      </c>
      <c r="BG8" s="37">
        <v>50.237000000000002</v>
      </c>
      <c r="BH8" s="37">
        <v>50.984000000000002</v>
      </c>
      <c r="BI8" s="37">
        <v>51.612000000000002</v>
      </c>
      <c r="BJ8" s="37">
        <v>51.405999999999999</v>
      </c>
      <c r="BK8" s="37">
        <v>51.527000000000001</v>
      </c>
      <c r="BL8" s="37">
        <v>51.802</v>
      </c>
      <c r="BM8" s="37">
        <v>52.142000000000003</v>
      </c>
      <c r="BN8" s="37">
        <v>52.01</v>
      </c>
      <c r="BO8" s="37">
        <v>51.881</v>
      </c>
      <c r="BP8" s="37">
        <v>51.954000000000001</v>
      </c>
      <c r="BQ8" s="37">
        <v>52.012999999999998</v>
      </c>
      <c r="BR8" s="37">
        <v>51.923999999999999</v>
      </c>
      <c r="BS8" s="37">
        <v>52.170999999999999</v>
      </c>
      <c r="BT8" s="37">
        <v>52.548000000000002</v>
      </c>
      <c r="BU8" s="37">
        <v>52.658000000000001</v>
      </c>
      <c r="BV8" s="37">
        <v>53.375999999999998</v>
      </c>
      <c r="BW8" s="37">
        <v>53.901000000000003</v>
      </c>
      <c r="BX8" s="37">
        <v>54.209000000000003</v>
      </c>
      <c r="BY8" s="37">
        <v>54.645000000000003</v>
      </c>
      <c r="BZ8" s="37">
        <v>55.051000000000002</v>
      </c>
      <c r="CA8" s="37">
        <v>55.454999999999998</v>
      </c>
      <c r="CB8" s="37">
        <v>55.731000000000002</v>
      </c>
      <c r="CC8" s="37">
        <v>55.930999999999997</v>
      </c>
      <c r="CD8" s="37">
        <v>56.323</v>
      </c>
      <c r="CE8" s="37">
        <v>57.29</v>
      </c>
      <c r="CF8" s="37">
        <v>57.366999999999997</v>
      </c>
      <c r="CG8" s="37">
        <v>58.05</v>
      </c>
      <c r="CH8" s="37">
        <v>58.570999999999998</v>
      </c>
      <c r="CI8" s="37">
        <v>58.86</v>
      </c>
      <c r="CJ8" s="37">
        <v>59.616</v>
      </c>
      <c r="CK8" s="37">
        <v>60.219000000000001</v>
      </c>
      <c r="CL8" s="37">
        <v>60.307000000000002</v>
      </c>
      <c r="CM8" s="37">
        <v>60.527000000000001</v>
      </c>
      <c r="CN8" s="37">
        <v>61.055</v>
      </c>
      <c r="CO8" s="37">
        <v>61.439</v>
      </c>
      <c r="CP8" s="37">
        <v>61.591999999999999</v>
      </c>
      <c r="CQ8" s="37">
        <v>61.863</v>
      </c>
      <c r="CR8" s="37">
        <v>62.311</v>
      </c>
      <c r="CS8" s="37">
        <v>62.87</v>
      </c>
      <c r="CT8" s="37">
        <v>63.158000000000001</v>
      </c>
      <c r="CU8" s="37">
        <v>63.688000000000002</v>
      </c>
      <c r="CV8" s="37">
        <v>64.054000000000002</v>
      </c>
      <c r="CW8" s="37">
        <v>64.58</v>
      </c>
      <c r="CX8" s="37">
        <v>65.123999999999995</v>
      </c>
      <c r="CY8" s="37">
        <v>65.558000000000007</v>
      </c>
      <c r="CZ8" s="37">
        <v>65.897000000000006</v>
      </c>
      <c r="DA8" s="37">
        <v>66.807000000000002</v>
      </c>
      <c r="DB8" s="37">
        <v>66.963999999999999</v>
      </c>
      <c r="DC8" s="37">
        <v>66.605000000000004</v>
      </c>
      <c r="DD8" s="37">
        <v>66.992000000000004</v>
      </c>
      <c r="DE8" s="37">
        <v>67.221999999999994</v>
      </c>
      <c r="DF8" s="37">
        <v>67.450999999999993</v>
      </c>
      <c r="DG8" s="37">
        <v>67.894999999999996</v>
      </c>
      <c r="DH8" s="37">
        <v>68.051000000000002</v>
      </c>
      <c r="DI8" s="37">
        <v>68.528000000000006</v>
      </c>
      <c r="DJ8" s="37">
        <v>68.241</v>
      </c>
      <c r="DK8" s="37">
        <v>68.680000000000007</v>
      </c>
      <c r="DL8" s="37">
        <v>69.129000000000005</v>
      </c>
      <c r="DM8" s="37">
        <v>69.350999999999999</v>
      </c>
      <c r="DN8" s="37">
        <v>69.557000000000002</v>
      </c>
      <c r="DO8" s="37">
        <v>70.141999999999996</v>
      </c>
      <c r="DP8" s="37">
        <v>70.778999999999996</v>
      </c>
      <c r="DQ8" s="37">
        <v>71.649000000000001</v>
      </c>
      <c r="DR8" s="37">
        <v>72.346999999999994</v>
      </c>
      <c r="DS8" s="37">
        <v>72.625</v>
      </c>
      <c r="DT8" s="37">
        <v>73.144999999999996</v>
      </c>
      <c r="DU8" s="37">
        <v>73.475999999999999</v>
      </c>
      <c r="DV8" s="37">
        <v>73.600999999999999</v>
      </c>
      <c r="DW8" s="37">
        <v>73.988</v>
      </c>
      <c r="DX8" s="37">
        <v>74.462000000000003</v>
      </c>
      <c r="DY8" s="37">
        <v>74.944000000000003</v>
      </c>
      <c r="DZ8" s="37">
        <v>75.430000000000007</v>
      </c>
      <c r="EA8" s="37">
        <v>76.143000000000001</v>
      </c>
      <c r="EB8" s="37">
        <v>76.796999999999997</v>
      </c>
      <c r="EC8" s="37">
        <v>78.22</v>
      </c>
      <c r="ED8" s="37">
        <v>79.091999999999999</v>
      </c>
      <c r="EE8" s="37">
        <v>79.653999999999996</v>
      </c>
      <c r="EF8" s="37">
        <v>80.375</v>
      </c>
      <c r="EG8" s="37">
        <v>80.977000000000004</v>
      </c>
      <c r="EH8" s="37">
        <v>81.665999999999997</v>
      </c>
      <c r="EI8" s="37">
        <v>82.375</v>
      </c>
      <c r="EJ8" s="37">
        <v>83.129000000000005</v>
      </c>
      <c r="EK8" s="37">
        <v>83.938000000000002</v>
      </c>
      <c r="EL8" s="37">
        <v>85.043000000000006</v>
      </c>
      <c r="EM8" s="37">
        <v>85.81</v>
      </c>
      <c r="EN8" s="37">
        <v>86.706000000000003</v>
      </c>
      <c r="EO8" s="37">
        <v>87.328999999999994</v>
      </c>
      <c r="EP8" s="37">
        <v>88.063999999999993</v>
      </c>
      <c r="EQ8" s="37">
        <v>88.677000000000007</v>
      </c>
      <c r="ER8" s="37">
        <v>89.334000000000003</v>
      </c>
      <c r="ES8" s="37">
        <v>89.799000000000007</v>
      </c>
      <c r="ET8" s="37">
        <v>90.566999999999993</v>
      </c>
      <c r="EU8" s="37">
        <v>91.290999999999997</v>
      </c>
      <c r="EV8" s="37">
        <v>91.92</v>
      </c>
      <c r="EW8" s="37">
        <v>92.656999999999996</v>
      </c>
      <c r="EX8" s="37">
        <v>93.438000000000002</v>
      </c>
      <c r="EY8" s="37">
        <v>94.394999999999996</v>
      </c>
      <c r="EZ8" s="37">
        <v>95.102999999999994</v>
      </c>
      <c r="FA8" s="37">
        <v>94.65</v>
      </c>
      <c r="FB8" s="37">
        <v>93.855999999999995</v>
      </c>
      <c r="FC8" s="37">
        <v>93.873000000000005</v>
      </c>
      <c r="FD8" s="37">
        <v>94.16</v>
      </c>
      <c r="FE8" s="37">
        <v>94.884</v>
      </c>
      <c r="FF8" s="37">
        <v>95.488</v>
      </c>
      <c r="FG8" s="37">
        <v>96.22</v>
      </c>
      <c r="FH8" s="37">
        <v>96.602000000000004</v>
      </c>
      <c r="FI8" s="37">
        <v>97.388000000000005</v>
      </c>
      <c r="FJ8" s="37">
        <v>98.263000000000005</v>
      </c>
      <c r="FK8" s="37">
        <v>99.152000000000001</v>
      </c>
      <c r="FL8" s="37">
        <v>99.497</v>
      </c>
      <c r="FM8" s="37">
        <v>99.364000000000004</v>
      </c>
      <c r="FN8" s="37">
        <v>99.707999999999998</v>
      </c>
      <c r="FO8" s="37">
        <v>99.927999999999997</v>
      </c>
      <c r="FP8" s="37">
        <v>100.12</v>
      </c>
      <c r="FQ8" s="37">
        <v>100.244</v>
      </c>
      <c r="FR8" s="37">
        <v>100.239</v>
      </c>
      <c r="FS8" s="37">
        <v>100.437</v>
      </c>
      <c r="FT8" s="37">
        <v>100.762</v>
      </c>
      <c r="FU8" s="37">
        <v>102.295</v>
      </c>
      <c r="FV8" s="37">
        <v>102.03100000000001</v>
      </c>
      <c r="FW8" s="37">
        <v>102.482</v>
      </c>
      <c r="FX8" s="37">
        <v>102.961</v>
      </c>
      <c r="FY8" s="37">
        <v>103.099</v>
      </c>
      <c r="FZ8" s="37">
        <v>102.93300000000001</v>
      </c>
      <c r="GA8" s="37">
        <v>103.13500000000001</v>
      </c>
      <c r="GB8" s="37">
        <v>103.29300000000001</v>
      </c>
      <c r="GC8" s="37">
        <v>103.211</v>
      </c>
      <c r="GD8" s="37">
        <v>102.953</v>
      </c>
      <c r="GE8" s="37">
        <v>103.50700000000001</v>
      </c>
      <c r="GF8" s="37">
        <v>103.90900000000001</v>
      </c>
      <c r="GG8" s="37">
        <v>104.41</v>
      </c>
      <c r="GH8" s="37">
        <v>104.913</v>
      </c>
      <c r="GI8" s="37">
        <v>105.255</v>
      </c>
      <c r="GJ8" s="37">
        <v>105.72</v>
      </c>
      <c r="GK8" s="37">
        <v>106.48</v>
      </c>
      <c r="GL8" s="37">
        <v>107.559</v>
      </c>
      <c r="GM8" s="37">
        <v>108.345</v>
      </c>
      <c r="GN8" s="37">
        <v>108.973</v>
      </c>
      <c r="GO8" s="37">
        <v>109.77200000000001</v>
      </c>
      <c r="GP8" s="37">
        <v>110.943</v>
      </c>
      <c r="GQ8" s="37">
        <v>110.205</v>
      </c>
      <c r="GR8" s="37">
        <v>110.48</v>
      </c>
      <c r="GS8" s="37">
        <v>110.926</v>
      </c>
      <c r="GT8" s="37">
        <v>111.301</v>
      </c>
      <c r="GU8" s="37">
        <v>111.393</v>
      </c>
      <c r="GV8" s="37">
        <v>112.10899999999999</v>
      </c>
      <c r="GW8" s="37">
        <v>112.788</v>
      </c>
      <c r="GX8" s="37">
        <v>113.922</v>
      </c>
      <c r="GY8" s="37">
        <v>115.07899999999999</v>
      </c>
      <c r="GZ8" s="37">
        <v>116.325</v>
      </c>
      <c r="HA8" s="37">
        <v>117.568</v>
      </c>
      <c r="HB8" s="37">
        <v>119.203</v>
      </c>
      <c r="HC8">
        <v>120.95099999999999</v>
      </c>
      <c r="HD8">
        <v>122.473</v>
      </c>
    </row>
    <row r="9" spans="1:212" x14ac:dyDescent="0.3">
      <c r="A9" s="37" t="s">
        <v>1767</v>
      </c>
      <c r="B9" s="37">
        <v>13.706</v>
      </c>
      <c r="C9" s="37">
        <v>13.997</v>
      </c>
      <c r="D9" s="37">
        <v>14.25</v>
      </c>
      <c r="E9" s="37">
        <v>14.52</v>
      </c>
      <c r="F9" s="37">
        <v>14.849</v>
      </c>
      <c r="G9" s="37">
        <v>15.118</v>
      </c>
      <c r="H9" s="37">
        <v>15.331</v>
      </c>
      <c r="I9" s="37">
        <v>15.497999999999999</v>
      </c>
      <c r="J9" s="37">
        <v>15.845000000000001</v>
      </c>
      <c r="K9" s="37">
        <v>16.032</v>
      </c>
      <c r="L9" s="37">
        <v>16.276</v>
      </c>
      <c r="M9" s="37">
        <v>16.5</v>
      </c>
      <c r="N9" s="37">
        <v>16.824999999999999</v>
      </c>
      <c r="O9" s="37">
        <v>17.123999999999999</v>
      </c>
      <c r="P9" s="37">
        <v>17.353999999999999</v>
      </c>
      <c r="Q9" s="37">
        <v>17.683</v>
      </c>
      <c r="R9" s="37">
        <v>18.196000000000002</v>
      </c>
      <c r="S9" s="37">
        <v>18.829000000000001</v>
      </c>
      <c r="T9" s="37">
        <v>19.515999999999998</v>
      </c>
      <c r="U9" s="37">
        <v>20.09</v>
      </c>
      <c r="V9" s="37">
        <v>20.494</v>
      </c>
      <c r="W9" s="37">
        <v>20.9</v>
      </c>
      <c r="X9" s="37">
        <v>21.167000000000002</v>
      </c>
      <c r="Y9" s="37">
        <v>21.437999999999999</v>
      </c>
      <c r="Z9" s="37">
        <v>21.68</v>
      </c>
      <c r="AA9" s="37">
        <v>21.943000000000001</v>
      </c>
      <c r="AB9" s="37">
        <v>22.106000000000002</v>
      </c>
      <c r="AC9" s="37">
        <v>22.37</v>
      </c>
      <c r="AD9" s="37">
        <v>22.792000000000002</v>
      </c>
      <c r="AE9" s="37">
        <v>23.2</v>
      </c>
      <c r="AF9" s="37">
        <v>23.594999999999999</v>
      </c>
      <c r="AG9" s="37">
        <v>23.992999999999999</v>
      </c>
      <c r="AH9" s="37">
        <v>24.332000000000001</v>
      </c>
      <c r="AI9" s="37">
        <v>24.738</v>
      </c>
      <c r="AJ9" s="37">
        <v>25.114999999999998</v>
      </c>
      <c r="AK9" s="37">
        <v>25.475000000000001</v>
      </c>
      <c r="AL9" s="37">
        <v>26.081</v>
      </c>
      <c r="AM9" s="37">
        <v>26.678000000000001</v>
      </c>
      <c r="AN9" s="37">
        <v>27.582000000000001</v>
      </c>
      <c r="AO9" s="37">
        <v>28.120999999999999</v>
      </c>
      <c r="AP9" s="37">
        <v>28.853000000000002</v>
      </c>
      <c r="AQ9" s="37">
        <v>29.645</v>
      </c>
      <c r="AR9" s="37">
        <v>30.5</v>
      </c>
      <c r="AS9" s="37">
        <v>31.33</v>
      </c>
      <c r="AT9" s="37">
        <v>32.348999999999997</v>
      </c>
      <c r="AU9" s="37">
        <v>33.045000000000002</v>
      </c>
      <c r="AV9" s="37">
        <v>33.494</v>
      </c>
      <c r="AW9" s="37">
        <v>34.023000000000003</v>
      </c>
      <c r="AX9" s="37">
        <v>34.595999999999997</v>
      </c>
      <c r="AY9" s="37">
        <v>35.152000000000001</v>
      </c>
      <c r="AZ9" s="37">
        <v>35.704000000000001</v>
      </c>
      <c r="BA9" s="37">
        <v>36.158000000000001</v>
      </c>
      <c r="BB9" s="37">
        <v>36.417999999999999</v>
      </c>
      <c r="BC9" s="37">
        <v>36.817</v>
      </c>
      <c r="BD9" s="37">
        <v>37.173000000000002</v>
      </c>
      <c r="BE9" s="37">
        <v>37.456000000000003</v>
      </c>
      <c r="BF9" s="37">
        <v>37.999000000000002</v>
      </c>
      <c r="BG9" s="37">
        <v>38.360999999999997</v>
      </c>
      <c r="BH9" s="37">
        <v>38.719000000000001</v>
      </c>
      <c r="BI9" s="37">
        <v>39.103000000000002</v>
      </c>
      <c r="BJ9" s="37">
        <v>39.564</v>
      </c>
      <c r="BK9" s="37">
        <v>39.954000000000001</v>
      </c>
      <c r="BL9" s="37">
        <v>40.284999999999997</v>
      </c>
      <c r="BM9" s="37">
        <v>40.658000000000001</v>
      </c>
      <c r="BN9" s="37">
        <v>40.826999999999998</v>
      </c>
      <c r="BO9" s="37">
        <v>41.006999999999998</v>
      </c>
      <c r="BP9" s="37">
        <v>41.362000000000002</v>
      </c>
      <c r="BQ9" s="37">
        <v>41.887999999999998</v>
      </c>
      <c r="BR9" s="37">
        <v>42.487000000000002</v>
      </c>
      <c r="BS9" s="37">
        <v>43.006</v>
      </c>
      <c r="BT9" s="37">
        <v>43.521000000000001</v>
      </c>
      <c r="BU9" s="37">
        <v>43.78</v>
      </c>
      <c r="BV9" s="37">
        <v>44.005000000000003</v>
      </c>
      <c r="BW9" s="37">
        <v>44.433999999999997</v>
      </c>
      <c r="BX9" s="37">
        <v>44.808</v>
      </c>
      <c r="BY9" s="37">
        <v>45.320999999999998</v>
      </c>
      <c r="BZ9" s="37">
        <v>45.917000000000002</v>
      </c>
      <c r="CA9" s="37">
        <v>46.54</v>
      </c>
      <c r="CB9" s="37">
        <v>46.975999999999999</v>
      </c>
      <c r="CC9" s="37">
        <v>47.582999999999998</v>
      </c>
      <c r="CD9" s="37">
        <v>48.256</v>
      </c>
      <c r="CE9" s="37">
        <v>48.753999999999998</v>
      </c>
      <c r="CF9" s="37">
        <v>49.417000000000002</v>
      </c>
      <c r="CG9" s="37">
        <v>50.195</v>
      </c>
      <c r="CH9" s="37">
        <v>50.405999999999999</v>
      </c>
      <c r="CI9" s="37">
        <v>50.710999999999999</v>
      </c>
      <c r="CJ9" s="37">
        <v>51.128999999999998</v>
      </c>
      <c r="CK9" s="37">
        <v>51.575000000000003</v>
      </c>
      <c r="CL9" s="37">
        <v>51.942999999999998</v>
      </c>
      <c r="CM9" s="37">
        <v>52.563000000000002</v>
      </c>
      <c r="CN9" s="37">
        <v>52.951000000000001</v>
      </c>
      <c r="CO9" s="37">
        <v>53.311999999999998</v>
      </c>
      <c r="CP9" s="37">
        <v>53.622</v>
      </c>
      <c r="CQ9" s="37">
        <v>53.938000000000002</v>
      </c>
      <c r="CR9" s="37">
        <v>54.091999999999999</v>
      </c>
      <c r="CS9" s="37">
        <v>54.365000000000002</v>
      </c>
      <c r="CT9" s="37">
        <v>54.808999999999997</v>
      </c>
      <c r="CU9" s="37">
        <v>55.113999999999997</v>
      </c>
      <c r="CV9" s="37">
        <v>55.595999999999997</v>
      </c>
      <c r="CW9" s="37">
        <v>56.067999999999998</v>
      </c>
      <c r="CX9" s="37">
        <v>56.381</v>
      </c>
      <c r="CY9" s="37">
        <v>56.808999999999997</v>
      </c>
      <c r="CZ9" s="37">
        <v>57.042999999999999</v>
      </c>
      <c r="DA9" s="37">
        <v>57.261000000000003</v>
      </c>
      <c r="DB9" s="37">
        <v>57.832999999999998</v>
      </c>
      <c r="DC9" s="37">
        <v>57.911999999999999</v>
      </c>
      <c r="DD9" s="37">
        <v>58.277999999999999</v>
      </c>
      <c r="DE9" s="37">
        <v>58.695999999999998</v>
      </c>
      <c r="DF9" s="37">
        <v>59.085000000000001</v>
      </c>
      <c r="DG9" s="37">
        <v>59.276000000000003</v>
      </c>
      <c r="DH9" s="37">
        <v>59.533999999999999</v>
      </c>
      <c r="DI9" s="37">
        <v>60</v>
      </c>
      <c r="DJ9" s="37">
        <v>60.081000000000003</v>
      </c>
      <c r="DK9" s="37">
        <v>60.347000000000001</v>
      </c>
      <c r="DL9" s="37">
        <v>60.798999999999999</v>
      </c>
      <c r="DM9" s="37">
        <v>61.307000000000002</v>
      </c>
      <c r="DN9" s="37">
        <v>61.777999999999999</v>
      </c>
      <c r="DO9" s="37">
        <v>62.613999999999997</v>
      </c>
      <c r="DP9" s="37">
        <v>63.366</v>
      </c>
      <c r="DQ9" s="37">
        <v>64.093999999999994</v>
      </c>
      <c r="DR9" s="37">
        <v>64.912999999999997</v>
      </c>
      <c r="DS9" s="37">
        <v>65.602000000000004</v>
      </c>
      <c r="DT9" s="37">
        <v>66.305999999999997</v>
      </c>
      <c r="DU9" s="37">
        <v>67.134</v>
      </c>
      <c r="DV9" s="37">
        <v>67.936000000000007</v>
      </c>
      <c r="DW9" s="37">
        <v>68.201999999999998</v>
      </c>
      <c r="DX9" s="37">
        <v>68.381</v>
      </c>
      <c r="DY9" s="37">
        <v>68.513999999999996</v>
      </c>
      <c r="DZ9" s="37">
        <v>68.930999999999997</v>
      </c>
      <c r="EA9" s="37">
        <v>69.551000000000002</v>
      </c>
      <c r="EB9" s="37">
        <v>70.051000000000002</v>
      </c>
      <c r="EC9" s="37">
        <v>70.635999999999996</v>
      </c>
      <c r="ED9" s="37">
        <v>71.641999999999996</v>
      </c>
      <c r="EE9" s="37">
        <v>71.694000000000003</v>
      </c>
      <c r="EF9" s="37">
        <v>72.174999999999997</v>
      </c>
      <c r="EG9" s="37">
        <v>72.741</v>
      </c>
      <c r="EH9" s="37">
        <v>73.661000000000001</v>
      </c>
      <c r="EI9" s="37">
        <v>74.712999999999994</v>
      </c>
      <c r="EJ9" s="37">
        <v>75.923000000000002</v>
      </c>
      <c r="EK9" s="37">
        <v>77.230999999999995</v>
      </c>
      <c r="EL9" s="37">
        <v>77.924999999999997</v>
      </c>
      <c r="EM9" s="37">
        <v>78.921999999999997</v>
      </c>
      <c r="EN9" s="37">
        <v>80.183000000000007</v>
      </c>
      <c r="EO9" s="37">
        <v>81.492999999999995</v>
      </c>
      <c r="EP9" s="37">
        <v>82.072999999999993</v>
      </c>
      <c r="EQ9" s="37">
        <v>83.332999999999998</v>
      </c>
      <c r="ER9" s="37">
        <v>84.168999999999997</v>
      </c>
      <c r="ES9" s="37">
        <v>85.058999999999997</v>
      </c>
      <c r="ET9" s="37">
        <v>86.683000000000007</v>
      </c>
      <c r="EU9" s="37">
        <v>87.617000000000004</v>
      </c>
      <c r="EV9" s="37">
        <v>88.57</v>
      </c>
      <c r="EW9" s="37">
        <v>89.855000000000004</v>
      </c>
      <c r="EX9" s="37">
        <v>91.295000000000002</v>
      </c>
      <c r="EY9" s="37">
        <v>92.566000000000003</v>
      </c>
      <c r="EZ9" s="37">
        <v>93.808000000000007</v>
      </c>
      <c r="FA9" s="37">
        <v>92.691999999999993</v>
      </c>
      <c r="FB9" s="37">
        <v>91.491</v>
      </c>
      <c r="FC9" s="37">
        <v>91.691999999999993</v>
      </c>
      <c r="FD9" s="37">
        <v>92.161000000000001</v>
      </c>
      <c r="FE9" s="37">
        <v>92.837999999999994</v>
      </c>
      <c r="FF9" s="37">
        <v>93.757999999999996</v>
      </c>
      <c r="FG9" s="37">
        <v>94.382999999999996</v>
      </c>
      <c r="FH9" s="37">
        <v>94.876999999999995</v>
      </c>
      <c r="FI9" s="37">
        <v>95.677999999999997</v>
      </c>
      <c r="FJ9" s="37">
        <v>96.65</v>
      </c>
      <c r="FK9" s="37">
        <v>97.813999999999993</v>
      </c>
      <c r="FL9" s="37">
        <v>98.319000000000003</v>
      </c>
      <c r="FM9" s="37">
        <v>98.203999999999994</v>
      </c>
      <c r="FN9" s="37">
        <v>99.400999999999996</v>
      </c>
      <c r="FO9" s="37">
        <v>99.402000000000001</v>
      </c>
      <c r="FP9" s="37">
        <v>99.99</v>
      </c>
      <c r="FQ9" s="37">
        <v>101.208</v>
      </c>
      <c r="FR9" s="37">
        <v>102.371</v>
      </c>
      <c r="FS9" s="37">
        <v>102.91200000000001</v>
      </c>
      <c r="FT9" s="37">
        <v>103.727</v>
      </c>
      <c r="FU9" s="37">
        <v>104.318</v>
      </c>
      <c r="FV9" s="37">
        <v>105.145</v>
      </c>
      <c r="FW9" s="37">
        <v>105.502</v>
      </c>
      <c r="FX9" s="37">
        <v>106.09</v>
      </c>
      <c r="FY9" s="37">
        <v>106.054</v>
      </c>
      <c r="FZ9" s="37">
        <v>105.176</v>
      </c>
      <c r="GA9" s="37">
        <v>105.863</v>
      </c>
      <c r="GB9" s="37">
        <v>105.96899999999999</v>
      </c>
      <c r="GC9" s="37">
        <v>105.61499999999999</v>
      </c>
      <c r="GD9" s="37">
        <v>104.83</v>
      </c>
      <c r="GE9" s="37">
        <v>105.637</v>
      </c>
      <c r="GF9" s="37">
        <v>105.985</v>
      </c>
      <c r="GG9" s="37">
        <v>106.504</v>
      </c>
      <c r="GH9" s="37">
        <v>107.483</v>
      </c>
      <c r="GI9" s="37">
        <v>107.785</v>
      </c>
      <c r="GJ9" s="37">
        <v>108.75700000000001</v>
      </c>
      <c r="GK9" s="37">
        <v>110.11199999999999</v>
      </c>
      <c r="GL9" s="37">
        <v>111.45399999999999</v>
      </c>
      <c r="GM9" s="37">
        <v>112.669</v>
      </c>
      <c r="GN9" s="37">
        <v>113.702</v>
      </c>
      <c r="GO9" s="37">
        <v>114.28700000000001</v>
      </c>
      <c r="GP9" s="37">
        <v>113.974</v>
      </c>
      <c r="GQ9" s="37">
        <v>114.81699999999999</v>
      </c>
      <c r="GR9" s="37">
        <v>115.11799999999999</v>
      </c>
      <c r="GS9" s="37">
        <v>115.545</v>
      </c>
      <c r="GT9" s="37">
        <v>116.77200000000001</v>
      </c>
      <c r="GU9" s="37">
        <v>116.705</v>
      </c>
      <c r="GV9" s="37">
        <v>117.738</v>
      </c>
      <c r="GW9" s="37">
        <v>119.056</v>
      </c>
      <c r="GX9" s="37">
        <v>121.58499999999999</v>
      </c>
      <c r="GY9" s="37">
        <v>124.087</v>
      </c>
      <c r="GZ9" s="37">
        <v>126.19499999999999</v>
      </c>
      <c r="HA9" s="37">
        <v>128.95699999999999</v>
      </c>
      <c r="HB9" s="37">
        <v>132.23400000000001</v>
      </c>
      <c r="HC9">
        <v>136.93</v>
      </c>
      <c r="HD9">
        <v>137.90199999999999</v>
      </c>
    </row>
    <row r="10" spans="1:212" x14ac:dyDescent="0.3">
      <c r="A10" s="37" t="s">
        <v>1768</v>
      </c>
      <c r="B10" s="37">
        <v>13.106999999999999</v>
      </c>
      <c r="C10" s="37">
        <v>13.368</v>
      </c>
      <c r="D10" s="37">
        <v>13.603999999999999</v>
      </c>
      <c r="E10" s="37">
        <v>13.833</v>
      </c>
      <c r="F10" s="37">
        <v>14.173999999999999</v>
      </c>
      <c r="G10" s="37">
        <v>14.439</v>
      </c>
      <c r="H10" s="37">
        <v>14.657</v>
      </c>
      <c r="I10" s="37">
        <v>14.79</v>
      </c>
      <c r="J10" s="37">
        <v>15.162000000000001</v>
      </c>
      <c r="K10" s="37">
        <v>15.361000000000001</v>
      </c>
      <c r="L10" s="37">
        <v>15.6</v>
      </c>
      <c r="M10" s="37">
        <v>15.794</v>
      </c>
      <c r="N10" s="37">
        <v>16.106000000000002</v>
      </c>
      <c r="O10" s="37">
        <v>16.378</v>
      </c>
      <c r="P10" s="37">
        <v>16.568000000000001</v>
      </c>
      <c r="Q10" s="37">
        <v>16.846</v>
      </c>
      <c r="R10" s="37">
        <v>17.254999999999999</v>
      </c>
      <c r="S10" s="37">
        <v>17.719000000000001</v>
      </c>
      <c r="T10" s="37">
        <v>18.228000000000002</v>
      </c>
      <c r="U10" s="37">
        <v>18.704000000000001</v>
      </c>
      <c r="V10" s="37">
        <v>19.077999999999999</v>
      </c>
      <c r="W10" s="37">
        <v>19.538</v>
      </c>
      <c r="X10" s="37">
        <v>19.838000000000001</v>
      </c>
      <c r="Y10" s="37">
        <v>20.126999999999999</v>
      </c>
      <c r="Z10" s="37">
        <v>20.388999999999999</v>
      </c>
      <c r="AA10" s="37">
        <v>20.655000000000001</v>
      </c>
      <c r="AB10" s="37">
        <v>20.835999999999999</v>
      </c>
      <c r="AC10" s="37">
        <v>21.111000000000001</v>
      </c>
      <c r="AD10" s="37">
        <v>21.54</v>
      </c>
      <c r="AE10" s="37">
        <v>21.968</v>
      </c>
      <c r="AF10" s="37">
        <v>22.361000000000001</v>
      </c>
      <c r="AG10" s="37">
        <v>22.771000000000001</v>
      </c>
      <c r="AH10" s="37">
        <v>23.102</v>
      </c>
      <c r="AI10" s="37">
        <v>23.472000000000001</v>
      </c>
      <c r="AJ10" s="37">
        <v>23.808</v>
      </c>
      <c r="AK10" s="37">
        <v>24.126999999999999</v>
      </c>
      <c r="AL10" s="37">
        <v>24.719000000000001</v>
      </c>
      <c r="AM10" s="37">
        <v>25.259</v>
      </c>
      <c r="AN10" s="37">
        <v>26.146000000000001</v>
      </c>
      <c r="AO10" s="37">
        <v>26.596</v>
      </c>
      <c r="AP10" s="37">
        <v>27.28</v>
      </c>
      <c r="AQ10" s="37">
        <v>28.02</v>
      </c>
      <c r="AR10" s="37">
        <v>28.798999999999999</v>
      </c>
      <c r="AS10" s="37">
        <v>29.565000000000001</v>
      </c>
      <c r="AT10" s="37">
        <v>30.556000000000001</v>
      </c>
      <c r="AU10" s="37">
        <v>31.195</v>
      </c>
      <c r="AV10" s="37">
        <v>31.568000000000001</v>
      </c>
      <c r="AW10" s="37">
        <v>32.052</v>
      </c>
      <c r="AX10" s="37">
        <v>32.613999999999997</v>
      </c>
      <c r="AY10" s="37">
        <v>33.134</v>
      </c>
      <c r="AZ10" s="37">
        <v>33.683999999999997</v>
      </c>
      <c r="BA10" s="37">
        <v>34.19</v>
      </c>
      <c r="BB10" s="37">
        <v>34.482999999999997</v>
      </c>
      <c r="BC10" s="37">
        <v>34.954000000000001</v>
      </c>
      <c r="BD10" s="37">
        <v>35.363</v>
      </c>
      <c r="BE10" s="37">
        <v>35.694000000000003</v>
      </c>
      <c r="BF10" s="37">
        <v>36.32</v>
      </c>
      <c r="BG10" s="37">
        <v>36.716000000000001</v>
      </c>
      <c r="BH10" s="37">
        <v>37.11</v>
      </c>
      <c r="BI10" s="37">
        <v>37.548000000000002</v>
      </c>
      <c r="BJ10" s="37">
        <v>38.043999999999997</v>
      </c>
      <c r="BK10" s="37">
        <v>38.478999999999999</v>
      </c>
      <c r="BL10" s="37">
        <v>38.835999999999999</v>
      </c>
      <c r="BM10" s="37">
        <v>39.226999999999997</v>
      </c>
      <c r="BN10" s="37">
        <v>39.371000000000002</v>
      </c>
      <c r="BO10" s="37">
        <v>39.488999999999997</v>
      </c>
      <c r="BP10" s="37">
        <v>39.826999999999998</v>
      </c>
      <c r="BQ10" s="37">
        <v>40.351999999999997</v>
      </c>
      <c r="BR10" s="37">
        <v>41.005000000000003</v>
      </c>
      <c r="BS10" s="37">
        <v>41.545000000000002</v>
      </c>
      <c r="BT10" s="37">
        <v>42.072000000000003</v>
      </c>
      <c r="BU10" s="37">
        <v>42.329000000000001</v>
      </c>
      <c r="BV10" s="37">
        <v>42.517000000000003</v>
      </c>
      <c r="BW10" s="37">
        <v>42.975000000000001</v>
      </c>
      <c r="BX10" s="37">
        <v>43.356999999999999</v>
      </c>
      <c r="BY10" s="37">
        <v>43.918999999999997</v>
      </c>
      <c r="BZ10" s="37">
        <v>44.585000000000001</v>
      </c>
      <c r="CA10" s="37">
        <v>45.247999999999998</v>
      </c>
      <c r="CB10" s="37">
        <v>45.692999999999998</v>
      </c>
      <c r="CC10" s="37">
        <v>46.363999999999997</v>
      </c>
      <c r="CD10" s="37">
        <v>47.098999999999997</v>
      </c>
      <c r="CE10" s="37">
        <v>47.601999999999997</v>
      </c>
      <c r="CF10" s="37">
        <v>48.293999999999997</v>
      </c>
      <c r="CG10" s="37">
        <v>49.207999999999998</v>
      </c>
      <c r="CH10" s="37">
        <v>49.442</v>
      </c>
      <c r="CI10" s="37">
        <v>49.752000000000002</v>
      </c>
      <c r="CJ10" s="37">
        <v>50.226999999999997</v>
      </c>
      <c r="CK10" s="37">
        <v>50.798000000000002</v>
      </c>
      <c r="CL10" s="37">
        <v>51.277999999999999</v>
      </c>
      <c r="CM10" s="37">
        <v>51.975000000000001</v>
      </c>
      <c r="CN10" s="37">
        <v>52.42</v>
      </c>
      <c r="CO10" s="37">
        <v>52.802999999999997</v>
      </c>
      <c r="CP10" s="37">
        <v>53.091999999999999</v>
      </c>
      <c r="CQ10" s="37">
        <v>53.405999999999999</v>
      </c>
      <c r="CR10" s="37">
        <v>53.58</v>
      </c>
      <c r="CS10" s="37">
        <v>53.853999999999999</v>
      </c>
      <c r="CT10" s="37">
        <v>54.305</v>
      </c>
      <c r="CU10" s="37">
        <v>54.621000000000002</v>
      </c>
      <c r="CV10" s="37">
        <v>55.097999999999999</v>
      </c>
      <c r="CW10" s="37">
        <v>55.569000000000003</v>
      </c>
      <c r="CX10" s="37">
        <v>55.825000000000003</v>
      </c>
      <c r="CY10" s="37">
        <v>56.253999999999998</v>
      </c>
      <c r="CZ10" s="37">
        <v>56.468000000000004</v>
      </c>
      <c r="DA10" s="37">
        <v>56.66</v>
      </c>
      <c r="DB10" s="37">
        <v>57.283999999999999</v>
      </c>
      <c r="DC10" s="37">
        <v>57.366</v>
      </c>
      <c r="DD10" s="37">
        <v>57.746000000000002</v>
      </c>
      <c r="DE10" s="37">
        <v>58.213999999999999</v>
      </c>
      <c r="DF10" s="37">
        <v>58.613</v>
      </c>
      <c r="DG10" s="37">
        <v>58.753</v>
      </c>
      <c r="DH10" s="37">
        <v>59.033999999999999</v>
      </c>
      <c r="DI10" s="37">
        <v>59.515999999999998</v>
      </c>
      <c r="DJ10" s="37">
        <v>59.61</v>
      </c>
      <c r="DK10" s="37">
        <v>59.927</v>
      </c>
      <c r="DL10" s="37">
        <v>60.395000000000003</v>
      </c>
      <c r="DM10" s="37">
        <v>60.939</v>
      </c>
      <c r="DN10" s="37">
        <v>61.46</v>
      </c>
      <c r="DO10" s="37">
        <v>62.381999999999998</v>
      </c>
      <c r="DP10" s="37">
        <v>63.246000000000002</v>
      </c>
      <c r="DQ10" s="37">
        <v>64.018000000000001</v>
      </c>
      <c r="DR10" s="37">
        <v>64.912000000000006</v>
      </c>
      <c r="DS10" s="37">
        <v>65.59</v>
      </c>
      <c r="DT10" s="37">
        <v>66.358999999999995</v>
      </c>
      <c r="DU10" s="37">
        <v>67.293000000000006</v>
      </c>
      <c r="DV10" s="37">
        <v>68.191000000000003</v>
      </c>
      <c r="DW10" s="37">
        <v>68.48</v>
      </c>
      <c r="DX10" s="37">
        <v>68.652000000000001</v>
      </c>
      <c r="DY10" s="37">
        <v>68.728999999999999</v>
      </c>
      <c r="DZ10" s="37">
        <v>69.174999999999997</v>
      </c>
      <c r="EA10" s="37">
        <v>69.855999999999995</v>
      </c>
      <c r="EB10" s="37">
        <v>70.427999999999997</v>
      </c>
      <c r="EC10" s="37">
        <v>71.129000000000005</v>
      </c>
      <c r="ED10" s="37">
        <v>72.244</v>
      </c>
      <c r="EE10" s="37">
        <v>72.290999999999997</v>
      </c>
      <c r="EF10" s="37">
        <v>72.872</v>
      </c>
      <c r="EG10" s="37">
        <v>73.531999999999996</v>
      </c>
      <c r="EH10" s="37">
        <v>74.569999999999993</v>
      </c>
      <c r="EI10" s="37">
        <v>75.561000000000007</v>
      </c>
      <c r="EJ10" s="37">
        <v>76.591999999999999</v>
      </c>
      <c r="EK10" s="37">
        <v>77.790000000000006</v>
      </c>
      <c r="EL10" s="37">
        <v>78.498000000000005</v>
      </c>
      <c r="EM10" s="37">
        <v>79.393000000000001</v>
      </c>
      <c r="EN10" s="37">
        <v>80.545000000000002</v>
      </c>
      <c r="EO10" s="37">
        <v>81.906000000000006</v>
      </c>
      <c r="EP10" s="37">
        <v>82.507999999999996</v>
      </c>
      <c r="EQ10" s="37">
        <v>83.641999999999996</v>
      </c>
      <c r="ER10" s="37">
        <v>84.402000000000001</v>
      </c>
      <c r="ES10" s="37">
        <v>85.034999999999997</v>
      </c>
      <c r="ET10" s="37">
        <v>86.531999999999996</v>
      </c>
      <c r="EU10" s="37">
        <v>87.468999999999994</v>
      </c>
      <c r="EV10" s="37">
        <v>88.447000000000003</v>
      </c>
      <c r="EW10" s="37">
        <v>89.787999999999997</v>
      </c>
      <c r="EX10" s="37">
        <v>91.369</v>
      </c>
      <c r="EY10" s="37">
        <v>92.781000000000006</v>
      </c>
      <c r="EZ10" s="37">
        <v>94.036000000000001</v>
      </c>
      <c r="FA10" s="37">
        <v>92.242000000000004</v>
      </c>
      <c r="FB10" s="37">
        <v>90.620999999999995</v>
      </c>
      <c r="FC10" s="37">
        <v>91.066999999999993</v>
      </c>
      <c r="FD10" s="37">
        <v>91.849000000000004</v>
      </c>
      <c r="FE10" s="37">
        <v>92.700999999999993</v>
      </c>
      <c r="FF10" s="37">
        <v>93.771000000000001</v>
      </c>
      <c r="FG10" s="37">
        <v>94.444999999999993</v>
      </c>
      <c r="FH10" s="37">
        <v>94.984999999999999</v>
      </c>
      <c r="FI10" s="37">
        <v>95.872</v>
      </c>
      <c r="FJ10" s="37">
        <v>96.936000000000007</v>
      </c>
      <c r="FK10" s="37">
        <v>98.144999999999996</v>
      </c>
      <c r="FL10" s="37">
        <v>98.516999999999996</v>
      </c>
      <c r="FM10" s="37">
        <v>98.168000000000006</v>
      </c>
      <c r="FN10" s="37">
        <v>99.47</v>
      </c>
      <c r="FO10" s="37">
        <v>99.296000000000006</v>
      </c>
      <c r="FP10" s="37">
        <v>99.897000000000006</v>
      </c>
      <c r="FQ10" s="37">
        <v>101.337</v>
      </c>
      <c r="FR10" s="37">
        <v>102.663</v>
      </c>
      <c r="FS10" s="37">
        <v>103.21</v>
      </c>
      <c r="FT10" s="37">
        <v>104.08199999999999</v>
      </c>
      <c r="FU10" s="37">
        <v>104.636</v>
      </c>
      <c r="FV10" s="37">
        <v>105.515</v>
      </c>
      <c r="FW10" s="37">
        <v>105.848</v>
      </c>
      <c r="FX10" s="37">
        <v>106.45399999999999</v>
      </c>
      <c r="FY10" s="37">
        <v>106.371</v>
      </c>
      <c r="FZ10" s="37">
        <v>105.31</v>
      </c>
      <c r="GA10" s="37">
        <v>106.047</v>
      </c>
      <c r="GB10" s="37">
        <v>106.111</v>
      </c>
      <c r="GC10" s="37">
        <v>105.693</v>
      </c>
      <c r="GD10" s="37">
        <v>104.792</v>
      </c>
      <c r="GE10" s="37">
        <v>105.589</v>
      </c>
      <c r="GF10" s="37">
        <v>105.995</v>
      </c>
      <c r="GG10" s="37">
        <v>106.51600000000001</v>
      </c>
      <c r="GH10" s="37">
        <v>107.553</v>
      </c>
      <c r="GI10" s="37">
        <v>107.795</v>
      </c>
      <c r="GJ10" s="37">
        <v>108.76900000000001</v>
      </c>
      <c r="GK10" s="37">
        <v>110.288</v>
      </c>
      <c r="GL10" s="37">
        <v>111.703</v>
      </c>
      <c r="GM10" s="37">
        <v>112.842</v>
      </c>
      <c r="GN10" s="37">
        <v>113.922</v>
      </c>
      <c r="GO10" s="37">
        <v>114.376</v>
      </c>
      <c r="GP10" s="37">
        <v>113.89400000000001</v>
      </c>
      <c r="GQ10" s="37">
        <v>114.622</v>
      </c>
      <c r="GR10" s="37">
        <v>114.86799999999999</v>
      </c>
      <c r="GS10" s="37">
        <v>115.35299999999999</v>
      </c>
      <c r="GT10" s="37">
        <v>116.78700000000001</v>
      </c>
      <c r="GU10" s="37">
        <v>116.756</v>
      </c>
      <c r="GV10" s="37">
        <v>117.753</v>
      </c>
      <c r="GW10" s="37">
        <v>119.242</v>
      </c>
      <c r="GX10" s="37">
        <v>121.91800000000001</v>
      </c>
      <c r="GY10" s="37">
        <v>124.303</v>
      </c>
      <c r="GZ10" s="37">
        <v>126.26600000000001</v>
      </c>
      <c r="HA10" s="37">
        <v>128.84200000000001</v>
      </c>
      <c r="HB10" s="37">
        <v>131.98500000000001</v>
      </c>
      <c r="HC10">
        <v>136.744</v>
      </c>
      <c r="HD10">
        <v>137.28899999999999</v>
      </c>
    </row>
    <row r="11" spans="1:212" x14ac:dyDescent="0.3">
      <c r="A11" s="37" t="s">
        <v>1769</v>
      </c>
      <c r="B11" s="37">
        <v>16.824999999999999</v>
      </c>
      <c r="C11" s="37">
        <v>17.248000000000001</v>
      </c>
      <c r="D11" s="37">
        <v>17.582000000000001</v>
      </c>
      <c r="E11" s="37">
        <v>18.027999999999999</v>
      </c>
      <c r="F11" s="37">
        <v>18.332000000000001</v>
      </c>
      <c r="G11" s="37">
        <v>18.625</v>
      </c>
      <c r="H11" s="37">
        <v>18.827999999999999</v>
      </c>
      <c r="I11" s="37">
        <v>19.152999999999999</v>
      </c>
      <c r="J11" s="37">
        <v>19.398</v>
      </c>
      <c r="K11" s="37">
        <v>19.533999999999999</v>
      </c>
      <c r="L11" s="37">
        <v>19.805</v>
      </c>
      <c r="M11" s="37">
        <v>20.175000000000001</v>
      </c>
      <c r="N11" s="37">
        <v>20.564</v>
      </c>
      <c r="O11" s="37">
        <v>20.997</v>
      </c>
      <c r="P11" s="37">
        <v>21.425000000000001</v>
      </c>
      <c r="Q11" s="37">
        <v>22</v>
      </c>
      <c r="R11" s="37">
        <v>23.02</v>
      </c>
      <c r="S11" s="37">
        <v>24.466999999999999</v>
      </c>
      <c r="T11" s="37">
        <v>26.030999999999999</v>
      </c>
      <c r="U11" s="37">
        <v>27.113</v>
      </c>
      <c r="V11" s="37">
        <v>27.689</v>
      </c>
      <c r="W11" s="37">
        <v>27.826000000000001</v>
      </c>
      <c r="X11" s="37">
        <v>27.914000000000001</v>
      </c>
      <c r="Y11" s="37">
        <v>28.084</v>
      </c>
      <c r="Z11" s="37">
        <v>28.222000000000001</v>
      </c>
      <c r="AA11" s="37">
        <v>28.463999999999999</v>
      </c>
      <c r="AB11" s="37">
        <v>28.526</v>
      </c>
      <c r="AC11" s="37">
        <v>28.72</v>
      </c>
      <c r="AD11" s="37">
        <v>29.091999999999999</v>
      </c>
      <c r="AE11" s="37">
        <v>29.379000000000001</v>
      </c>
      <c r="AF11" s="37">
        <v>29.774000000000001</v>
      </c>
      <c r="AG11" s="37">
        <v>30.091999999999999</v>
      </c>
      <c r="AH11" s="37">
        <v>30.465</v>
      </c>
      <c r="AI11" s="37">
        <v>31.064</v>
      </c>
      <c r="AJ11" s="37">
        <v>31.658000000000001</v>
      </c>
      <c r="AK11" s="37">
        <v>32.223999999999997</v>
      </c>
      <c r="AL11" s="37">
        <v>32.889000000000003</v>
      </c>
      <c r="AM11" s="37">
        <v>33.781999999999996</v>
      </c>
      <c r="AN11" s="37">
        <v>34.768000000000001</v>
      </c>
      <c r="AO11" s="37">
        <v>35.753999999999998</v>
      </c>
      <c r="AP11" s="37">
        <v>36.731000000000002</v>
      </c>
      <c r="AQ11" s="37">
        <v>37.784999999999997</v>
      </c>
      <c r="AR11" s="37">
        <v>39.027000000000001</v>
      </c>
      <c r="AS11" s="37">
        <v>40.182000000000002</v>
      </c>
      <c r="AT11" s="37">
        <v>41.32</v>
      </c>
      <c r="AU11" s="37">
        <v>42.308</v>
      </c>
      <c r="AV11" s="37">
        <v>43.174999999999997</v>
      </c>
      <c r="AW11" s="37">
        <v>43.944000000000003</v>
      </c>
      <c r="AX11" s="37">
        <v>44.56</v>
      </c>
      <c r="AY11" s="37">
        <v>45.305</v>
      </c>
      <c r="AZ11" s="37">
        <v>45.84</v>
      </c>
      <c r="BA11" s="37">
        <v>45.956000000000003</v>
      </c>
      <c r="BB11" s="37">
        <v>45.999000000000002</v>
      </c>
      <c r="BC11" s="37">
        <v>45.936999999999998</v>
      </c>
      <c r="BD11" s="37">
        <v>45.963000000000001</v>
      </c>
      <c r="BE11" s="37">
        <v>45.95</v>
      </c>
      <c r="BF11" s="37">
        <v>46</v>
      </c>
      <c r="BG11" s="37">
        <v>46.162999999999997</v>
      </c>
      <c r="BH11" s="37">
        <v>46.311999999999998</v>
      </c>
      <c r="BI11" s="37">
        <v>46.405999999999999</v>
      </c>
      <c r="BJ11" s="37">
        <v>46.664000000000001</v>
      </c>
      <c r="BK11" s="37">
        <v>46.808</v>
      </c>
      <c r="BL11" s="37">
        <v>47</v>
      </c>
      <c r="BM11" s="37">
        <v>47.28</v>
      </c>
      <c r="BN11" s="37">
        <v>47.573999999999998</v>
      </c>
      <c r="BO11" s="37">
        <v>48.063000000000002</v>
      </c>
      <c r="BP11" s="37">
        <v>48.500999999999998</v>
      </c>
      <c r="BQ11" s="37">
        <v>49.026000000000003</v>
      </c>
      <c r="BR11" s="37">
        <v>49.34</v>
      </c>
      <c r="BS11" s="37">
        <v>49.755000000000003</v>
      </c>
      <c r="BT11" s="37">
        <v>50.198</v>
      </c>
      <c r="BU11" s="37">
        <v>50.463999999999999</v>
      </c>
      <c r="BV11" s="37">
        <v>50.87</v>
      </c>
      <c r="BW11" s="37">
        <v>51.151000000000003</v>
      </c>
      <c r="BX11" s="37">
        <v>51.481000000000002</v>
      </c>
      <c r="BY11" s="37">
        <v>51.753</v>
      </c>
      <c r="BZ11" s="37">
        <v>52.003</v>
      </c>
      <c r="CA11" s="37">
        <v>52.424999999999997</v>
      </c>
      <c r="CB11" s="37">
        <v>52.814</v>
      </c>
      <c r="CC11" s="37">
        <v>53.104999999999997</v>
      </c>
      <c r="CD11" s="37">
        <v>53.487000000000002</v>
      </c>
      <c r="CE11" s="37">
        <v>53.959000000000003</v>
      </c>
      <c r="CF11" s="37">
        <v>54.482999999999997</v>
      </c>
      <c r="CG11" s="37">
        <v>54.628</v>
      </c>
      <c r="CH11" s="37">
        <v>54.735999999999997</v>
      </c>
      <c r="CI11" s="37">
        <v>55.018000000000001</v>
      </c>
      <c r="CJ11" s="37">
        <v>55.164000000000001</v>
      </c>
      <c r="CK11" s="37">
        <v>55.026000000000003</v>
      </c>
      <c r="CL11" s="37">
        <v>54.881999999999998</v>
      </c>
      <c r="CM11" s="37">
        <v>55.142000000000003</v>
      </c>
      <c r="CN11" s="37">
        <v>55.253999999999998</v>
      </c>
      <c r="CO11" s="37">
        <v>55.506</v>
      </c>
      <c r="CP11" s="37">
        <v>55.918999999999997</v>
      </c>
      <c r="CQ11" s="37">
        <v>56.244999999999997</v>
      </c>
      <c r="CR11" s="37">
        <v>56.302</v>
      </c>
      <c r="CS11" s="37">
        <v>56.564999999999998</v>
      </c>
      <c r="CT11" s="37">
        <v>56.978000000000002</v>
      </c>
      <c r="CU11" s="37">
        <v>57.225000000000001</v>
      </c>
      <c r="CV11" s="37">
        <v>57.725999999999999</v>
      </c>
      <c r="CW11" s="37">
        <v>58.207000000000001</v>
      </c>
      <c r="CX11" s="37">
        <v>58.787999999999997</v>
      </c>
      <c r="CY11" s="37">
        <v>59.207999999999998</v>
      </c>
      <c r="CZ11" s="37">
        <v>59.534999999999997</v>
      </c>
      <c r="DA11" s="37">
        <v>59.878</v>
      </c>
      <c r="DB11" s="37">
        <v>60.198999999999998</v>
      </c>
      <c r="DC11" s="37">
        <v>60.265999999999998</v>
      </c>
      <c r="DD11" s="37">
        <v>60.564999999999998</v>
      </c>
      <c r="DE11" s="37">
        <v>60.761000000000003</v>
      </c>
      <c r="DF11" s="37">
        <v>61.103999999999999</v>
      </c>
      <c r="DG11" s="37">
        <v>61.521000000000001</v>
      </c>
      <c r="DH11" s="37">
        <v>61.677</v>
      </c>
      <c r="DI11" s="37">
        <v>62.073999999999998</v>
      </c>
      <c r="DJ11" s="37">
        <v>62.094999999999999</v>
      </c>
      <c r="DK11" s="37">
        <v>62.134</v>
      </c>
      <c r="DL11" s="37">
        <v>62.517000000000003</v>
      </c>
      <c r="DM11" s="37">
        <v>62.87</v>
      </c>
      <c r="DN11" s="37">
        <v>63.122</v>
      </c>
      <c r="DO11" s="37">
        <v>63.59</v>
      </c>
      <c r="DP11" s="37">
        <v>63.857999999999997</v>
      </c>
      <c r="DQ11" s="37">
        <v>64.402000000000001</v>
      </c>
      <c r="DR11" s="37">
        <v>64.912000000000006</v>
      </c>
      <c r="DS11" s="37">
        <v>65.650999999999996</v>
      </c>
      <c r="DT11" s="37">
        <v>66.081000000000003</v>
      </c>
      <c r="DU11" s="37">
        <v>66.47</v>
      </c>
      <c r="DV11" s="37">
        <v>66.88</v>
      </c>
      <c r="DW11" s="37">
        <v>67.052000000000007</v>
      </c>
      <c r="DX11" s="37">
        <v>67.262</v>
      </c>
      <c r="DY11" s="37">
        <v>67.623000000000005</v>
      </c>
      <c r="DZ11" s="37">
        <v>67.921000000000006</v>
      </c>
      <c r="EA11" s="37">
        <v>68.290000000000006</v>
      </c>
      <c r="EB11" s="37">
        <v>68.5</v>
      </c>
      <c r="EC11" s="37">
        <v>68.617999999999995</v>
      </c>
      <c r="ED11" s="37">
        <v>69.186999999999998</v>
      </c>
      <c r="EE11" s="37">
        <v>69.259</v>
      </c>
      <c r="EF11" s="37">
        <v>69.346999999999994</v>
      </c>
      <c r="EG11" s="37">
        <v>69.539000000000001</v>
      </c>
      <c r="EH11" s="37">
        <v>69.992000000000004</v>
      </c>
      <c r="EI11" s="37">
        <v>71.278000000000006</v>
      </c>
      <c r="EJ11" s="37">
        <v>73.197000000000003</v>
      </c>
      <c r="EK11" s="37">
        <v>74.954999999999998</v>
      </c>
      <c r="EL11" s="37">
        <v>75.587999999999994</v>
      </c>
      <c r="EM11" s="37">
        <v>77.010000000000005</v>
      </c>
      <c r="EN11" s="37">
        <v>78.724999999999994</v>
      </c>
      <c r="EO11" s="37">
        <v>79.822999999999993</v>
      </c>
      <c r="EP11" s="37">
        <v>80.319000000000003</v>
      </c>
      <c r="EQ11" s="37">
        <v>82.088999999999999</v>
      </c>
      <c r="ER11" s="37">
        <v>83.231999999999999</v>
      </c>
      <c r="ES11" s="37">
        <v>85.185000000000002</v>
      </c>
      <c r="ET11" s="37">
        <v>87.334000000000003</v>
      </c>
      <c r="EU11" s="37">
        <v>88.247</v>
      </c>
      <c r="EV11" s="37">
        <v>89.096999999999994</v>
      </c>
      <c r="EW11" s="37">
        <v>90.144999999999996</v>
      </c>
      <c r="EX11" s="37">
        <v>90.998999999999995</v>
      </c>
      <c r="EY11" s="37">
        <v>91.698999999999998</v>
      </c>
      <c r="EZ11" s="37">
        <v>92.884</v>
      </c>
      <c r="FA11" s="37">
        <v>94.585999999999999</v>
      </c>
      <c r="FB11" s="37">
        <v>95.176000000000002</v>
      </c>
      <c r="FC11" s="37">
        <v>94.34</v>
      </c>
      <c r="FD11" s="37">
        <v>93.49</v>
      </c>
      <c r="FE11" s="37">
        <v>93.418000000000006</v>
      </c>
      <c r="FF11" s="37">
        <v>93.683000000000007</v>
      </c>
      <c r="FG11" s="37">
        <v>94.09</v>
      </c>
      <c r="FH11" s="37">
        <v>94.385999999999996</v>
      </c>
      <c r="FI11" s="37">
        <v>94.81</v>
      </c>
      <c r="FJ11" s="37">
        <v>95.382999999999996</v>
      </c>
      <c r="FK11" s="37">
        <v>96.346999999999994</v>
      </c>
      <c r="FL11" s="37">
        <v>97.436000000000007</v>
      </c>
      <c r="FM11" s="37">
        <v>98.352000000000004</v>
      </c>
      <c r="FN11" s="37">
        <v>99.088999999999999</v>
      </c>
      <c r="FO11" s="37">
        <v>99.879000000000005</v>
      </c>
      <c r="FP11" s="37">
        <v>100.417</v>
      </c>
      <c r="FQ11" s="37">
        <v>100.61499999999999</v>
      </c>
      <c r="FR11" s="37">
        <v>101.023</v>
      </c>
      <c r="FS11" s="37">
        <v>101.538</v>
      </c>
      <c r="FT11" s="37">
        <v>102.08499999999999</v>
      </c>
      <c r="FU11" s="37">
        <v>102.85599999999999</v>
      </c>
      <c r="FV11" s="37">
        <v>103.435</v>
      </c>
      <c r="FW11" s="37">
        <v>103.907</v>
      </c>
      <c r="FX11" s="37">
        <v>104.40900000000001</v>
      </c>
      <c r="FY11" s="37">
        <v>104.593</v>
      </c>
      <c r="FZ11" s="37">
        <v>104.562</v>
      </c>
      <c r="GA11" s="37">
        <v>105.021</v>
      </c>
      <c r="GB11" s="37">
        <v>105.319</v>
      </c>
      <c r="GC11" s="37">
        <v>105.261</v>
      </c>
      <c r="GD11" s="37">
        <v>105.006</v>
      </c>
      <c r="GE11" s="37">
        <v>105.86199999999999</v>
      </c>
      <c r="GF11" s="37">
        <v>105.94199999999999</v>
      </c>
      <c r="GG11" s="37">
        <v>106.45399999999999</v>
      </c>
      <c r="GH11" s="37">
        <v>107.16800000000001</v>
      </c>
      <c r="GI11" s="37">
        <v>107.74</v>
      </c>
      <c r="GJ11" s="37">
        <v>108.705</v>
      </c>
      <c r="GK11" s="37">
        <v>109.33</v>
      </c>
      <c r="GL11" s="37">
        <v>110.357</v>
      </c>
      <c r="GM11" s="37">
        <v>111.901</v>
      </c>
      <c r="GN11" s="37">
        <v>112.724</v>
      </c>
      <c r="GO11" s="37">
        <v>113.887</v>
      </c>
      <c r="GP11" s="37">
        <v>114.33199999999999</v>
      </c>
      <c r="GQ11" s="37">
        <v>115.681</v>
      </c>
      <c r="GR11" s="37">
        <v>116.229</v>
      </c>
      <c r="GS11" s="37">
        <v>116.4</v>
      </c>
      <c r="GT11" s="37">
        <v>116.702</v>
      </c>
      <c r="GU11" s="37">
        <v>116.47799999999999</v>
      </c>
      <c r="GV11" s="37">
        <v>117.664</v>
      </c>
      <c r="GW11" s="37">
        <v>118.202</v>
      </c>
      <c r="GX11" s="37">
        <v>120.054</v>
      </c>
      <c r="GY11" s="37">
        <v>123.077</v>
      </c>
      <c r="GZ11" s="37">
        <v>125.86199999999999</v>
      </c>
      <c r="HA11" s="37">
        <v>129.51499999999999</v>
      </c>
      <c r="HB11" s="37">
        <v>133.441</v>
      </c>
      <c r="HC11">
        <v>137.82300000000001</v>
      </c>
      <c r="HD11">
        <v>140.93299999999999</v>
      </c>
    </row>
    <row r="12" spans="1:212" x14ac:dyDescent="0.3">
      <c r="A12" s="37" t="s">
        <v>1770</v>
      </c>
      <c r="B12" s="37">
        <v>7</v>
      </c>
      <c r="C12" s="37">
        <v>7.2</v>
      </c>
      <c r="D12" s="37">
        <v>7.3</v>
      </c>
      <c r="E12" s="37">
        <v>7.5</v>
      </c>
      <c r="F12" s="37">
        <v>7.8</v>
      </c>
      <c r="G12" s="37">
        <v>8</v>
      </c>
      <c r="H12" s="37">
        <v>8.1</v>
      </c>
      <c r="I12" s="37">
        <v>8.3000000000000007</v>
      </c>
      <c r="J12" s="37">
        <v>8.5</v>
      </c>
      <c r="K12" s="37">
        <v>8.6999999999999993</v>
      </c>
      <c r="L12" s="37">
        <v>8.9</v>
      </c>
      <c r="M12" s="37">
        <v>9.1999999999999993</v>
      </c>
      <c r="N12" s="37">
        <v>9.5</v>
      </c>
      <c r="O12" s="37">
        <v>10</v>
      </c>
      <c r="P12" s="37">
        <v>10.5</v>
      </c>
      <c r="Q12" s="37">
        <v>11</v>
      </c>
      <c r="R12" s="37">
        <v>11.7</v>
      </c>
      <c r="S12" s="37">
        <v>12.4</v>
      </c>
      <c r="T12" s="37">
        <v>13.1</v>
      </c>
      <c r="U12" s="37">
        <v>13.8</v>
      </c>
      <c r="V12" s="37">
        <v>14.5</v>
      </c>
      <c r="W12" s="37">
        <v>15.2</v>
      </c>
      <c r="X12" s="37">
        <v>16</v>
      </c>
      <c r="Y12" s="37">
        <v>16.8</v>
      </c>
      <c r="Z12" s="37">
        <v>17.600000000000001</v>
      </c>
      <c r="AA12" s="37">
        <v>18.399999999999999</v>
      </c>
      <c r="AB12" s="37">
        <v>19.2</v>
      </c>
      <c r="AC12" s="37">
        <v>20</v>
      </c>
      <c r="AD12" s="37">
        <v>20.9</v>
      </c>
      <c r="AE12" s="37">
        <v>21.7</v>
      </c>
      <c r="AF12" s="37">
        <v>22.5</v>
      </c>
      <c r="AG12" s="37">
        <v>23.3</v>
      </c>
      <c r="AH12" s="37">
        <v>24.2</v>
      </c>
      <c r="AI12" s="37">
        <v>25</v>
      </c>
      <c r="AJ12" s="37">
        <v>26</v>
      </c>
      <c r="AK12" s="37">
        <v>27</v>
      </c>
      <c r="AL12" s="37">
        <v>28</v>
      </c>
      <c r="AM12" s="37">
        <v>29.2</v>
      </c>
      <c r="AN12" s="37">
        <v>30.5</v>
      </c>
      <c r="AO12" s="37">
        <v>32</v>
      </c>
      <c r="AP12" s="37">
        <v>33.6</v>
      </c>
      <c r="AQ12" s="37">
        <v>35.299999999999997</v>
      </c>
      <c r="AR12" s="37">
        <v>37</v>
      </c>
      <c r="AS12" s="37">
        <v>38.799999999999997</v>
      </c>
      <c r="AT12" s="37">
        <v>40.700000000000003</v>
      </c>
      <c r="AU12" s="37">
        <v>42.6</v>
      </c>
      <c r="AV12" s="37">
        <v>44.4</v>
      </c>
      <c r="AW12" s="37">
        <v>46.3</v>
      </c>
      <c r="AX12" s="37">
        <v>48.2</v>
      </c>
      <c r="AY12" s="37">
        <v>50.1</v>
      </c>
      <c r="AZ12" s="37">
        <v>51.8</v>
      </c>
      <c r="BA12" s="37">
        <v>53.6</v>
      </c>
      <c r="BB12" s="37">
        <v>55.2</v>
      </c>
      <c r="BC12" s="37">
        <v>56.9</v>
      </c>
      <c r="BD12" s="37">
        <v>58.7</v>
      </c>
      <c r="BE12" s="37">
        <v>60.4</v>
      </c>
      <c r="BF12" s="37">
        <v>62.5</v>
      </c>
      <c r="BG12" s="37">
        <v>64.099999999999994</v>
      </c>
      <c r="BH12" s="37">
        <v>65.599999999999994</v>
      </c>
      <c r="BI12" s="37">
        <v>66.900000000000006</v>
      </c>
      <c r="BJ12" s="37">
        <v>67.900000000000006</v>
      </c>
      <c r="BK12" s="37">
        <v>69.099999999999994</v>
      </c>
      <c r="BL12" s="37">
        <v>70.3</v>
      </c>
      <c r="BM12" s="37">
        <v>71.599999999999994</v>
      </c>
      <c r="BN12" s="37">
        <v>73</v>
      </c>
      <c r="BO12" s="37">
        <v>74.5</v>
      </c>
      <c r="BP12" s="37">
        <v>76</v>
      </c>
      <c r="BQ12" s="37">
        <v>77.599999999999994</v>
      </c>
      <c r="BR12" s="37">
        <v>79.599999999999994</v>
      </c>
      <c r="BS12" s="37">
        <v>81.099999999999994</v>
      </c>
      <c r="BT12" s="37">
        <v>82.3</v>
      </c>
      <c r="BU12" s="37">
        <v>83.3</v>
      </c>
      <c r="BV12" s="37">
        <v>83.4</v>
      </c>
      <c r="BW12" s="37">
        <v>85</v>
      </c>
      <c r="BX12" s="37">
        <v>87</v>
      </c>
      <c r="BY12" s="37">
        <v>89.7</v>
      </c>
      <c r="BZ12" s="37">
        <v>93.8</v>
      </c>
      <c r="CA12" s="37">
        <v>96.9</v>
      </c>
      <c r="CB12" s="37">
        <v>99.7</v>
      </c>
      <c r="CC12" s="37">
        <v>102.3</v>
      </c>
      <c r="CD12" s="37">
        <v>104.3</v>
      </c>
      <c r="CE12" s="37">
        <v>106.5</v>
      </c>
      <c r="CF12" s="37">
        <v>108.7</v>
      </c>
      <c r="CG12" s="37">
        <v>111</v>
      </c>
      <c r="CH12" s="37">
        <v>112.9</v>
      </c>
      <c r="CI12" s="37">
        <v>115.7</v>
      </c>
      <c r="CJ12" s="37">
        <v>118.9</v>
      </c>
      <c r="CK12" s="37">
        <v>122.5</v>
      </c>
      <c r="CL12" s="37">
        <v>127.2</v>
      </c>
      <c r="CM12" s="37">
        <v>131</v>
      </c>
      <c r="CN12" s="37">
        <v>134.5</v>
      </c>
      <c r="CO12" s="37">
        <v>137.69999999999999</v>
      </c>
      <c r="CP12" s="37">
        <v>143.4</v>
      </c>
      <c r="CQ12" s="37">
        <v>144.69999999999999</v>
      </c>
      <c r="CR12" s="37">
        <v>147.5</v>
      </c>
      <c r="CS12" s="37">
        <v>151.6</v>
      </c>
      <c r="CT12" s="37">
        <v>156.9</v>
      </c>
      <c r="CU12" s="37">
        <v>162.19999999999999</v>
      </c>
      <c r="CV12" s="37">
        <v>167.1</v>
      </c>
      <c r="CW12" s="37">
        <v>171.6</v>
      </c>
      <c r="CX12" s="37">
        <v>175.7</v>
      </c>
      <c r="CY12" s="37">
        <v>179.6</v>
      </c>
      <c r="CZ12" s="37">
        <v>183.2</v>
      </c>
      <c r="DA12" s="37">
        <v>186.5</v>
      </c>
      <c r="DB12" s="37">
        <v>189.6</v>
      </c>
      <c r="DC12" s="37">
        <v>192.9</v>
      </c>
      <c r="DD12" s="37">
        <v>196.5</v>
      </c>
      <c r="DE12" s="37">
        <v>200.4</v>
      </c>
      <c r="DF12" s="37">
        <v>204.4</v>
      </c>
      <c r="DG12" s="37">
        <v>207.1</v>
      </c>
      <c r="DH12" s="37">
        <v>208.3</v>
      </c>
      <c r="DI12" s="37">
        <v>207.9</v>
      </c>
      <c r="DJ12" s="37">
        <v>206.4</v>
      </c>
      <c r="DK12" s="37">
        <v>205.3</v>
      </c>
      <c r="DL12" s="37">
        <v>205</v>
      </c>
      <c r="DM12" s="37">
        <v>205.5</v>
      </c>
      <c r="DN12" s="37">
        <v>206.6</v>
      </c>
      <c r="DO12" s="37">
        <v>207.9</v>
      </c>
      <c r="DP12" s="37">
        <v>209.4</v>
      </c>
      <c r="DQ12" s="37">
        <v>211</v>
      </c>
      <c r="DR12" s="37">
        <v>213</v>
      </c>
      <c r="DS12" s="37">
        <v>216.1</v>
      </c>
      <c r="DT12" s="37">
        <v>220.7</v>
      </c>
      <c r="DU12" s="37">
        <v>226.7</v>
      </c>
      <c r="DV12" s="37">
        <v>233.8</v>
      </c>
      <c r="DW12" s="37">
        <v>240.4</v>
      </c>
      <c r="DX12" s="37">
        <v>245.8</v>
      </c>
      <c r="DY12" s="37">
        <v>250.3</v>
      </c>
      <c r="DZ12" s="37">
        <v>254.1</v>
      </c>
      <c r="EA12" s="37">
        <v>257.89999999999998</v>
      </c>
      <c r="EB12" s="37">
        <v>261.60000000000002</v>
      </c>
      <c r="EC12" s="37">
        <v>265.2</v>
      </c>
      <c r="ED12" s="37">
        <v>268.89999999999998</v>
      </c>
      <c r="EE12" s="37">
        <v>273.39999999999998</v>
      </c>
      <c r="EF12" s="37">
        <v>279</v>
      </c>
      <c r="EG12" s="37">
        <v>285.5</v>
      </c>
      <c r="EH12" s="37">
        <v>293</v>
      </c>
      <c r="EI12" s="37">
        <v>300.39999999999998</v>
      </c>
      <c r="EJ12" s="37">
        <v>308.60000000000002</v>
      </c>
      <c r="EK12" s="37">
        <v>315.39999999999998</v>
      </c>
      <c r="EL12" s="37">
        <v>323.2</v>
      </c>
      <c r="EM12" s="37">
        <v>329.2</v>
      </c>
      <c r="EN12" s="37">
        <v>335.1</v>
      </c>
      <c r="EO12" s="37">
        <v>341</v>
      </c>
      <c r="EP12" s="37">
        <v>389.6</v>
      </c>
      <c r="EQ12" s="37">
        <v>395.6</v>
      </c>
      <c r="ER12" s="37">
        <v>402.1</v>
      </c>
      <c r="ES12" s="37">
        <v>409.1</v>
      </c>
      <c r="ET12" s="37">
        <v>416.4</v>
      </c>
      <c r="EU12" s="37">
        <v>424.1</v>
      </c>
      <c r="EV12" s="37">
        <v>432</v>
      </c>
      <c r="EW12" s="37">
        <v>440.3</v>
      </c>
      <c r="EX12" s="37">
        <v>448.8</v>
      </c>
      <c r="EY12" s="37">
        <v>457.3</v>
      </c>
      <c r="EZ12" s="37">
        <v>465.9</v>
      </c>
      <c r="FA12" s="37">
        <v>474.5</v>
      </c>
      <c r="FB12" s="37">
        <v>482.9</v>
      </c>
      <c r="FC12" s="37">
        <v>490.4</v>
      </c>
      <c r="FD12" s="37">
        <v>496.7</v>
      </c>
      <c r="FE12" s="37">
        <v>501.8</v>
      </c>
      <c r="FF12" s="37">
        <v>506</v>
      </c>
      <c r="FG12" s="37">
        <v>510.5</v>
      </c>
      <c r="FH12" s="37">
        <v>515.70000000000005</v>
      </c>
      <c r="FI12" s="37">
        <v>521.4</v>
      </c>
      <c r="FJ12" s="37">
        <v>527.6</v>
      </c>
      <c r="FK12" s="37">
        <v>533.4</v>
      </c>
      <c r="FL12" s="37">
        <v>538.5</v>
      </c>
      <c r="FM12" s="37">
        <v>542.9</v>
      </c>
      <c r="FN12" s="37">
        <v>547</v>
      </c>
      <c r="FO12" s="37">
        <v>551.6</v>
      </c>
      <c r="FP12" s="37">
        <v>557.1</v>
      </c>
      <c r="FQ12" s="37">
        <v>563.4</v>
      </c>
      <c r="FR12" s="37">
        <v>570.29999999999995</v>
      </c>
      <c r="FS12" s="37">
        <v>567.1</v>
      </c>
      <c r="FT12" s="37">
        <v>573.70000000000005</v>
      </c>
      <c r="FU12" s="37">
        <v>580.20000000000005</v>
      </c>
      <c r="FV12" s="37">
        <v>587.5</v>
      </c>
      <c r="FW12" s="37">
        <v>595.6</v>
      </c>
      <c r="FX12" s="37">
        <v>604</v>
      </c>
      <c r="FY12" s="37">
        <v>612.79999999999995</v>
      </c>
      <c r="FZ12" s="37">
        <v>622.4</v>
      </c>
      <c r="GA12" s="37">
        <v>631.5</v>
      </c>
      <c r="GB12" s="37">
        <v>639.5</v>
      </c>
      <c r="GC12" s="37">
        <v>646.4</v>
      </c>
      <c r="GD12" s="37">
        <v>652.4</v>
      </c>
      <c r="GE12" s="37">
        <v>658.6</v>
      </c>
      <c r="GF12" s="37">
        <v>665.2</v>
      </c>
      <c r="GG12" s="37">
        <v>672.2</v>
      </c>
      <c r="GH12" s="37">
        <v>678.5</v>
      </c>
      <c r="GI12" s="37">
        <v>687.4</v>
      </c>
      <c r="GJ12" s="37">
        <v>696.3</v>
      </c>
      <c r="GK12" s="37">
        <v>705.1</v>
      </c>
      <c r="GL12" s="37">
        <v>714.3</v>
      </c>
      <c r="GM12" s="37">
        <v>725.6</v>
      </c>
      <c r="GN12" s="37">
        <v>739.2</v>
      </c>
      <c r="GO12" s="37">
        <v>755.3</v>
      </c>
      <c r="GP12" s="37">
        <v>772.6</v>
      </c>
      <c r="GQ12" s="37">
        <v>785.8</v>
      </c>
      <c r="GR12" s="37">
        <v>793.7</v>
      </c>
      <c r="GS12" s="37">
        <v>796.3</v>
      </c>
      <c r="GT12" s="37">
        <v>795.3</v>
      </c>
      <c r="GU12" s="37">
        <v>808</v>
      </c>
      <c r="GV12" s="37">
        <v>822.1</v>
      </c>
      <c r="GW12" s="37">
        <v>837.5</v>
      </c>
      <c r="GX12" s="37">
        <v>857.6</v>
      </c>
      <c r="GY12" s="37">
        <v>875.4</v>
      </c>
      <c r="GZ12" s="37">
        <v>889.5</v>
      </c>
      <c r="HA12" s="37">
        <v>900</v>
      </c>
      <c r="HB12" s="37">
        <v>908</v>
      </c>
      <c r="HC12">
        <v>911.8</v>
      </c>
      <c r="HD12">
        <v>920.3</v>
      </c>
    </row>
    <row r="13" spans="1:212" x14ac:dyDescent="0.3">
      <c r="A13" s="37" t="s">
        <v>1771</v>
      </c>
      <c r="B13" s="37">
        <v>5</v>
      </c>
      <c r="C13" s="37">
        <v>5.3</v>
      </c>
      <c r="D13" s="37">
        <v>5.6</v>
      </c>
      <c r="E13" s="37">
        <v>5.9</v>
      </c>
      <c r="F13" s="37">
        <v>6.2</v>
      </c>
      <c r="G13" s="37">
        <v>6.6</v>
      </c>
      <c r="H13" s="37">
        <v>6.9</v>
      </c>
      <c r="I13" s="37">
        <v>7.3</v>
      </c>
      <c r="J13" s="37">
        <v>7.8</v>
      </c>
      <c r="K13" s="37">
        <v>8</v>
      </c>
      <c r="L13" s="37">
        <v>8.6</v>
      </c>
      <c r="M13" s="37">
        <v>8.5</v>
      </c>
      <c r="N13" s="37">
        <v>9</v>
      </c>
      <c r="O13" s="37">
        <v>9.6</v>
      </c>
      <c r="P13" s="37">
        <v>9.6999999999999993</v>
      </c>
      <c r="Q13" s="37">
        <v>10.1</v>
      </c>
      <c r="R13" s="37">
        <v>10.199999999999999</v>
      </c>
      <c r="S13" s="37">
        <v>11.1</v>
      </c>
      <c r="T13" s="37">
        <v>11.4</v>
      </c>
      <c r="U13" s="37">
        <v>12</v>
      </c>
      <c r="V13" s="37">
        <v>13.3</v>
      </c>
      <c r="W13" s="37">
        <v>13.8</v>
      </c>
      <c r="X13" s="37">
        <v>13.8</v>
      </c>
      <c r="Y13" s="37">
        <v>14.6</v>
      </c>
      <c r="Z13" s="37">
        <v>15.2</v>
      </c>
      <c r="AA13" s="37">
        <v>14.9</v>
      </c>
      <c r="AB13" s="37">
        <v>15.9</v>
      </c>
      <c r="AC13" s="37">
        <v>15.9</v>
      </c>
      <c r="AD13" s="37">
        <v>16.2</v>
      </c>
      <c r="AE13" s="37">
        <v>17.5</v>
      </c>
      <c r="AF13" s="37">
        <v>16.7</v>
      </c>
      <c r="AG13" s="37">
        <v>16.5</v>
      </c>
      <c r="AH13" s="37">
        <v>17.5</v>
      </c>
      <c r="AI13" s="37">
        <v>18.600000000000001</v>
      </c>
      <c r="AJ13" s="37">
        <v>18.899999999999999</v>
      </c>
      <c r="AK13" s="37">
        <v>19.5</v>
      </c>
      <c r="AL13" s="37">
        <v>20</v>
      </c>
      <c r="AM13" s="37">
        <v>20.8</v>
      </c>
      <c r="AN13" s="37">
        <v>21.1</v>
      </c>
      <c r="AO13" s="37">
        <v>22.4</v>
      </c>
      <c r="AP13" s="37">
        <v>23.4</v>
      </c>
      <c r="AQ13" s="37">
        <v>22.2</v>
      </c>
      <c r="AR13" s="37">
        <v>24.2</v>
      </c>
      <c r="AS13" s="37">
        <v>25.6</v>
      </c>
      <c r="AT13" s="37">
        <v>26.5</v>
      </c>
      <c r="AU13" s="37">
        <v>28.1</v>
      </c>
      <c r="AV13" s="37">
        <v>28.3</v>
      </c>
      <c r="AW13" s="37">
        <v>28</v>
      </c>
      <c r="AX13" s="37">
        <v>28.8</v>
      </c>
      <c r="AY13" s="37">
        <v>30.2</v>
      </c>
      <c r="AZ13" s="37">
        <v>30.8</v>
      </c>
      <c r="BA13" s="37">
        <v>30.8</v>
      </c>
      <c r="BB13" s="37">
        <v>33.200000000000003</v>
      </c>
      <c r="BC13" s="37">
        <v>33.4</v>
      </c>
      <c r="BD13" s="37">
        <v>34</v>
      </c>
      <c r="BE13" s="37">
        <v>34.9</v>
      </c>
      <c r="BF13" s="37">
        <v>35.700000000000003</v>
      </c>
      <c r="BG13" s="37">
        <v>36.200000000000003</v>
      </c>
      <c r="BH13" s="37">
        <v>36.799999999999997</v>
      </c>
      <c r="BI13" s="37">
        <v>37.6</v>
      </c>
      <c r="BJ13" s="37">
        <v>38.4</v>
      </c>
      <c r="BK13" s="37">
        <v>39.200000000000003</v>
      </c>
      <c r="BL13" s="37">
        <v>40.1</v>
      </c>
      <c r="BM13" s="37">
        <v>41.1</v>
      </c>
      <c r="BN13" s="37">
        <v>42.1</v>
      </c>
      <c r="BO13" s="37">
        <v>43.1</v>
      </c>
      <c r="BP13" s="37">
        <v>44.1</v>
      </c>
      <c r="BQ13" s="37">
        <v>45.2</v>
      </c>
      <c r="BR13" s="37">
        <v>46.2</v>
      </c>
      <c r="BS13" s="37">
        <v>47.3</v>
      </c>
      <c r="BT13" s="37">
        <v>48.4</v>
      </c>
      <c r="BU13" s="37">
        <v>49.4</v>
      </c>
      <c r="BV13" s="37">
        <v>50.9</v>
      </c>
      <c r="BW13" s="37">
        <v>52.2</v>
      </c>
      <c r="BX13" s="37">
        <v>53.7</v>
      </c>
      <c r="BY13" s="37">
        <v>55.4</v>
      </c>
      <c r="BZ13" s="37">
        <v>57.4</v>
      </c>
      <c r="CA13" s="37">
        <v>59.6</v>
      </c>
      <c r="CB13" s="37">
        <v>61.9</v>
      </c>
      <c r="CC13" s="37">
        <v>64.400000000000006</v>
      </c>
      <c r="CD13" s="37">
        <v>66.599999999999994</v>
      </c>
      <c r="CE13" s="37">
        <v>70.3</v>
      </c>
      <c r="CF13" s="37">
        <v>74.900000000000006</v>
      </c>
      <c r="CG13" s="37">
        <v>80.7</v>
      </c>
      <c r="CH13" s="37">
        <v>83.7</v>
      </c>
      <c r="CI13" s="37">
        <v>93.1</v>
      </c>
      <c r="CJ13" s="37">
        <v>98.4</v>
      </c>
      <c r="CK13" s="37">
        <v>112.5</v>
      </c>
      <c r="CL13" s="37">
        <v>108.3</v>
      </c>
      <c r="CM13" s="37">
        <v>115.4</v>
      </c>
      <c r="CN13" s="37">
        <v>120.6</v>
      </c>
      <c r="CO13" s="37">
        <v>120.8</v>
      </c>
      <c r="CP13" s="37">
        <v>124.4</v>
      </c>
      <c r="CQ13" s="37">
        <v>124.8</v>
      </c>
      <c r="CR13" s="37">
        <v>135.19999999999999</v>
      </c>
      <c r="CS13" s="37">
        <v>136</v>
      </c>
      <c r="CT13" s="37">
        <v>136.6</v>
      </c>
      <c r="CU13" s="37">
        <v>137.1</v>
      </c>
      <c r="CV13" s="37">
        <v>136.19999999999999</v>
      </c>
      <c r="CW13" s="37">
        <v>147.80000000000001</v>
      </c>
      <c r="CX13" s="37">
        <v>152.5</v>
      </c>
      <c r="CY13" s="37">
        <v>152.5</v>
      </c>
      <c r="CZ13" s="37">
        <v>152.69999999999999</v>
      </c>
      <c r="DA13" s="37">
        <v>140.69999999999999</v>
      </c>
      <c r="DB13" s="37">
        <v>151.30000000000001</v>
      </c>
      <c r="DC13" s="37">
        <v>165.8</v>
      </c>
      <c r="DD13" s="37">
        <v>158.80000000000001</v>
      </c>
      <c r="DE13" s="37">
        <v>156.9</v>
      </c>
      <c r="DF13" s="37">
        <v>161.4</v>
      </c>
      <c r="DG13" s="37">
        <v>159.4</v>
      </c>
      <c r="DH13" s="37">
        <v>163.69999999999999</v>
      </c>
      <c r="DI13" s="37">
        <v>168</v>
      </c>
      <c r="DJ13" s="37">
        <v>167.2</v>
      </c>
      <c r="DK13" s="37">
        <v>170</v>
      </c>
      <c r="DL13" s="37">
        <v>168.1</v>
      </c>
      <c r="DM13" s="37">
        <v>175.4</v>
      </c>
      <c r="DN13" s="37">
        <v>181.1</v>
      </c>
      <c r="DO13" s="37">
        <v>179.1</v>
      </c>
      <c r="DP13" s="37">
        <v>186.7</v>
      </c>
      <c r="DQ13" s="37">
        <v>191.3</v>
      </c>
      <c r="DR13" s="37">
        <v>190.2</v>
      </c>
      <c r="DS13" s="37">
        <v>198.3</v>
      </c>
      <c r="DT13" s="37">
        <v>204.8</v>
      </c>
      <c r="DU13" s="37">
        <v>204.8</v>
      </c>
      <c r="DV13" s="37">
        <v>215</v>
      </c>
      <c r="DW13" s="37">
        <v>230.1</v>
      </c>
      <c r="DX13" s="37">
        <v>217.4</v>
      </c>
      <c r="DY13" s="37">
        <v>246.5</v>
      </c>
      <c r="DZ13" s="37">
        <v>244.9</v>
      </c>
      <c r="EA13" s="37">
        <v>243.8</v>
      </c>
      <c r="EB13" s="37">
        <v>251.1</v>
      </c>
      <c r="EC13" s="37">
        <v>260.3</v>
      </c>
      <c r="ED13" s="37">
        <v>260.7</v>
      </c>
      <c r="EE13" s="37">
        <v>260.10000000000002</v>
      </c>
      <c r="EF13" s="37">
        <v>271.7</v>
      </c>
      <c r="EG13" s="37">
        <v>265.7</v>
      </c>
      <c r="EH13" s="37">
        <v>283.39999999999998</v>
      </c>
      <c r="EI13" s="37">
        <v>293</v>
      </c>
      <c r="EJ13" s="37">
        <v>288.3</v>
      </c>
      <c r="EK13" s="37">
        <v>294.5</v>
      </c>
      <c r="EL13" s="37">
        <v>301.3</v>
      </c>
      <c r="EM13" s="37">
        <v>310.8</v>
      </c>
      <c r="EN13" s="37">
        <v>300.10000000000002</v>
      </c>
      <c r="EO13" s="37">
        <v>305.39999999999998</v>
      </c>
      <c r="EP13" s="37">
        <v>291.3</v>
      </c>
      <c r="EQ13" s="37">
        <v>294.89999999999998</v>
      </c>
      <c r="ER13" s="37">
        <v>308.7</v>
      </c>
      <c r="ES13" s="37">
        <v>301.39999999999998</v>
      </c>
      <c r="ET13" s="37">
        <v>332.5</v>
      </c>
      <c r="EU13" s="37">
        <v>314.7</v>
      </c>
      <c r="EV13" s="37">
        <v>319.60000000000002</v>
      </c>
      <c r="EW13" s="37">
        <v>329.9</v>
      </c>
      <c r="EX13" s="37">
        <v>331.6</v>
      </c>
      <c r="EY13" s="37">
        <v>339.2</v>
      </c>
      <c r="EZ13" s="37">
        <v>340.8</v>
      </c>
      <c r="FA13" s="37">
        <v>341.8</v>
      </c>
      <c r="FB13" s="37">
        <v>358.4</v>
      </c>
      <c r="FC13" s="37">
        <v>368.9</v>
      </c>
      <c r="FD13" s="37">
        <v>378.2</v>
      </c>
      <c r="FE13" s="37">
        <v>372.8</v>
      </c>
      <c r="FF13" s="37">
        <v>382.1</v>
      </c>
      <c r="FG13" s="37">
        <v>385.7</v>
      </c>
      <c r="FH13" s="37">
        <v>405.6</v>
      </c>
      <c r="FI13" s="37">
        <v>414.1</v>
      </c>
      <c r="FJ13" s="37">
        <v>418.8</v>
      </c>
      <c r="FK13" s="37">
        <v>409.7</v>
      </c>
      <c r="FL13" s="37">
        <v>396.4</v>
      </c>
      <c r="FM13" s="37">
        <v>399.3</v>
      </c>
      <c r="FN13" s="37">
        <v>400.6</v>
      </c>
      <c r="FO13" s="37">
        <v>421.7</v>
      </c>
      <c r="FP13" s="37">
        <v>419</v>
      </c>
      <c r="FQ13" s="37">
        <v>428.9</v>
      </c>
      <c r="FR13" s="37">
        <v>424.8</v>
      </c>
      <c r="FS13" s="37">
        <v>438.4</v>
      </c>
      <c r="FT13" s="37">
        <v>448.2</v>
      </c>
      <c r="FU13" s="37">
        <v>448.6</v>
      </c>
      <c r="FV13" s="37">
        <v>459.5</v>
      </c>
      <c r="FW13" s="37">
        <v>481.5</v>
      </c>
      <c r="FX13" s="37">
        <v>507.2</v>
      </c>
      <c r="FY13" s="37">
        <v>515.29999999999995</v>
      </c>
      <c r="FZ13" s="37">
        <v>523.6</v>
      </c>
      <c r="GA13" s="37">
        <v>537.9</v>
      </c>
      <c r="GB13" s="37">
        <v>540.4</v>
      </c>
      <c r="GC13" s="37">
        <v>541.79999999999995</v>
      </c>
      <c r="GD13" s="37">
        <v>550.5</v>
      </c>
      <c r="GE13" s="37">
        <v>558.79999999999995</v>
      </c>
      <c r="GF13" s="37">
        <v>566.5</v>
      </c>
      <c r="GG13" s="37">
        <v>575.29999999999995</v>
      </c>
      <c r="GH13" s="37">
        <v>572.4</v>
      </c>
      <c r="GI13" s="37">
        <v>567.9</v>
      </c>
      <c r="GJ13" s="37">
        <v>578.79999999999995</v>
      </c>
      <c r="GK13" s="37">
        <v>575.79999999999995</v>
      </c>
      <c r="GL13" s="37">
        <v>581.9</v>
      </c>
      <c r="GM13" s="37">
        <v>592.6</v>
      </c>
      <c r="GN13" s="37">
        <v>595</v>
      </c>
      <c r="GO13" s="37">
        <v>589.5</v>
      </c>
      <c r="GP13" s="37">
        <v>598.70000000000005</v>
      </c>
      <c r="GQ13" s="37">
        <v>614.4</v>
      </c>
      <c r="GR13" s="37">
        <v>622.4</v>
      </c>
      <c r="GS13" s="37">
        <v>620.70000000000005</v>
      </c>
      <c r="GT13" s="37">
        <v>606.6</v>
      </c>
      <c r="GU13" s="37">
        <v>654.70000000000005</v>
      </c>
      <c r="GV13" s="37">
        <v>690.7</v>
      </c>
      <c r="GW13" s="37">
        <v>678.3</v>
      </c>
      <c r="GX13" s="37">
        <v>704.4</v>
      </c>
      <c r="GY13" s="37">
        <v>744.8</v>
      </c>
      <c r="GZ13" s="37">
        <v>748.2</v>
      </c>
      <c r="HA13" s="37">
        <v>745</v>
      </c>
      <c r="HB13" s="37">
        <v>763.1</v>
      </c>
      <c r="HC13">
        <v>789.5</v>
      </c>
      <c r="HD13">
        <v>790</v>
      </c>
    </row>
    <row r="14" spans="1:212" x14ac:dyDescent="0.3">
      <c r="A14" s="37" t="s">
        <v>1772</v>
      </c>
      <c r="B14" s="37">
        <v>2.9</v>
      </c>
      <c r="C14" s="37">
        <v>3.9</v>
      </c>
      <c r="D14" s="37">
        <v>4.5999999999999996</v>
      </c>
      <c r="E14" s="37">
        <v>5.4</v>
      </c>
      <c r="F14" s="37">
        <v>5.7</v>
      </c>
      <c r="G14" s="37">
        <v>6.3</v>
      </c>
      <c r="H14" s="37">
        <v>6.3</v>
      </c>
      <c r="I14" s="37">
        <v>6.3</v>
      </c>
      <c r="J14" s="37">
        <v>6.5</v>
      </c>
      <c r="K14" s="37">
        <v>6.9</v>
      </c>
      <c r="L14" s="37">
        <v>5.8</v>
      </c>
      <c r="M14" s="37">
        <v>5</v>
      </c>
      <c r="N14" s="37">
        <v>4.5999999999999996</v>
      </c>
      <c r="O14" s="37">
        <v>4.5</v>
      </c>
      <c r="P14" s="37">
        <v>4.5</v>
      </c>
      <c r="Q14" s="37">
        <v>4.7</v>
      </c>
      <c r="R14" s="37">
        <v>5.8</v>
      </c>
      <c r="S14" s="37">
        <v>6.7</v>
      </c>
      <c r="T14" s="37">
        <v>6.9</v>
      </c>
      <c r="U14" s="37">
        <v>8.6</v>
      </c>
      <c r="V14" s="37">
        <v>14.2</v>
      </c>
      <c r="W14" s="37">
        <v>19.399999999999999</v>
      </c>
      <c r="X14" s="37">
        <v>20.2</v>
      </c>
      <c r="Y14" s="37">
        <v>18.8</v>
      </c>
      <c r="Z14" s="37">
        <v>17.7</v>
      </c>
      <c r="AA14" s="37">
        <v>16.3</v>
      </c>
      <c r="AB14" s="37">
        <v>16.100000000000001</v>
      </c>
      <c r="AC14" s="37">
        <v>15.5</v>
      </c>
      <c r="AD14" s="37">
        <v>15.5</v>
      </c>
      <c r="AE14" s="37">
        <v>13.3</v>
      </c>
      <c r="AF14" s="37">
        <v>11.9</v>
      </c>
      <c r="AG14" s="37">
        <v>11.8</v>
      </c>
      <c r="AH14" s="37">
        <v>10.8</v>
      </c>
      <c r="AI14" s="37">
        <v>9.4</v>
      </c>
      <c r="AJ14" s="37">
        <v>9</v>
      </c>
      <c r="AK14" s="37">
        <v>8.5</v>
      </c>
      <c r="AL14" s="37">
        <v>9.4</v>
      </c>
      <c r="AM14" s="37">
        <v>9.1999999999999993</v>
      </c>
      <c r="AN14" s="37">
        <v>9.6</v>
      </c>
      <c r="AO14" s="37">
        <v>10.6</v>
      </c>
      <c r="AP14" s="37">
        <v>12</v>
      </c>
      <c r="AQ14" s="37">
        <v>15.7</v>
      </c>
      <c r="AR14" s="37">
        <v>19</v>
      </c>
      <c r="AS14" s="37">
        <v>17.8</v>
      </c>
      <c r="AT14" s="37">
        <v>16.399999999999999</v>
      </c>
      <c r="AU14" s="37">
        <v>15.5</v>
      </c>
      <c r="AV14" s="37">
        <v>15</v>
      </c>
      <c r="AW14" s="37">
        <v>16.600000000000001</v>
      </c>
      <c r="AX14" s="37">
        <v>19.100000000000001</v>
      </c>
      <c r="AY14" s="37">
        <v>23.9</v>
      </c>
      <c r="AZ14" s="37">
        <v>26.1</v>
      </c>
      <c r="BA14" s="37">
        <v>31.8</v>
      </c>
      <c r="BB14" s="37">
        <v>30.3</v>
      </c>
      <c r="BC14" s="37">
        <v>32.1</v>
      </c>
      <c r="BD14" s="37">
        <v>23.3</v>
      </c>
      <c r="BE14" s="37">
        <v>20</v>
      </c>
      <c r="BF14" s="37">
        <v>17.3</v>
      </c>
      <c r="BG14" s="37">
        <v>15.7</v>
      </c>
      <c r="BH14" s="37">
        <v>15.1</v>
      </c>
      <c r="BI14" s="37">
        <v>15.9</v>
      </c>
      <c r="BJ14" s="37">
        <v>16.899999999999999</v>
      </c>
      <c r="BK14" s="37">
        <v>16</v>
      </c>
      <c r="BL14" s="37">
        <v>15</v>
      </c>
      <c r="BM14" s="37">
        <v>15.6</v>
      </c>
      <c r="BN14" s="37">
        <v>15.6</v>
      </c>
      <c r="BO14" s="37">
        <v>16.399999999999999</v>
      </c>
      <c r="BP14" s="37">
        <v>17</v>
      </c>
      <c r="BQ14" s="37">
        <v>16.899999999999999</v>
      </c>
      <c r="BR14" s="37">
        <v>15.5</v>
      </c>
      <c r="BS14" s="37">
        <v>15.1</v>
      </c>
      <c r="BT14" s="37">
        <v>14.4</v>
      </c>
      <c r="BU14" s="37">
        <v>13.5</v>
      </c>
      <c r="BV14" s="37">
        <v>13.9</v>
      </c>
      <c r="BW14" s="37">
        <v>13.2</v>
      </c>
      <c r="BX14" s="37">
        <v>13.2</v>
      </c>
      <c r="BY14" s="37">
        <v>13</v>
      </c>
      <c r="BZ14" s="37">
        <v>13.6</v>
      </c>
      <c r="CA14" s="37">
        <v>13.7</v>
      </c>
      <c r="CB14" s="37">
        <v>14.6</v>
      </c>
      <c r="CC14" s="37">
        <v>15.8</v>
      </c>
      <c r="CD14" s="37">
        <v>16.399999999999999</v>
      </c>
      <c r="CE14" s="37">
        <v>17.100000000000001</v>
      </c>
      <c r="CF14" s="37">
        <v>18.2</v>
      </c>
      <c r="CG14" s="37">
        <v>21</v>
      </c>
      <c r="CH14" s="37">
        <v>24.3</v>
      </c>
      <c r="CI14" s="37">
        <v>27.5</v>
      </c>
      <c r="CJ14" s="37">
        <v>25.9</v>
      </c>
      <c r="CK14" s="37">
        <v>29.4</v>
      </c>
      <c r="CL14" s="37">
        <v>39.700000000000003</v>
      </c>
      <c r="CM14" s="37">
        <v>41.2</v>
      </c>
      <c r="CN14" s="37">
        <v>39.6</v>
      </c>
      <c r="CO14" s="37">
        <v>38</v>
      </c>
      <c r="CP14" s="37">
        <v>35.1</v>
      </c>
      <c r="CQ14" s="37">
        <v>35.5</v>
      </c>
      <c r="CR14" s="37">
        <v>35.5</v>
      </c>
      <c r="CS14" s="37">
        <v>33.200000000000003</v>
      </c>
      <c r="CT14" s="37">
        <v>28</v>
      </c>
      <c r="CU14" s="37">
        <v>24.4</v>
      </c>
      <c r="CV14" s="37">
        <v>22.1</v>
      </c>
      <c r="CW14" s="37">
        <v>21.3</v>
      </c>
      <c r="CX14" s="37">
        <v>20.9</v>
      </c>
      <c r="CY14" s="37">
        <v>21.6</v>
      </c>
      <c r="CZ14" s="37">
        <v>22</v>
      </c>
      <c r="DA14" s="37">
        <v>22.5</v>
      </c>
      <c r="DB14" s="37">
        <v>23</v>
      </c>
      <c r="DC14" s="37">
        <v>22.7</v>
      </c>
      <c r="DD14" s="37">
        <v>21.6</v>
      </c>
      <c r="DE14" s="37">
        <v>21.7</v>
      </c>
      <c r="DF14" s="37">
        <v>21</v>
      </c>
      <c r="DG14" s="37">
        <v>20.399999999999999</v>
      </c>
      <c r="DH14" s="37">
        <v>19.600000000000001</v>
      </c>
      <c r="DI14" s="37">
        <v>19.399999999999999</v>
      </c>
      <c r="DJ14" s="37">
        <v>19.399999999999999</v>
      </c>
      <c r="DK14" s="37">
        <v>19.3</v>
      </c>
      <c r="DL14" s="37">
        <v>20.3</v>
      </c>
      <c r="DM14" s="37">
        <v>19.8</v>
      </c>
      <c r="DN14" s="37">
        <v>20.8</v>
      </c>
      <c r="DO14" s="37">
        <v>20.9</v>
      </c>
      <c r="DP14" s="37">
        <v>20.3</v>
      </c>
      <c r="DQ14" s="37">
        <v>20</v>
      </c>
      <c r="DR14" s="37">
        <v>20.5</v>
      </c>
      <c r="DS14" s="37">
        <v>20</v>
      </c>
      <c r="DT14" s="37">
        <v>20.6</v>
      </c>
      <c r="DU14" s="37">
        <v>21.9</v>
      </c>
      <c r="DV14" s="37">
        <v>25.5</v>
      </c>
      <c r="DW14" s="37">
        <v>28.4</v>
      </c>
      <c r="DX14" s="37">
        <v>33.1</v>
      </c>
      <c r="DY14" s="37">
        <v>40.6</v>
      </c>
      <c r="DZ14" s="37">
        <v>42.8</v>
      </c>
      <c r="EA14" s="37">
        <v>60.5</v>
      </c>
      <c r="EB14" s="37">
        <v>56.9</v>
      </c>
      <c r="EC14" s="37">
        <v>53.7</v>
      </c>
      <c r="ED14" s="37">
        <v>51.8</v>
      </c>
      <c r="EE14" s="37">
        <v>55.2</v>
      </c>
      <c r="EF14" s="37">
        <v>54.2</v>
      </c>
      <c r="EG14" s="37">
        <v>51.5</v>
      </c>
      <c r="EH14" s="37">
        <v>42.3</v>
      </c>
      <c r="EI14" s="37">
        <v>35.9</v>
      </c>
      <c r="EJ14" s="37">
        <v>34.700000000000003</v>
      </c>
      <c r="EK14" s="37">
        <v>32.9</v>
      </c>
      <c r="EL14" s="37">
        <v>32.1</v>
      </c>
      <c r="EM14" s="37">
        <v>30.9</v>
      </c>
      <c r="EN14" s="37">
        <v>31.6</v>
      </c>
      <c r="EO14" s="37">
        <v>32.5</v>
      </c>
      <c r="EP14" s="37">
        <v>30.3</v>
      </c>
      <c r="EQ14" s="37">
        <v>29.5</v>
      </c>
      <c r="ER14" s="37">
        <v>30.6</v>
      </c>
      <c r="ES14" s="37">
        <v>31.1</v>
      </c>
      <c r="ET14" s="37">
        <v>32.299999999999997</v>
      </c>
      <c r="EU14" s="37">
        <v>31.8</v>
      </c>
      <c r="EV14" s="37">
        <v>32.799999999999997</v>
      </c>
      <c r="EW14" s="37">
        <v>34</v>
      </c>
      <c r="EX14" s="37">
        <v>36.299999999999997</v>
      </c>
      <c r="EY14" s="37">
        <v>38.200000000000003</v>
      </c>
      <c r="EZ14" s="37">
        <v>58.2</v>
      </c>
      <c r="FA14" s="37">
        <v>71.900000000000006</v>
      </c>
      <c r="FB14" s="37">
        <v>101.6</v>
      </c>
      <c r="FC14" s="37">
        <v>130.30000000000001</v>
      </c>
      <c r="FD14" s="37">
        <v>144.4</v>
      </c>
      <c r="FE14" s="37">
        <v>148.6</v>
      </c>
      <c r="FF14" s="37">
        <v>159.30000000000001</v>
      </c>
      <c r="FG14" s="37">
        <v>141.19999999999999</v>
      </c>
      <c r="FH14" s="37">
        <v>131</v>
      </c>
      <c r="FI14" s="37">
        <v>123.9</v>
      </c>
      <c r="FJ14" s="37">
        <v>116.7</v>
      </c>
      <c r="FK14" s="37">
        <v>109.3</v>
      </c>
      <c r="FL14" s="37">
        <v>102.9</v>
      </c>
      <c r="FM14" s="37">
        <v>99.8</v>
      </c>
      <c r="FN14" s="37">
        <v>94.6</v>
      </c>
      <c r="FO14" s="37">
        <v>86.3</v>
      </c>
      <c r="FP14" s="37">
        <v>78.400000000000006</v>
      </c>
      <c r="FQ14" s="37">
        <v>75.099999999999994</v>
      </c>
      <c r="FR14" s="37">
        <v>69</v>
      </c>
      <c r="FS14" s="37">
        <v>64.8</v>
      </c>
      <c r="FT14" s="37">
        <v>59.1</v>
      </c>
      <c r="FU14" s="37">
        <v>57.1</v>
      </c>
      <c r="FV14" s="37">
        <v>39</v>
      </c>
      <c r="FW14" s="37">
        <v>35.799999999999997</v>
      </c>
      <c r="FX14" s="37">
        <v>34</v>
      </c>
      <c r="FY14" s="37">
        <v>33</v>
      </c>
      <c r="FZ14" s="37">
        <v>32.9</v>
      </c>
      <c r="GA14" s="37">
        <v>32.4</v>
      </c>
      <c r="GB14" s="37">
        <v>32.5</v>
      </c>
      <c r="GC14" s="37">
        <v>32.4</v>
      </c>
      <c r="GD14" s="37">
        <v>32.4</v>
      </c>
      <c r="GE14" s="37">
        <v>32.299999999999997</v>
      </c>
      <c r="GF14" s="37">
        <v>32.1</v>
      </c>
      <c r="GG14" s="37">
        <v>31.3</v>
      </c>
      <c r="GH14" s="37">
        <v>31.3</v>
      </c>
      <c r="GI14" s="37">
        <v>29.6</v>
      </c>
      <c r="GJ14" s="37">
        <v>29.6</v>
      </c>
      <c r="GK14" s="37">
        <v>30.3</v>
      </c>
      <c r="GL14" s="37">
        <v>29.7</v>
      </c>
      <c r="GM14" s="37">
        <v>27</v>
      </c>
      <c r="GN14" s="37">
        <v>26.5</v>
      </c>
      <c r="GO14" s="37">
        <v>27.8</v>
      </c>
      <c r="GP14" s="37">
        <v>29.4</v>
      </c>
      <c r="GQ14" s="37">
        <v>26.9</v>
      </c>
      <c r="GR14" s="37">
        <v>26.4</v>
      </c>
      <c r="GS14" s="37">
        <v>27.7</v>
      </c>
      <c r="GT14" s="37">
        <v>40.700000000000003</v>
      </c>
      <c r="GU14" s="37">
        <v>1007.5</v>
      </c>
      <c r="GV14" s="37">
        <v>792.9</v>
      </c>
      <c r="GW14" s="37">
        <v>308.5</v>
      </c>
      <c r="GX14" s="37">
        <v>556.20000000000005</v>
      </c>
      <c r="GY14" s="37">
        <v>448.6</v>
      </c>
      <c r="GZ14" s="37">
        <v>245.1</v>
      </c>
      <c r="HA14" s="37">
        <v>33.799999999999997</v>
      </c>
      <c r="HB14" s="37">
        <v>23.6</v>
      </c>
      <c r="HC14">
        <v>18.600000000000001</v>
      </c>
      <c r="HD14">
        <v>18.5</v>
      </c>
    </row>
    <row r="15" spans="1:212" x14ac:dyDescent="0.3">
      <c r="A15" s="37" t="s">
        <v>1773</v>
      </c>
      <c r="B15" s="37">
        <v>63</v>
      </c>
      <c r="C15" s="37">
        <v>73.099999999999994</v>
      </c>
      <c r="D15" s="37">
        <v>73.5</v>
      </c>
      <c r="E15" s="37">
        <v>77.400000000000006</v>
      </c>
      <c r="F15" s="37">
        <v>79.3</v>
      </c>
      <c r="G15" s="37">
        <v>86.9</v>
      </c>
      <c r="H15" s="37">
        <v>86.9</v>
      </c>
      <c r="I15" s="37">
        <v>88.5</v>
      </c>
      <c r="J15" s="37">
        <v>91.4</v>
      </c>
      <c r="K15" s="37">
        <v>91.9</v>
      </c>
      <c r="L15" s="37">
        <v>92.9</v>
      </c>
      <c r="M15" s="37">
        <v>103.1</v>
      </c>
      <c r="N15" s="37">
        <v>105.4</v>
      </c>
      <c r="O15" s="37">
        <v>107.6</v>
      </c>
      <c r="P15" s="37">
        <v>109.2</v>
      </c>
      <c r="Q15" s="37">
        <v>112.3</v>
      </c>
      <c r="R15" s="37">
        <v>117.5</v>
      </c>
      <c r="S15" s="37">
        <v>125.4</v>
      </c>
      <c r="T15" s="37">
        <v>132.19999999999999</v>
      </c>
      <c r="U15" s="37">
        <v>139.1</v>
      </c>
      <c r="V15" s="37">
        <v>149.80000000000001</v>
      </c>
      <c r="W15" s="37">
        <v>164.6</v>
      </c>
      <c r="X15" s="37">
        <v>167.7</v>
      </c>
      <c r="Y15" s="37">
        <v>170.4</v>
      </c>
      <c r="Z15" s="37">
        <v>174.7</v>
      </c>
      <c r="AA15" s="37">
        <v>173.1</v>
      </c>
      <c r="AB15" s="37">
        <v>180.1</v>
      </c>
      <c r="AC15" s="37">
        <v>182.7</v>
      </c>
      <c r="AD15" s="37">
        <v>185.5</v>
      </c>
      <c r="AE15" s="37">
        <v>186.4</v>
      </c>
      <c r="AF15" s="37">
        <v>191.7</v>
      </c>
      <c r="AG15" s="37">
        <v>194.3</v>
      </c>
      <c r="AH15" s="37">
        <v>197.7</v>
      </c>
      <c r="AI15" s="37">
        <v>199</v>
      </c>
      <c r="AJ15" s="37">
        <v>207.1</v>
      </c>
      <c r="AK15" s="37">
        <v>209.9</v>
      </c>
      <c r="AL15" s="37">
        <v>214.9</v>
      </c>
      <c r="AM15" s="37">
        <v>219.2</v>
      </c>
      <c r="AN15" s="37">
        <v>234.6</v>
      </c>
      <c r="AO15" s="37">
        <v>240.7</v>
      </c>
      <c r="AP15" s="37">
        <v>251.2</v>
      </c>
      <c r="AQ15" s="37">
        <v>256.2</v>
      </c>
      <c r="AR15" s="37">
        <v>287.89999999999998</v>
      </c>
      <c r="AS15" s="37">
        <v>290.7</v>
      </c>
      <c r="AT15" s="37">
        <v>296.10000000000002</v>
      </c>
      <c r="AU15" s="37">
        <v>299</v>
      </c>
      <c r="AV15" s="37">
        <v>317</v>
      </c>
      <c r="AW15" s="37">
        <v>319.2</v>
      </c>
      <c r="AX15" s="37">
        <v>324.3</v>
      </c>
      <c r="AY15" s="37">
        <v>333.2</v>
      </c>
      <c r="AZ15" s="37">
        <v>349.7</v>
      </c>
      <c r="BA15" s="37">
        <v>365.2</v>
      </c>
      <c r="BB15" s="37">
        <v>368</v>
      </c>
      <c r="BC15" s="37">
        <v>373.7</v>
      </c>
      <c r="BD15" s="37">
        <v>368.5</v>
      </c>
      <c r="BE15" s="37">
        <v>371.8</v>
      </c>
      <c r="BF15" s="37">
        <v>376.3</v>
      </c>
      <c r="BG15" s="37">
        <v>379</v>
      </c>
      <c r="BH15" s="37">
        <v>380.4</v>
      </c>
      <c r="BI15" s="37">
        <v>387.9</v>
      </c>
      <c r="BJ15" s="37">
        <v>398.1</v>
      </c>
      <c r="BK15" s="37">
        <v>400.5</v>
      </c>
      <c r="BL15" s="37">
        <v>405.6</v>
      </c>
      <c r="BM15" s="37">
        <v>408.3</v>
      </c>
      <c r="BN15" s="37">
        <v>419.9</v>
      </c>
      <c r="BO15" s="37">
        <v>425.6</v>
      </c>
      <c r="BP15" s="37">
        <v>433.1</v>
      </c>
      <c r="BQ15" s="37">
        <v>435.8</v>
      </c>
      <c r="BR15" s="37">
        <v>441.9</v>
      </c>
      <c r="BS15" s="37">
        <v>447.5</v>
      </c>
      <c r="BT15" s="37">
        <v>449.4</v>
      </c>
      <c r="BU15" s="37">
        <v>452.8</v>
      </c>
      <c r="BV15" s="37">
        <v>470.3</v>
      </c>
      <c r="BW15" s="37">
        <v>473.4</v>
      </c>
      <c r="BX15" s="37">
        <v>478.8</v>
      </c>
      <c r="BY15" s="37">
        <v>484.9</v>
      </c>
      <c r="BZ15" s="37">
        <v>508.2</v>
      </c>
      <c r="CA15" s="37">
        <v>515.70000000000005</v>
      </c>
      <c r="CB15" s="37">
        <v>524.70000000000005</v>
      </c>
      <c r="CC15" s="37">
        <v>535.79999999999995</v>
      </c>
      <c r="CD15" s="37">
        <v>556.20000000000005</v>
      </c>
      <c r="CE15" s="37">
        <v>567.5</v>
      </c>
      <c r="CF15" s="37">
        <v>578.1</v>
      </c>
      <c r="CG15" s="37">
        <v>596.79999999999995</v>
      </c>
      <c r="CH15" s="37">
        <v>622.5</v>
      </c>
      <c r="CI15" s="37">
        <v>643.5</v>
      </c>
      <c r="CJ15" s="37">
        <v>653.79999999999995</v>
      </c>
      <c r="CK15" s="37">
        <v>682.3</v>
      </c>
      <c r="CL15" s="37">
        <v>710.5</v>
      </c>
      <c r="CM15" s="37">
        <v>729.1</v>
      </c>
      <c r="CN15" s="37">
        <v>741.3</v>
      </c>
      <c r="CO15" s="37">
        <v>746</v>
      </c>
      <c r="CP15" s="37">
        <v>766.5</v>
      </c>
      <c r="CQ15" s="37">
        <v>771.7</v>
      </c>
      <c r="CR15" s="37">
        <v>786.3</v>
      </c>
      <c r="CS15" s="37">
        <v>791.3</v>
      </c>
      <c r="CT15" s="37">
        <v>805.3</v>
      </c>
      <c r="CU15" s="37">
        <v>810.1</v>
      </c>
      <c r="CV15" s="37">
        <v>813.6</v>
      </c>
      <c r="CW15" s="37">
        <v>833.8</v>
      </c>
      <c r="CX15" s="37">
        <v>857.9</v>
      </c>
      <c r="CY15" s="37">
        <v>865.6</v>
      </c>
      <c r="CZ15" s="37">
        <v>870.7</v>
      </c>
      <c r="DA15" s="37">
        <v>864.6</v>
      </c>
      <c r="DB15" s="37">
        <v>893.2</v>
      </c>
      <c r="DC15" s="37">
        <v>912.9</v>
      </c>
      <c r="DD15" s="37">
        <v>908.5</v>
      </c>
      <c r="DE15" s="37">
        <v>910.7</v>
      </c>
      <c r="DF15" s="37">
        <v>930.5</v>
      </c>
      <c r="DG15" s="37">
        <v>931.3</v>
      </c>
      <c r="DH15" s="37">
        <v>937.2</v>
      </c>
      <c r="DI15" s="37">
        <v>942.7</v>
      </c>
      <c r="DJ15" s="37">
        <v>951.8</v>
      </c>
      <c r="DK15" s="37">
        <v>956</v>
      </c>
      <c r="DL15" s="37">
        <v>957.4</v>
      </c>
      <c r="DM15" s="37">
        <v>966.4</v>
      </c>
      <c r="DN15" s="37">
        <v>983.4</v>
      </c>
      <c r="DO15" s="37">
        <v>985</v>
      </c>
      <c r="DP15" s="37">
        <v>996.1</v>
      </c>
      <c r="DQ15" s="37">
        <v>1004.3</v>
      </c>
      <c r="DR15" s="37">
        <v>1016.9</v>
      </c>
      <c r="DS15" s="37">
        <v>1042.3</v>
      </c>
      <c r="DT15" s="37">
        <v>1054.7</v>
      </c>
      <c r="DU15" s="37">
        <v>1065.5999999999999</v>
      </c>
      <c r="DV15" s="37">
        <v>1107.8</v>
      </c>
      <c r="DW15" s="37">
        <v>1139.0999999999999</v>
      </c>
      <c r="DX15" s="37">
        <v>1145.2</v>
      </c>
      <c r="DY15" s="37">
        <v>1191.2</v>
      </c>
      <c r="DZ15" s="37">
        <v>1221</v>
      </c>
      <c r="EA15" s="37">
        <v>1247.0999999999999</v>
      </c>
      <c r="EB15" s="37">
        <v>1259.9000000000001</v>
      </c>
      <c r="EC15" s="37">
        <v>1276.2</v>
      </c>
      <c r="ED15" s="37">
        <v>1294.5999999999999</v>
      </c>
      <c r="EE15" s="37">
        <v>1312.6</v>
      </c>
      <c r="EF15" s="37">
        <v>1335.5</v>
      </c>
      <c r="EG15" s="37">
        <v>1341.2</v>
      </c>
      <c r="EH15" s="37">
        <v>1379.6</v>
      </c>
      <c r="EI15" s="37">
        <v>1400.6</v>
      </c>
      <c r="EJ15" s="37">
        <v>1409.8</v>
      </c>
      <c r="EK15" s="37">
        <v>1427.9</v>
      </c>
      <c r="EL15" s="37">
        <v>1464.4</v>
      </c>
      <c r="EM15" s="37">
        <v>1486</v>
      </c>
      <c r="EN15" s="37">
        <v>1501</v>
      </c>
      <c r="EO15" s="37">
        <v>1512.3</v>
      </c>
      <c r="EP15" s="37">
        <v>1566.7</v>
      </c>
      <c r="EQ15" s="37">
        <v>1583.2</v>
      </c>
      <c r="ER15" s="37">
        <v>1608.5</v>
      </c>
      <c r="ES15" s="37">
        <v>1613.8</v>
      </c>
      <c r="ET15" s="37">
        <v>1680.2</v>
      </c>
      <c r="EU15" s="37">
        <v>1680.4</v>
      </c>
      <c r="EV15" s="37">
        <v>1700.2</v>
      </c>
      <c r="EW15" s="37">
        <v>1728.6</v>
      </c>
      <c r="EX15" s="37">
        <v>1768.2</v>
      </c>
      <c r="EY15" s="37">
        <v>2113</v>
      </c>
      <c r="EZ15" s="37">
        <v>1905.3</v>
      </c>
      <c r="FA15" s="37">
        <v>1890.8</v>
      </c>
      <c r="FB15" s="37">
        <v>2001.9</v>
      </c>
      <c r="FC15" s="37">
        <v>2140</v>
      </c>
      <c r="FD15" s="37">
        <v>2136.9</v>
      </c>
      <c r="FE15" s="37">
        <v>2152.1</v>
      </c>
      <c r="FF15" s="37">
        <v>2262.1999999999998</v>
      </c>
      <c r="FG15" s="37">
        <v>2268.6999999999998</v>
      </c>
      <c r="FH15" s="37">
        <v>2292</v>
      </c>
      <c r="FI15" s="37">
        <v>2302.6999999999998</v>
      </c>
      <c r="FJ15" s="37">
        <v>2313</v>
      </c>
      <c r="FK15" s="37">
        <v>2312.1</v>
      </c>
      <c r="FL15" s="37">
        <v>2303.1999999999998</v>
      </c>
      <c r="FM15" s="37">
        <v>2312.1999999999998</v>
      </c>
      <c r="FN15" s="37">
        <v>2296.8000000000002</v>
      </c>
      <c r="FO15" s="37">
        <v>2321.8000000000002</v>
      </c>
      <c r="FP15" s="37">
        <v>2325.6</v>
      </c>
      <c r="FQ15" s="37">
        <v>2346.1</v>
      </c>
      <c r="FR15" s="37">
        <v>2365.6999999999998</v>
      </c>
      <c r="FS15" s="37">
        <v>2378.3000000000002</v>
      </c>
      <c r="FT15" s="37">
        <v>2396</v>
      </c>
      <c r="FU15" s="37">
        <v>2403.6999999999998</v>
      </c>
      <c r="FV15" s="37">
        <v>2433.1999999999998</v>
      </c>
      <c r="FW15" s="37">
        <v>2484.5</v>
      </c>
      <c r="FX15" s="37">
        <v>2524.6</v>
      </c>
      <c r="FY15" s="37">
        <v>2552.1</v>
      </c>
      <c r="FZ15" s="37">
        <v>2597.6999999999998</v>
      </c>
      <c r="GA15" s="37">
        <v>2633.9</v>
      </c>
      <c r="GB15" s="37">
        <v>2647.8</v>
      </c>
      <c r="GC15" s="37">
        <v>2661.2</v>
      </c>
      <c r="GD15" s="37">
        <v>2686.2</v>
      </c>
      <c r="GE15" s="37">
        <v>2706.5</v>
      </c>
      <c r="GF15" s="37">
        <v>2726.3</v>
      </c>
      <c r="GG15" s="37">
        <v>2750.1</v>
      </c>
      <c r="GH15" s="37">
        <v>2779.1</v>
      </c>
      <c r="GI15" s="37">
        <v>2789.7</v>
      </c>
      <c r="GJ15" s="37">
        <v>2823.4</v>
      </c>
      <c r="GK15" s="37">
        <v>2837.6</v>
      </c>
      <c r="GL15" s="37">
        <v>2891.7</v>
      </c>
      <c r="GM15" s="37">
        <v>2916.6</v>
      </c>
      <c r="GN15" s="37">
        <v>2939.2</v>
      </c>
      <c r="GO15" s="37">
        <v>2958.7</v>
      </c>
      <c r="GP15" s="37">
        <v>3048.6</v>
      </c>
      <c r="GQ15" s="37">
        <v>3082.7</v>
      </c>
      <c r="GR15" s="37">
        <v>3107.3</v>
      </c>
      <c r="GS15" s="37">
        <v>3120.1</v>
      </c>
      <c r="GT15" s="37">
        <v>3169.8</v>
      </c>
      <c r="GU15" s="37">
        <v>5512</v>
      </c>
      <c r="GV15" s="37">
        <v>4344.3</v>
      </c>
      <c r="GW15" s="37">
        <v>3722.2</v>
      </c>
      <c r="GX15" s="37">
        <v>5962.9</v>
      </c>
      <c r="GY15" s="37">
        <v>4305.7</v>
      </c>
      <c r="GZ15" s="37">
        <v>4064.4</v>
      </c>
      <c r="HA15" s="37">
        <v>3852.5</v>
      </c>
      <c r="HB15" s="37">
        <v>3797.7</v>
      </c>
      <c r="HC15">
        <v>3809.1</v>
      </c>
      <c r="HD15">
        <v>3828.2</v>
      </c>
    </row>
    <row r="16" spans="1:212" x14ac:dyDescent="0.3">
      <c r="A16" s="37" t="s">
        <v>1774</v>
      </c>
      <c r="B16" s="37">
        <v>1.2</v>
      </c>
      <c r="C16" s="37">
        <v>1.3</v>
      </c>
      <c r="D16" s="37">
        <v>1.3</v>
      </c>
      <c r="E16" s="37">
        <v>1.3</v>
      </c>
      <c r="F16" s="37">
        <v>1.4</v>
      </c>
      <c r="G16" s="37">
        <v>1.4</v>
      </c>
      <c r="H16" s="37">
        <v>1.5</v>
      </c>
      <c r="I16" s="37">
        <v>1.5</v>
      </c>
      <c r="J16" s="37">
        <v>1.7</v>
      </c>
      <c r="K16" s="37">
        <v>1.8</v>
      </c>
      <c r="L16" s="37">
        <v>1.8</v>
      </c>
      <c r="M16" s="37">
        <v>1.9</v>
      </c>
      <c r="N16" s="37">
        <v>1.8</v>
      </c>
      <c r="O16" s="37">
        <v>1.8</v>
      </c>
      <c r="P16" s="37">
        <v>1.8</v>
      </c>
      <c r="Q16" s="37">
        <v>1.9</v>
      </c>
      <c r="R16" s="37">
        <v>1.9</v>
      </c>
      <c r="S16" s="37">
        <v>2</v>
      </c>
      <c r="T16" s="37">
        <v>2.1</v>
      </c>
      <c r="U16" s="37">
        <v>2.2000000000000002</v>
      </c>
      <c r="V16" s="37">
        <v>2.2999999999999998</v>
      </c>
      <c r="W16" s="37">
        <v>2.4</v>
      </c>
      <c r="X16" s="37">
        <v>2.6</v>
      </c>
      <c r="Y16" s="37">
        <v>2.7</v>
      </c>
      <c r="Z16" s="37">
        <v>2.8</v>
      </c>
      <c r="AA16" s="37">
        <v>3</v>
      </c>
      <c r="AB16" s="37">
        <v>3.1</v>
      </c>
      <c r="AC16" s="37">
        <v>3.2</v>
      </c>
      <c r="AD16" s="37">
        <v>3.3</v>
      </c>
      <c r="AE16" s="37">
        <v>3.4</v>
      </c>
      <c r="AF16" s="37">
        <v>3.5</v>
      </c>
      <c r="AG16" s="37">
        <v>3.6</v>
      </c>
      <c r="AH16" s="37">
        <v>3.7</v>
      </c>
      <c r="AI16" s="37">
        <v>3.8</v>
      </c>
      <c r="AJ16" s="37">
        <v>3.9</v>
      </c>
      <c r="AK16" s="37">
        <v>4</v>
      </c>
      <c r="AL16" s="37">
        <v>4.0999999999999996</v>
      </c>
      <c r="AM16" s="37">
        <v>4.3</v>
      </c>
      <c r="AN16" s="37">
        <v>4.4000000000000004</v>
      </c>
      <c r="AO16" s="37">
        <v>4.5</v>
      </c>
      <c r="AP16" s="37">
        <v>4.5999999999999996</v>
      </c>
      <c r="AQ16" s="37">
        <v>4.8</v>
      </c>
      <c r="AR16" s="37">
        <v>5</v>
      </c>
      <c r="AS16" s="37">
        <v>5.3</v>
      </c>
      <c r="AT16" s="37">
        <v>5.6</v>
      </c>
      <c r="AU16" s="37">
        <v>5.9</v>
      </c>
      <c r="AV16" s="37">
        <v>6.1</v>
      </c>
      <c r="AW16" s="37">
        <v>6.3</v>
      </c>
      <c r="AX16" s="37">
        <v>6.7</v>
      </c>
      <c r="AY16" s="37">
        <v>6.9</v>
      </c>
      <c r="AZ16" s="37">
        <v>7.2</v>
      </c>
      <c r="BA16" s="37">
        <v>7.5</v>
      </c>
      <c r="BB16" s="37">
        <v>7.7</v>
      </c>
      <c r="BC16" s="37">
        <v>8</v>
      </c>
      <c r="BD16" s="37">
        <v>8.3000000000000007</v>
      </c>
      <c r="BE16" s="37">
        <v>8.5</v>
      </c>
      <c r="BF16" s="37">
        <v>8.8000000000000007</v>
      </c>
      <c r="BG16" s="37">
        <v>9.1</v>
      </c>
      <c r="BH16" s="37">
        <v>9.3000000000000007</v>
      </c>
      <c r="BI16" s="37">
        <v>9.5</v>
      </c>
      <c r="BJ16" s="37">
        <v>9.9</v>
      </c>
      <c r="BK16" s="37">
        <v>10.199999999999999</v>
      </c>
      <c r="BL16" s="37">
        <v>10.6</v>
      </c>
      <c r="BM16" s="37">
        <v>11</v>
      </c>
      <c r="BN16" s="37">
        <v>11.3</v>
      </c>
      <c r="BO16" s="37">
        <v>11.7</v>
      </c>
      <c r="BP16" s="37">
        <v>12.1</v>
      </c>
      <c r="BQ16" s="37">
        <v>12.7</v>
      </c>
      <c r="BR16" s="37">
        <v>12.7</v>
      </c>
      <c r="BS16" s="37">
        <v>12.9</v>
      </c>
      <c r="BT16" s="37">
        <v>13.5</v>
      </c>
      <c r="BU16" s="37">
        <v>13.7</v>
      </c>
      <c r="BV16" s="37">
        <v>14.2</v>
      </c>
      <c r="BW16" s="37">
        <v>14.8</v>
      </c>
      <c r="BX16" s="37">
        <v>15.1</v>
      </c>
      <c r="BY16" s="37">
        <v>15.4</v>
      </c>
      <c r="BZ16" s="37">
        <v>15.9</v>
      </c>
      <c r="CA16" s="37">
        <v>16.3</v>
      </c>
      <c r="CB16" s="37">
        <v>16.7</v>
      </c>
      <c r="CC16" s="37">
        <v>17.100000000000001</v>
      </c>
      <c r="CD16" s="37">
        <v>17.3</v>
      </c>
      <c r="CE16" s="37">
        <v>17.899999999999999</v>
      </c>
      <c r="CF16" s="37">
        <v>18.7</v>
      </c>
      <c r="CG16" s="37">
        <v>19.600000000000001</v>
      </c>
      <c r="CH16" s="37">
        <v>20.9</v>
      </c>
      <c r="CI16" s="37">
        <v>22.1</v>
      </c>
      <c r="CJ16" s="37">
        <v>23.1</v>
      </c>
      <c r="CK16" s="37">
        <v>24.2</v>
      </c>
      <c r="CL16" s="37">
        <v>25</v>
      </c>
      <c r="CM16" s="37">
        <v>25.8</v>
      </c>
      <c r="CN16" s="37">
        <v>26.4</v>
      </c>
      <c r="CO16" s="37">
        <v>26.8</v>
      </c>
      <c r="CP16" s="37">
        <v>28</v>
      </c>
      <c r="CQ16" s="37">
        <v>28.3</v>
      </c>
      <c r="CR16" s="37">
        <v>28.7</v>
      </c>
      <c r="CS16" s="37">
        <v>29.2</v>
      </c>
      <c r="CT16" s="37">
        <v>30.1</v>
      </c>
      <c r="CU16" s="37">
        <v>30.7</v>
      </c>
      <c r="CV16" s="37">
        <v>31.2</v>
      </c>
      <c r="CW16" s="37">
        <v>31.6</v>
      </c>
      <c r="CX16" s="37">
        <v>31.9</v>
      </c>
      <c r="CY16" s="37">
        <v>32.299999999999997</v>
      </c>
      <c r="CZ16" s="37">
        <v>32.9</v>
      </c>
      <c r="DA16" s="37">
        <v>33.5</v>
      </c>
      <c r="DB16" s="37">
        <v>34</v>
      </c>
      <c r="DC16" s="37">
        <v>34.6</v>
      </c>
      <c r="DD16" s="37">
        <v>35.200000000000003</v>
      </c>
      <c r="DE16" s="37">
        <v>35.799999999999997</v>
      </c>
      <c r="DF16" s="37">
        <v>37.200000000000003</v>
      </c>
      <c r="DG16" s="37">
        <v>38</v>
      </c>
      <c r="DH16" s="37">
        <v>38.6</v>
      </c>
      <c r="DI16" s="37">
        <v>39</v>
      </c>
      <c r="DJ16" s="37">
        <v>39.1</v>
      </c>
      <c r="DK16" s="37">
        <v>39.299999999999997</v>
      </c>
      <c r="DL16" s="37">
        <v>40</v>
      </c>
      <c r="DM16" s="37">
        <v>41.1</v>
      </c>
      <c r="DN16" s="37">
        <v>42.3</v>
      </c>
      <c r="DO16" s="37">
        <v>43.5</v>
      </c>
      <c r="DP16" s="37">
        <v>44.7</v>
      </c>
      <c r="DQ16" s="37">
        <v>45.8</v>
      </c>
      <c r="DR16" s="37">
        <v>46.9</v>
      </c>
      <c r="DS16" s="37">
        <v>48.1</v>
      </c>
      <c r="DT16" s="37">
        <v>49.3</v>
      </c>
      <c r="DU16" s="37">
        <v>50.6</v>
      </c>
      <c r="DV16" s="37">
        <v>51.5</v>
      </c>
      <c r="DW16" s="37">
        <v>52.5</v>
      </c>
      <c r="DX16" s="37">
        <v>53.4</v>
      </c>
      <c r="DY16" s="37">
        <v>54.3</v>
      </c>
      <c r="DZ16" s="37">
        <v>55.2</v>
      </c>
      <c r="EA16" s="37">
        <v>56</v>
      </c>
      <c r="EB16" s="37">
        <v>56.8</v>
      </c>
      <c r="EC16" s="37">
        <v>57.6</v>
      </c>
      <c r="ED16" s="37">
        <v>58.5</v>
      </c>
      <c r="EE16" s="37">
        <v>59.7</v>
      </c>
      <c r="EF16" s="37">
        <v>61.1</v>
      </c>
      <c r="EG16" s="37">
        <v>62.7</v>
      </c>
      <c r="EH16" s="37">
        <v>64.8</v>
      </c>
      <c r="EI16" s="37">
        <v>66.400000000000006</v>
      </c>
      <c r="EJ16" s="37">
        <v>67.7</v>
      </c>
      <c r="EK16" s="37">
        <v>68.7</v>
      </c>
      <c r="EL16" s="37">
        <v>70.3</v>
      </c>
      <c r="EM16" s="37">
        <v>71.2</v>
      </c>
      <c r="EN16" s="37">
        <v>72.099999999999994</v>
      </c>
      <c r="EO16" s="37">
        <v>73</v>
      </c>
      <c r="EP16" s="37">
        <v>74.400000000000006</v>
      </c>
      <c r="EQ16" s="37">
        <v>74.900000000000006</v>
      </c>
      <c r="ER16" s="37">
        <v>75.5</v>
      </c>
      <c r="ES16" s="37">
        <v>76.3</v>
      </c>
      <c r="ET16" s="37">
        <v>78</v>
      </c>
      <c r="EU16" s="37">
        <v>78.8</v>
      </c>
      <c r="EV16" s="37">
        <v>79.599999999999994</v>
      </c>
      <c r="EW16" s="37">
        <v>80.3</v>
      </c>
      <c r="EX16" s="37">
        <v>80.5</v>
      </c>
      <c r="EY16" s="37">
        <v>81</v>
      </c>
      <c r="EZ16" s="37">
        <v>81.2</v>
      </c>
      <c r="FA16" s="37">
        <v>81.2</v>
      </c>
      <c r="FB16" s="37">
        <v>80.599999999999994</v>
      </c>
      <c r="FC16" s="37">
        <v>80.3</v>
      </c>
      <c r="FD16" s="37">
        <v>79.900000000000006</v>
      </c>
      <c r="FE16" s="37">
        <v>79.5</v>
      </c>
      <c r="FF16" s="37">
        <v>79.5</v>
      </c>
      <c r="FG16" s="37">
        <v>79.3</v>
      </c>
      <c r="FH16" s="37">
        <v>79.3</v>
      </c>
      <c r="FI16" s="37">
        <v>79.5</v>
      </c>
      <c r="FJ16" s="37">
        <v>80.400000000000006</v>
      </c>
      <c r="FK16" s="37">
        <v>81.5</v>
      </c>
      <c r="FL16" s="37">
        <v>82.7</v>
      </c>
      <c r="FM16" s="37">
        <v>84.1</v>
      </c>
      <c r="FN16" s="37">
        <v>85.2</v>
      </c>
      <c r="FO16" s="37">
        <v>86.3</v>
      </c>
      <c r="FP16" s="37">
        <v>86.9</v>
      </c>
      <c r="FQ16" s="37">
        <v>86.8</v>
      </c>
      <c r="FR16" s="37">
        <v>86.6</v>
      </c>
      <c r="FS16" s="37">
        <v>86.8</v>
      </c>
      <c r="FT16" s="37">
        <v>87.5</v>
      </c>
      <c r="FU16" s="37">
        <v>88.9</v>
      </c>
      <c r="FV16" s="37">
        <v>90.9</v>
      </c>
      <c r="FW16" s="37">
        <v>92.6</v>
      </c>
      <c r="FX16" s="37">
        <v>94.2</v>
      </c>
      <c r="FY16" s="37">
        <v>95.7</v>
      </c>
      <c r="FZ16" s="37">
        <v>99.4</v>
      </c>
      <c r="GA16" s="37">
        <v>100.7</v>
      </c>
      <c r="GB16" s="37">
        <v>101.6</v>
      </c>
      <c r="GC16" s="37">
        <v>101.9</v>
      </c>
      <c r="GD16" s="37">
        <v>103</v>
      </c>
      <c r="GE16" s="37">
        <v>103.1</v>
      </c>
      <c r="GF16" s="37">
        <v>103.4</v>
      </c>
      <c r="GG16" s="37">
        <v>104</v>
      </c>
      <c r="GH16" s="37">
        <v>105.4</v>
      </c>
      <c r="GI16" s="37">
        <v>106.1</v>
      </c>
      <c r="GJ16" s="37">
        <v>107.1</v>
      </c>
      <c r="GK16" s="37">
        <v>108.5</v>
      </c>
      <c r="GL16" s="37">
        <v>110.7</v>
      </c>
      <c r="GM16" s="37">
        <v>112.3</v>
      </c>
      <c r="GN16" s="37">
        <v>113.9</v>
      </c>
      <c r="GO16" s="37">
        <v>115.5</v>
      </c>
      <c r="GP16" s="37">
        <v>116.8</v>
      </c>
      <c r="GQ16" s="37">
        <v>117.4</v>
      </c>
      <c r="GR16" s="37">
        <v>117</v>
      </c>
      <c r="GS16" s="37">
        <v>115.5</v>
      </c>
      <c r="GT16" s="37">
        <v>110</v>
      </c>
      <c r="GU16" s="37">
        <v>108</v>
      </c>
      <c r="GV16" s="37">
        <v>107</v>
      </c>
      <c r="GW16" s="37">
        <v>107.3</v>
      </c>
      <c r="GX16" s="37">
        <v>108.3</v>
      </c>
      <c r="GY16" s="37">
        <v>109.6</v>
      </c>
      <c r="GZ16" s="37">
        <v>111</v>
      </c>
      <c r="HA16" s="37">
        <v>112.4</v>
      </c>
      <c r="HB16" s="37">
        <v>114.1</v>
      </c>
      <c r="HC16">
        <v>115.4</v>
      </c>
      <c r="HD16">
        <v>116.4</v>
      </c>
    </row>
    <row r="17" spans="1:212" x14ac:dyDescent="0.3">
      <c r="A17" s="37" t="s">
        <v>1775</v>
      </c>
      <c r="B17" s="37">
        <v>104.6</v>
      </c>
      <c r="C17" s="37">
        <v>105.5</v>
      </c>
      <c r="D17" s="37">
        <v>100.7</v>
      </c>
      <c r="E17" s="37">
        <v>101.5</v>
      </c>
      <c r="F17" s="37">
        <v>98.3</v>
      </c>
      <c r="G17" s="37">
        <v>100.7</v>
      </c>
      <c r="H17" s="37">
        <v>102.3</v>
      </c>
      <c r="I17" s="37">
        <v>105.5</v>
      </c>
      <c r="J17" s="37">
        <v>119.8</v>
      </c>
      <c r="K17" s="37">
        <v>123.4</v>
      </c>
      <c r="L17" s="37">
        <v>124.3</v>
      </c>
      <c r="M17" s="37">
        <v>127.1</v>
      </c>
      <c r="N17" s="37">
        <v>126.4</v>
      </c>
      <c r="O17" s="37">
        <v>129.19999999999999</v>
      </c>
      <c r="P17" s="37">
        <v>134.1</v>
      </c>
      <c r="Q17" s="37">
        <v>140</v>
      </c>
      <c r="R17" s="37">
        <v>142.80000000000001</v>
      </c>
      <c r="S17" s="37">
        <v>148.9</v>
      </c>
      <c r="T17" s="37">
        <v>154.9</v>
      </c>
      <c r="U17" s="37">
        <v>157.6</v>
      </c>
      <c r="V17" s="37">
        <v>158</v>
      </c>
      <c r="W17" s="37">
        <v>121.1</v>
      </c>
      <c r="X17" s="37">
        <v>152.80000000000001</v>
      </c>
      <c r="Y17" s="37">
        <v>158.5</v>
      </c>
      <c r="Z17" s="37">
        <v>162.5</v>
      </c>
      <c r="AA17" s="37">
        <v>169.3</v>
      </c>
      <c r="AB17" s="37">
        <v>176.1</v>
      </c>
      <c r="AC17" s="37">
        <v>182.7</v>
      </c>
      <c r="AD17" s="37">
        <v>188.8</v>
      </c>
      <c r="AE17" s="37">
        <v>195.7</v>
      </c>
      <c r="AF17" s="37">
        <v>198.6</v>
      </c>
      <c r="AG17" s="37">
        <v>208.5</v>
      </c>
      <c r="AH17" s="37">
        <v>212</v>
      </c>
      <c r="AI17" s="37">
        <v>223.1</v>
      </c>
      <c r="AJ17" s="37">
        <v>236.3</v>
      </c>
      <c r="AK17" s="37">
        <v>247.2</v>
      </c>
      <c r="AL17" s="37">
        <v>253.6</v>
      </c>
      <c r="AM17" s="37">
        <v>262</v>
      </c>
      <c r="AN17" s="37">
        <v>274.8</v>
      </c>
      <c r="AO17" s="37">
        <v>285.2</v>
      </c>
      <c r="AP17" s="37">
        <v>284.8</v>
      </c>
      <c r="AQ17" s="37">
        <v>292.2</v>
      </c>
      <c r="AR17" s="37">
        <v>302.2</v>
      </c>
      <c r="AS17" s="37">
        <v>318.89999999999998</v>
      </c>
      <c r="AT17" s="37">
        <v>330.9</v>
      </c>
      <c r="AU17" s="37">
        <v>342.7</v>
      </c>
      <c r="AV17" s="37">
        <v>356.9</v>
      </c>
      <c r="AW17" s="37">
        <v>352.7</v>
      </c>
      <c r="AX17" s="37">
        <v>352.5</v>
      </c>
      <c r="AY17" s="37">
        <v>359.7</v>
      </c>
      <c r="AZ17" s="37">
        <v>350.1</v>
      </c>
      <c r="BA17" s="37">
        <v>356.6</v>
      </c>
      <c r="BB17" s="37">
        <v>350.9</v>
      </c>
      <c r="BC17" s="37">
        <v>359.6</v>
      </c>
      <c r="BD17" s="37">
        <v>345.4</v>
      </c>
      <c r="BE17" s="37">
        <v>355.7</v>
      </c>
      <c r="BF17" s="37">
        <v>361.2</v>
      </c>
      <c r="BG17" s="37">
        <v>370.4</v>
      </c>
      <c r="BH17" s="37">
        <v>384.1</v>
      </c>
      <c r="BI17" s="37">
        <v>395.9</v>
      </c>
      <c r="BJ17" s="37">
        <v>432.3</v>
      </c>
      <c r="BK17" s="37">
        <v>388.5</v>
      </c>
      <c r="BL17" s="37">
        <v>421.5</v>
      </c>
      <c r="BM17" s="37">
        <v>428.9</v>
      </c>
      <c r="BN17" s="37">
        <v>426.3</v>
      </c>
      <c r="BO17" s="37">
        <v>429.4</v>
      </c>
      <c r="BP17" s="37">
        <v>439.5</v>
      </c>
      <c r="BQ17" s="37">
        <v>456</v>
      </c>
      <c r="BR17" s="37">
        <v>450.7</v>
      </c>
      <c r="BS17" s="37">
        <v>511.7</v>
      </c>
      <c r="BT17" s="37">
        <v>489</v>
      </c>
      <c r="BU17" s="37">
        <v>507</v>
      </c>
      <c r="BV17" s="37">
        <v>502.1</v>
      </c>
      <c r="BW17" s="37">
        <v>497.8</v>
      </c>
      <c r="BX17" s="37">
        <v>506.7</v>
      </c>
      <c r="BY17" s="37">
        <v>517.20000000000005</v>
      </c>
      <c r="BZ17" s="37">
        <v>552.9</v>
      </c>
      <c r="CA17" s="37">
        <v>566.70000000000005</v>
      </c>
      <c r="CB17" s="37">
        <v>571.6</v>
      </c>
      <c r="CC17" s="37">
        <v>579.79999999999995</v>
      </c>
      <c r="CD17" s="37">
        <v>582.5</v>
      </c>
      <c r="CE17" s="37">
        <v>594.6</v>
      </c>
      <c r="CF17" s="37">
        <v>600.70000000000005</v>
      </c>
      <c r="CG17" s="37">
        <v>600.79999999999995</v>
      </c>
      <c r="CH17" s="37">
        <v>580.79999999999995</v>
      </c>
      <c r="CI17" s="37">
        <v>585.9</v>
      </c>
      <c r="CJ17" s="37">
        <v>590.20000000000005</v>
      </c>
      <c r="CK17" s="37">
        <v>598.70000000000005</v>
      </c>
      <c r="CL17" s="37">
        <v>588.9</v>
      </c>
      <c r="CM17" s="37">
        <v>607.20000000000005</v>
      </c>
      <c r="CN17" s="37">
        <v>616.20000000000005</v>
      </c>
      <c r="CO17" s="37">
        <v>638.9</v>
      </c>
      <c r="CP17" s="37">
        <v>617</v>
      </c>
      <c r="CQ17" s="37">
        <v>643.5</v>
      </c>
      <c r="CR17" s="37">
        <v>659.2</v>
      </c>
      <c r="CS17" s="37">
        <v>675.3</v>
      </c>
      <c r="CT17" s="37">
        <v>673.7</v>
      </c>
      <c r="CU17" s="37">
        <v>697.8</v>
      </c>
      <c r="CV17" s="37">
        <v>695.4</v>
      </c>
      <c r="CW17" s="37">
        <v>705.4</v>
      </c>
      <c r="CX17" s="37">
        <v>724.6</v>
      </c>
      <c r="CY17" s="37">
        <v>746.8</v>
      </c>
      <c r="CZ17" s="37">
        <v>752.2</v>
      </c>
      <c r="DA17" s="37">
        <v>770</v>
      </c>
      <c r="DB17" s="37">
        <v>801.7</v>
      </c>
      <c r="DC17" s="37">
        <v>839.6</v>
      </c>
      <c r="DD17" s="37">
        <v>843.5</v>
      </c>
      <c r="DE17" s="37">
        <v>863.5</v>
      </c>
      <c r="DF17" s="37">
        <v>902.1</v>
      </c>
      <c r="DG17" s="37">
        <v>916.2</v>
      </c>
      <c r="DH17" s="37">
        <v>941.1</v>
      </c>
      <c r="DI17" s="37">
        <v>967.8</v>
      </c>
      <c r="DJ17" s="37">
        <v>996.1</v>
      </c>
      <c r="DK17" s="37">
        <v>1022.4</v>
      </c>
      <c r="DL17" s="37">
        <v>1043.2</v>
      </c>
      <c r="DM17" s="37">
        <v>1068</v>
      </c>
      <c r="DN17" s="37">
        <v>1077.9000000000001</v>
      </c>
      <c r="DO17" s="37">
        <v>1095.2</v>
      </c>
      <c r="DP17" s="37">
        <v>1120.5999999999999</v>
      </c>
      <c r="DQ17" s="37">
        <v>1154</v>
      </c>
      <c r="DR17" s="37">
        <v>1208.8</v>
      </c>
      <c r="DS17" s="37">
        <v>1230.2</v>
      </c>
      <c r="DT17" s="37">
        <v>1247.7</v>
      </c>
      <c r="DU17" s="37">
        <v>1258.7</v>
      </c>
      <c r="DV17" s="37">
        <v>1301.9000000000001</v>
      </c>
      <c r="DW17" s="37">
        <v>1308.9000000000001</v>
      </c>
      <c r="DX17" s="37">
        <v>1113.5999999999999</v>
      </c>
      <c r="DY17" s="37">
        <v>1231.8</v>
      </c>
      <c r="DZ17" s="37">
        <v>1075.2</v>
      </c>
      <c r="EA17" s="37">
        <v>1051</v>
      </c>
      <c r="EB17" s="37">
        <v>1044.0999999999999</v>
      </c>
      <c r="EC17" s="37">
        <v>1038.4000000000001</v>
      </c>
      <c r="ED17" s="37">
        <v>1021.3</v>
      </c>
      <c r="EE17" s="37">
        <v>1020.8</v>
      </c>
      <c r="EF17" s="37">
        <v>950.7</v>
      </c>
      <c r="EG17" s="37">
        <v>1021.3</v>
      </c>
      <c r="EH17" s="37">
        <v>1012.3</v>
      </c>
      <c r="EI17" s="37">
        <v>1026.8</v>
      </c>
      <c r="EJ17" s="37">
        <v>1064.4000000000001</v>
      </c>
      <c r="EK17" s="37">
        <v>1091.5999999999999</v>
      </c>
      <c r="EL17" s="37">
        <v>1172.3</v>
      </c>
      <c r="EM17" s="37">
        <v>1196.3</v>
      </c>
      <c r="EN17" s="37">
        <v>1225.5</v>
      </c>
      <c r="EO17" s="37">
        <v>1255.8</v>
      </c>
      <c r="EP17" s="37">
        <v>1320.5</v>
      </c>
      <c r="EQ17" s="37">
        <v>1351.3</v>
      </c>
      <c r="ER17" s="37">
        <v>1358.6</v>
      </c>
      <c r="ES17" s="37">
        <v>1397.5</v>
      </c>
      <c r="ET17" s="37">
        <v>1466.5</v>
      </c>
      <c r="EU17" s="37">
        <v>1495.9</v>
      </c>
      <c r="EV17" s="37">
        <v>1498.9</v>
      </c>
      <c r="EW17" s="37">
        <v>1508.6</v>
      </c>
      <c r="EX17" s="37">
        <v>1535.1</v>
      </c>
      <c r="EY17" s="37">
        <v>1552.5</v>
      </c>
      <c r="EZ17" s="37">
        <v>1497.5</v>
      </c>
      <c r="FA17" s="37">
        <v>1444.9</v>
      </c>
      <c r="FB17" s="37">
        <v>1202.4000000000001</v>
      </c>
      <c r="FC17" s="37">
        <v>1131.0999999999999</v>
      </c>
      <c r="FD17" s="37">
        <v>1135.3</v>
      </c>
      <c r="FE17" s="37">
        <v>1140.7</v>
      </c>
      <c r="FF17" s="37">
        <v>1191.8</v>
      </c>
      <c r="FG17" s="37">
        <v>1213.2</v>
      </c>
      <c r="FH17" s="37">
        <v>1256.3</v>
      </c>
      <c r="FI17" s="37">
        <v>1289.0999999999999</v>
      </c>
      <c r="FJ17" s="37">
        <v>1426.6</v>
      </c>
      <c r="FK17" s="37">
        <v>1445.9</v>
      </c>
      <c r="FL17" s="37">
        <v>1471.4</v>
      </c>
      <c r="FM17" s="37">
        <v>1470.9</v>
      </c>
      <c r="FN17" s="37">
        <v>1468.3</v>
      </c>
      <c r="FO17" s="37">
        <v>1487.7</v>
      </c>
      <c r="FP17" s="37">
        <v>1510</v>
      </c>
      <c r="FQ17" s="37">
        <v>1572</v>
      </c>
      <c r="FR17" s="37">
        <v>1650</v>
      </c>
      <c r="FS17" s="37">
        <v>1682.5</v>
      </c>
      <c r="FT17" s="37">
        <v>1674.9</v>
      </c>
      <c r="FU17" s="37">
        <v>1698.1</v>
      </c>
      <c r="FV17" s="37">
        <v>1744.8</v>
      </c>
      <c r="FW17" s="37">
        <v>1758.4</v>
      </c>
      <c r="FX17" s="37">
        <v>1798.6</v>
      </c>
      <c r="FY17" s="37">
        <v>1836.5</v>
      </c>
      <c r="FZ17" s="37">
        <v>1904.6</v>
      </c>
      <c r="GA17" s="37">
        <v>1943</v>
      </c>
      <c r="GB17" s="37">
        <v>1947.3</v>
      </c>
      <c r="GC17" s="37">
        <v>1964.9</v>
      </c>
      <c r="GD17" s="37">
        <v>1924.6</v>
      </c>
      <c r="GE17" s="37">
        <v>1943.4</v>
      </c>
      <c r="GF17" s="37">
        <v>1972</v>
      </c>
      <c r="GG17" s="37">
        <v>1992.9</v>
      </c>
      <c r="GH17" s="37">
        <v>2004.1</v>
      </c>
      <c r="GI17" s="37">
        <v>2012</v>
      </c>
      <c r="GJ17" s="37">
        <v>2054.8000000000002</v>
      </c>
      <c r="GK17" s="37">
        <v>2123.6</v>
      </c>
      <c r="GL17" s="37">
        <v>2072.8000000000002</v>
      </c>
      <c r="GM17" s="37">
        <v>2057.6999999999998</v>
      </c>
      <c r="GN17" s="37">
        <v>2086</v>
      </c>
      <c r="GO17" s="37">
        <v>2083.1</v>
      </c>
      <c r="GP17" s="37">
        <v>2160.1999999999998</v>
      </c>
      <c r="GQ17" s="37">
        <v>2221.6</v>
      </c>
      <c r="GR17" s="37">
        <v>2195.8000000000002</v>
      </c>
      <c r="GS17" s="37">
        <v>2216</v>
      </c>
      <c r="GT17" s="37">
        <v>2249.1</v>
      </c>
      <c r="GU17" s="37">
        <v>2098.1999999999998</v>
      </c>
      <c r="GV17" s="37">
        <v>2237.5</v>
      </c>
      <c r="GW17" s="37">
        <v>2360.6999999999998</v>
      </c>
      <c r="GX17" s="37">
        <v>2509</v>
      </c>
      <c r="GY17" s="37">
        <v>2638.5</v>
      </c>
      <c r="GZ17" s="37">
        <v>2693.2</v>
      </c>
      <c r="HA17" s="37">
        <v>2806.1</v>
      </c>
      <c r="HB17" s="37">
        <v>3145.5</v>
      </c>
      <c r="HC17">
        <v>3188.5</v>
      </c>
      <c r="HD17">
        <v>3244</v>
      </c>
    </row>
    <row r="18" spans="1:212" x14ac:dyDescent="0.3">
      <c r="A18" s="37" t="s">
        <v>1776</v>
      </c>
      <c r="B18" s="37">
        <v>88.5</v>
      </c>
      <c r="C18" s="37">
        <v>90.5</v>
      </c>
      <c r="D18" s="37">
        <v>92.5</v>
      </c>
      <c r="E18" s="37">
        <v>94.1</v>
      </c>
      <c r="F18" s="37">
        <v>97.7</v>
      </c>
      <c r="G18" s="37">
        <v>98.9</v>
      </c>
      <c r="H18" s="37">
        <v>101.7</v>
      </c>
      <c r="I18" s="37">
        <v>103.7</v>
      </c>
      <c r="J18" s="37">
        <v>104.6</v>
      </c>
      <c r="K18" s="37">
        <v>106.8</v>
      </c>
      <c r="L18" s="37">
        <v>108.9</v>
      </c>
      <c r="M18" s="37">
        <v>111.5</v>
      </c>
      <c r="N18" s="37">
        <v>114.6</v>
      </c>
      <c r="O18" s="37">
        <v>116.2</v>
      </c>
      <c r="P18" s="37">
        <v>118.4</v>
      </c>
      <c r="Q18" s="37">
        <v>119.7</v>
      </c>
      <c r="R18" s="37">
        <v>120.8</v>
      </c>
      <c r="S18" s="37">
        <v>124.1</v>
      </c>
      <c r="T18" s="37">
        <v>127.1</v>
      </c>
      <c r="U18" s="37">
        <v>127.7</v>
      </c>
      <c r="V18" s="37">
        <v>128.80000000000001</v>
      </c>
      <c r="W18" s="37">
        <v>133</v>
      </c>
      <c r="X18" s="37">
        <v>138.19999999999999</v>
      </c>
      <c r="Y18" s="37">
        <v>141.1</v>
      </c>
      <c r="Z18" s="37">
        <v>141.69999999999999</v>
      </c>
      <c r="AA18" s="37">
        <v>144.9</v>
      </c>
      <c r="AB18" s="37">
        <v>147.69999999999999</v>
      </c>
      <c r="AC18" s="37">
        <v>151.30000000000001</v>
      </c>
      <c r="AD18" s="37">
        <v>154.80000000000001</v>
      </c>
      <c r="AE18" s="37">
        <v>158</v>
      </c>
      <c r="AF18" s="37">
        <v>161.5</v>
      </c>
      <c r="AG18" s="37">
        <v>164.3</v>
      </c>
      <c r="AH18" s="37">
        <v>166.9</v>
      </c>
      <c r="AI18" s="37">
        <v>173.1</v>
      </c>
      <c r="AJ18" s="37">
        <v>169.7</v>
      </c>
      <c r="AK18" s="37">
        <v>173.9</v>
      </c>
      <c r="AL18" s="37">
        <v>176.4</v>
      </c>
      <c r="AM18" s="37">
        <v>178.5</v>
      </c>
      <c r="AN18" s="37">
        <v>180.9</v>
      </c>
      <c r="AO18" s="37">
        <v>184.6</v>
      </c>
      <c r="AP18" s="37">
        <v>189.5</v>
      </c>
      <c r="AQ18" s="37">
        <v>196.9</v>
      </c>
      <c r="AR18" s="37">
        <v>204.3</v>
      </c>
      <c r="AS18" s="37">
        <v>210.6</v>
      </c>
      <c r="AT18" s="37">
        <v>230.8</v>
      </c>
      <c r="AU18" s="37">
        <v>235.5</v>
      </c>
      <c r="AV18" s="37">
        <v>237.5</v>
      </c>
      <c r="AW18" s="37">
        <v>238.8</v>
      </c>
      <c r="AX18" s="37">
        <v>237.4</v>
      </c>
      <c r="AY18" s="37">
        <v>238.3</v>
      </c>
      <c r="AZ18" s="37">
        <v>241.8</v>
      </c>
      <c r="BA18" s="37">
        <v>246.3</v>
      </c>
      <c r="BB18" s="37">
        <v>250.7</v>
      </c>
      <c r="BC18" s="37">
        <v>261.2</v>
      </c>
      <c r="BD18" s="37">
        <v>267.5</v>
      </c>
      <c r="BE18" s="37">
        <v>273.7</v>
      </c>
      <c r="BF18" s="37">
        <v>281.60000000000002</v>
      </c>
      <c r="BG18" s="37">
        <v>287.7</v>
      </c>
      <c r="BH18" s="37">
        <v>292.2</v>
      </c>
      <c r="BI18" s="37">
        <v>297.5</v>
      </c>
      <c r="BJ18" s="37">
        <v>301</v>
      </c>
      <c r="BK18" s="37">
        <v>305.7</v>
      </c>
      <c r="BL18" s="37">
        <v>311.89999999999998</v>
      </c>
      <c r="BM18" s="37">
        <v>313.89999999999998</v>
      </c>
      <c r="BN18" s="37">
        <v>317.5</v>
      </c>
      <c r="BO18" s="37">
        <v>319.5</v>
      </c>
      <c r="BP18" s="37">
        <v>326.2</v>
      </c>
      <c r="BQ18" s="37">
        <v>330.4</v>
      </c>
      <c r="BR18" s="37">
        <v>336</v>
      </c>
      <c r="BS18" s="37">
        <v>344.4</v>
      </c>
      <c r="BT18" s="37">
        <v>352.4</v>
      </c>
      <c r="BU18" s="37">
        <v>357.4</v>
      </c>
      <c r="BV18" s="37">
        <v>365.2</v>
      </c>
      <c r="BW18" s="37">
        <v>372.5</v>
      </c>
      <c r="BX18" s="37">
        <v>377.5</v>
      </c>
      <c r="BY18" s="37">
        <v>382.6</v>
      </c>
      <c r="BZ18" s="37">
        <v>391</v>
      </c>
      <c r="CA18" s="37">
        <v>397.5</v>
      </c>
      <c r="CB18" s="37">
        <v>403.9</v>
      </c>
      <c r="CC18" s="37">
        <v>403</v>
      </c>
      <c r="CD18" s="37">
        <v>419.5</v>
      </c>
      <c r="CE18" s="37">
        <v>419.5</v>
      </c>
      <c r="CF18" s="37">
        <v>426.8</v>
      </c>
      <c r="CG18" s="37">
        <v>434.2</v>
      </c>
      <c r="CH18" s="37">
        <v>444</v>
      </c>
      <c r="CI18" s="37">
        <v>451.6</v>
      </c>
      <c r="CJ18" s="37">
        <v>461.3</v>
      </c>
      <c r="CK18" s="37">
        <v>471.5</v>
      </c>
      <c r="CL18" s="37">
        <v>476.4</v>
      </c>
      <c r="CM18" s="37">
        <v>481.2</v>
      </c>
      <c r="CN18" s="37">
        <v>486</v>
      </c>
      <c r="CO18" s="37">
        <v>489.9</v>
      </c>
      <c r="CP18" s="37">
        <v>489.7</v>
      </c>
      <c r="CQ18" s="37">
        <v>497.6</v>
      </c>
      <c r="CR18" s="37">
        <v>504.9</v>
      </c>
      <c r="CS18" s="37">
        <v>520.29999999999995</v>
      </c>
      <c r="CT18" s="37">
        <v>531.5</v>
      </c>
      <c r="CU18" s="37">
        <v>544.4</v>
      </c>
      <c r="CV18" s="37">
        <v>550.5</v>
      </c>
      <c r="CW18" s="37">
        <v>554.6</v>
      </c>
      <c r="CX18" s="37">
        <v>555.29999999999995</v>
      </c>
      <c r="CY18" s="37">
        <v>553.6</v>
      </c>
      <c r="CZ18" s="37">
        <v>558.9</v>
      </c>
      <c r="DA18" s="37">
        <v>563.79999999999995</v>
      </c>
      <c r="DB18" s="37">
        <v>570.4</v>
      </c>
      <c r="DC18" s="37">
        <v>577.70000000000005</v>
      </c>
      <c r="DD18" s="37">
        <v>581.79999999999995</v>
      </c>
      <c r="DE18" s="37">
        <v>593.20000000000005</v>
      </c>
      <c r="DF18" s="37">
        <v>595.70000000000005</v>
      </c>
      <c r="DG18" s="37">
        <v>610.4</v>
      </c>
      <c r="DH18" s="37">
        <v>616.6</v>
      </c>
      <c r="DI18" s="37">
        <v>623.79999999999995</v>
      </c>
      <c r="DJ18" s="37">
        <v>629.1</v>
      </c>
      <c r="DK18" s="37">
        <v>635.5</v>
      </c>
      <c r="DL18" s="37">
        <v>643</v>
      </c>
      <c r="DM18" s="37">
        <v>650.29999999999995</v>
      </c>
      <c r="DN18" s="37">
        <v>657.5</v>
      </c>
      <c r="DO18" s="37">
        <v>667.1</v>
      </c>
      <c r="DP18" s="37">
        <v>679</v>
      </c>
      <c r="DQ18" s="37">
        <v>690.7</v>
      </c>
      <c r="DR18" s="37">
        <v>698.6</v>
      </c>
      <c r="DS18" s="37">
        <v>707.3</v>
      </c>
      <c r="DT18" s="37">
        <v>711.3</v>
      </c>
      <c r="DU18" s="37">
        <v>717.1</v>
      </c>
      <c r="DV18" s="37">
        <v>724.2</v>
      </c>
      <c r="DW18" s="37">
        <v>724.1</v>
      </c>
      <c r="DX18" s="37">
        <v>725.3</v>
      </c>
      <c r="DY18" s="37">
        <v>737.1</v>
      </c>
      <c r="DZ18" s="37">
        <v>744</v>
      </c>
      <c r="EA18" s="37">
        <v>751.3</v>
      </c>
      <c r="EB18" s="37">
        <v>768.5</v>
      </c>
      <c r="EC18" s="37">
        <v>776.3</v>
      </c>
      <c r="ED18" s="37">
        <v>788.6</v>
      </c>
      <c r="EE18" s="37">
        <v>800</v>
      </c>
      <c r="EF18" s="37">
        <v>813</v>
      </c>
      <c r="EG18" s="37">
        <v>820.9</v>
      </c>
      <c r="EH18" s="37">
        <v>847.3</v>
      </c>
      <c r="EI18" s="37">
        <v>859.9</v>
      </c>
      <c r="EJ18" s="37">
        <v>871.3</v>
      </c>
      <c r="EK18" s="37">
        <v>893.8</v>
      </c>
      <c r="EL18" s="37">
        <v>915.1</v>
      </c>
      <c r="EM18" s="37">
        <v>937.3</v>
      </c>
      <c r="EN18" s="37">
        <v>952.1</v>
      </c>
      <c r="EO18" s="37">
        <v>965.3</v>
      </c>
      <c r="EP18" s="37">
        <v>981.8</v>
      </c>
      <c r="EQ18" s="37">
        <v>991.7</v>
      </c>
      <c r="ER18" s="37">
        <v>1004.1</v>
      </c>
      <c r="ES18" s="37">
        <v>1010.5</v>
      </c>
      <c r="ET18" s="37">
        <v>1025.9000000000001</v>
      </c>
      <c r="EU18" s="37">
        <v>1033.0999999999999</v>
      </c>
      <c r="EV18" s="37">
        <v>1035.8</v>
      </c>
      <c r="EW18" s="37">
        <v>1052.5999999999999</v>
      </c>
      <c r="EX18" s="37">
        <v>1045.7</v>
      </c>
      <c r="EY18" s="37">
        <v>1054.7</v>
      </c>
      <c r="EZ18" s="37">
        <v>1058.5</v>
      </c>
      <c r="FA18" s="37">
        <v>1040</v>
      </c>
      <c r="FB18" s="37">
        <v>1015.9</v>
      </c>
      <c r="FC18" s="37">
        <v>1017.3</v>
      </c>
      <c r="FD18" s="37">
        <v>1028.8</v>
      </c>
      <c r="FE18" s="37">
        <v>1045.3</v>
      </c>
      <c r="FF18" s="37">
        <v>1044.5999999999999</v>
      </c>
      <c r="FG18" s="37">
        <v>1062.0999999999999</v>
      </c>
      <c r="FH18" s="37">
        <v>1069.0999999999999</v>
      </c>
      <c r="FI18" s="37">
        <v>1076.4000000000001</v>
      </c>
      <c r="FJ18" s="37">
        <v>1091.5</v>
      </c>
      <c r="FK18" s="37">
        <v>1105.5</v>
      </c>
      <c r="FL18" s="37">
        <v>1103.9000000000001</v>
      </c>
      <c r="FM18" s="37">
        <v>1114</v>
      </c>
      <c r="FN18" s="37">
        <v>1130.9000000000001</v>
      </c>
      <c r="FO18" s="37">
        <v>1133.9000000000001</v>
      </c>
      <c r="FP18" s="37">
        <v>1131.3</v>
      </c>
      <c r="FQ18" s="37">
        <v>1148.4000000000001</v>
      </c>
      <c r="FR18" s="37">
        <v>1174.5999999999999</v>
      </c>
      <c r="FS18" s="37">
        <v>1180.8</v>
      </c>
      <c r="FT18" s="37">
        <v>1195</v>
      </c>
      <c r="FU18" s="37">
        <v>1204.0999999999999</v>
      </c>
      <c r="FV18" s="37">
        <v>1220.5</v>
      </c>
      <c r="FW18" s="37">
        <v>1237.5</v>
      </c>
      <c r="FX18" s="37">
        <v>1248.4000000000001</v>
      </c>
      <c r="FY18" s="37">
        <v>1257</v>
      </c>
      <c r="FZ18" s="37">
        <v>1262.2</v>
      </c>
      <c r="GA18" s="37">
        <v>1273.0999999999999</v>
      </c>
      <c r="GB18" s="37">
        <v>1275.5</v>
      </c>
      <c r="GC18" s="37">
        <v>1289.9000000000001</v>
      </c>
      <c r="GD18" s="37">
        <v>1295.9000000000001</v>
      </c>
      <c r="GE18" s="37">
        <v>1301</v>
      </c>
      <c r="GF18" s="37">
        <v>1320.8</v>
      </c>
      <c r="GG18" s="37">
        <v>1328.9</v>
      </c>
      <c r="GH18" s="37">
        <v>1340</v>
      </c>
      <c r="GI18" s="37">
        <v>1356.6</v>
      </c>
      <c r="GJ18" s="37">
        <v>1376.1</v>
      </c>
      <c r="GK18" s="37">
        <v>1397.1</v>
      </c>
      <c r="GL18" s="37">
        <v>1427.5</v>
      </c>
      <c r="GM18" s="37">
        <v>1446.8</v>
      </c>
      <c r="GN18" s="37">
        <v>1469.3</v>
      </c>
      <c r="GO18" s="37">
        <v>1502.1</v>
      </c>
      <c r="GP18" s="37">
        <v>1504.7</v>
      </c>
      <c r="GQ18" s="37">
        <v>1516.1</v>
      </c>
      <c r="GR18" s="37">
        <v>1549.7</v>
      </c>
      <c r="GS18" s="37">
        <v>1549.6</v>
      </c>
      <c r="GT18" s="37">
        <v>1565.8</v>
      </c>
      <c r="GU18" s="37">
        <v>1426.5</v>
      </c>
      <c r="GV18" s="37">
        <v>1546.5</v>
      </c>
      <c r="GW18" s="37">
        <v>1566.4</v>
      </c>
      <c r="GX18" s="37">
        <v>1583.7</v>
      </c>
      <c r="GY18" s="37">
        <v>1676.7</v>
      </c>
      <c r="GZ18" s="37">
        <v>1680</v>
      </c>
      <c r="HA18" s="37">
        <v>1713.2</v>
      </c>
      <c r="HB18" s="37">
        <v>1750.1</v>
      </c>
      <c r="HC18">
        <v>1775.5</v>
      </c>
      <c r="HD18">
        <v>1791.7</v>
      </c>
    </row>
    <row r="19" spans="1:212" x14ac:dyDescent="0.3">
      <c r="A19" s="37" t="s">
        <v>1777</v>
      </c>
      <c r="B19" s="37">
        <v>30.7</v>
      </c>
      <c r="C19" s="37">
        <v>30.8</v>
      </c>
      <c r="D19" s="37">
        <v>31.7</v>
      </c>
      <c r="E19" s="37">
        <v>30.2</v>
      </c>
      <c r="F19" s="37">
        <v>34</v>
      </c>
      <c r="G19" s="37">
        <v>34.9</v>
      </c>
      <c r="H19" s="37">
        <v>34.1</v>
      </c>
      <c r="I19" s="37">
        <v>34.6</v>
      </c>
      <c r="J19" s="37">
        <v>36.799999999999997</v>
      </c>
      <c r="K19" s="37">
        <v>37.1</v>
      </c>
      <c r="L19" s="37">
        <v>38.299999999999997</v>
      </c>
      <c r="M19" s="37">
        <v>42.4</v>
      </c>
      <c r="N19" s="37">
        <v>45.3</v>
      </c>
      <c r="O19" s="37">
        <v>45.4</v>
      </c>
      <c r="P19" s="37">
        <v>43.4</v>
      </c>
      <c r="Q19" s="37">
        <v>45.6</v>
      </c>
      <c r="R19" s="37">
        <v>43.7</v>
      </c>
      <c r="S19" s="37">
        <v>45.9</v>
      </c>
      <c r="T19" s="37">
        <v>50.8</v>
      </c>
      <c r="U19" s="37">
        <v>44.6</v>
      </c>
      <c r="V19" s="37">
        <v>37.6</v>
      </c>
      <c r="W19" s="37">
        <v>40.799999999999997</v>
      </c>
      <c r="X19" s="37">
        <v>51.4</v>
      </c>
      <c r="Y19" s="37">
        <v>52.3</v>
      </c>
      <c r="Z19" s="37">
        <v>59.6</v>
      </c>
      <c r="AA19" s="37">
        <v>58.6</v>
      </c>
      <c r="AB19" s="37">
        <v>58.1</v>
      </c>
      <c r="AC19" s="37">
        <v>57.1</v>
      </c>
      <c r="AD19" s="37">
        <v>61.5</v>
      </c>
      <c r="AE19" s="37">
        <v>67.099999999999994</v>
      </c>
      <c r="AF19" s="37">
        <v>69.7</v>
      </c>
      <c r="AG19" s="37">
        <v>70.099999999999994</v>
      </c>
      <c r="AH19" s="37">
        <v>65</v>
      </c>
      <c r="AI19" s="37">
        <v>78.599999999999994</v>
      </c>
      <c r="AJ19" s="37">
        <v>79.099999999999994</v>
      </c>
      <c r="AK19" s="37">
        <v>83.3</v>
      </c>
      <c r="AL19" s="37">
        <v>80.3</v>
      </c>
      <c r="AM19" s="37">
        <v>80.3</v>
      </c>
      <c r="AN19" s="37">
        <v>78.900000000000006</v>
      </c>
      <c r="AO19" s="37">
        <v>75.3</v>
      </c>
      <c r="AP19" s="37">
        <v>83.1</v>
      </c>
      <c r="AQ19" s="37">
        <v>62.6</v>
      </c>
      <c r="AR19" s="37">
        <v>69.900000000000006</v>
      </c>
      <c r="AS19" s="37">
        <v>76.8</v>
      </c>
      <c r="AT19" s="37">
        <v>75.400000000000006</v>
      </c>
      <c r="AU19" s="37">
        <v>65.900000000000006</v>
      </c>
      <c r="AV19" s="37">
        <v>68.400000000000006</v>
      </c>
      <c r="AW19" s="37">
        <v>58.9</v>
      </c>
      <c r="AX19" s="37">
        <v>47.6</v>
      </c>
      <c r="AY19" s="37">
        <v>49</v>
      </c>
      <c r="AZ19" s="37">
        <v>49.8</v>
      </c>
      <c r="BA19" s="37">
        <v>45.1</v>
      </c>
      <c r="BB19" s="37">
        <v>47.1</v>
      </c>
      <c r="BC19" s="37">
        <v>61.9</v>
      </c>
      <c r="BD19" s="37">
        <v>70.7</v>
      </c>
      <c r="BE19" s="37">
        <v>72.400000000000006</v>
      </c>
      <c r="BF19" s="37">
        <v>84.9</v>
      </c>
      <c r="BG19" s="37">
        <v>83.7</v>
      </c>
      <c r="BH19" s="37">
        <v>71.3</v>
      </c>
      <c r="BI19" s="37">
        <v>72.099999999999994</v>
      </c>
      <c r="BJ19" s="37">
        <v>77.7</v>
      </c>
      <c r="BK19" s="37">
        <v>76</v>
      </c>
      <c r="BL19" s="37">
        <v>81.7</v>
      </c>
      <c r="BM19" s="37">
        <v>79.5</v>
      </c>
      <c r="BN19" s="37">
        <v>84.4</v>
      </c>
      <c r="BO19" s="37">
        <v>85.5</v>
      </c>
      <c r="BP19" s="37">
        <v>86.9</v>
      </c>
      <c r="BQ19" s="37">
        <v>97.9</v>
      </c>
      <c r="BR19" s="37">
        <v>98.7</v>
      </c>
      <c r="BS19" s="37">
        <v>111.8</v>
      </c>
      <c r="BT19" s="37">
        <v>116.2</v>
      </c>
      <c r="BU19" s="37">
        <v>110.7</v>
      </c>
      <c r="BV19" s="37">
        <v>108</v>
      </c>
      <c r="BW19" s="37">
        <v>115.3</v>
      </c>
      <c r="BX19" s="37">
        <v>125.1</v>
      </c>
      <c r="BY19" s="37">
        <v>130.9</v>
      </c>
      <c r="BZ19" s="37">
        <v>132.69999999999999</v>
      </c>
      <c r="CA19" s="37">
        <v>118.7</v>
      </c>
      <c r="CB19" s="37">
        <v>114.4</v>
      </c>
      <c r="CC19" s="37">
        <v>113.5</v>
      </c>
      <c r="CD19" s="37">
        <v>112.5</v>
      </c>
      <c r="CE19" s="37">
        <v>116.8</v>
      </c>
      <c r="CF19" s="37">
        <v>119.9</v>
      </c>
      <c r="CG19" s="37">
        <v>118.8</v>
      </c>
      <c r="CH19" s="37">
        <v>115.3</v>
      </c>
      <c r="CI19" s="37">
        <v>110.9</v>
      </c>
      <c r="CJ19" s="37">
        <v>111.9</v>
      </c>
      <c r="CK19" s="37">
        <v>113.1</v>
      </c>
      <c r="CL19" s="37">
        <v>125</v>
      </c>
      <c r="CM19" s="37">
        <v>126.8</v>
      </c>
      <c r="CN19" s="37">
        <v>122.1</v>
      </c>
      <c r="CO19" s="37">
        <v>131.6</v>
      </c>
      <c r="CP19" s="37">
        <v>136.4</v>
      </c>
      <c r="CQ19" s="37">
        <v>148.69999999999999</v>
      </c>
      <c r="CR19" s="37">
        <v>140.69999999999999</v>
      </c>
      <c r="CS19" s="37">
        <v>171.9</v>
      </c>
      <c r="CT19" s="37">
        <v>149.5</v>
      </c>
      <c r="CU19" s="37">
        <v>158</v>
      </c>
      <c r="CV19" s="37">
        <v>173.8</v>
      </c>
      <c r="CW19" s="37">
        <v>183.6</v>
      </c>
      <c r="CX19" s="37">
        <v>187.8</v>
      </c>
      <c r="CY19" s="37">
        <v>184.4</v>
      </c>
      <c r="CZ19" s="37">
        <v>191</v>
      </c>
      <c r="DA19" s="37">
        <v>187.1</v>
      </c>
      <c r="DB19" s="37">
        <v>194.3</v>
      </c>
      <c r="DC19" s="37">
        <v>205.5</v>
      </c>
      <c r="DD19" s="37">
        <v>205.9</v>
      </c>
      <c r="DE19" s="37">
        <v>208.6</v>
      </c>
      <c r="DF19" s="37">
        <v>210</v>
      </c>
      <c r="DG19" s="37">
        <v>214</v>
      </c>
      <c r="DH19" s="37">
        <v>226</v>
      </c>
      <c r="DI19" s="37">
        <v>215.9</v>
      </c>
      <c r="DJ19" s="37">
        <v>213.5</v>
      </c>
      <c r="DK19" s="37">
        <v>209.9</v>
      </c>
      <c r="DL19" s="37">
        <v>215.8</v>
      </c>
      <c r="DM19" s="37">
        <v>211.3</v>
      </c>
      <c r="DN19" s="37">
        <v>222.3</v>
      </c>
      <c r="DO19" s="37">
        <v>219.9</v>
      </c>
      <c r="DP19" s="37">
        <v>223.3</v>
      </c>
      <c r="DQ19" s="37">
        <v>228</v>
      </c>
      <c r="DR19" s="37">
        <v>239.4</v>
      </c>
      <c r="DS19" s="37">
        <v>237.6</v>
      </c>
      <c r="DT19" s="37">
        <v>219</v>
      </c>
      <c r="DU19" s="37">
        <v>221.3</v>
      </c>
      <c r="DV19" s="37">
        <v>185.1</v>
      </c>
      <c r="DW19" s="37">
        <v>179</v>
      </c>
      <c r="DX19" s="37">
        <v>159.30000000000001</v>
      </c>
      <c r="DY19" s="37">
        <v>142.4</v>
      </c>
      <c r="DZ19" s="37">
        <v>143.80000000000001</v>
      </c>
      <c r="EA19" s="37">
        <v>150</v>
      </c>
      <c r="EB19" s="37">
        <v>158</v>
      </c>
      <c r="EC19" s="37">
        <v>175.5</v>
      </c>
      <c r="ED19" s="37">
        <v>196.1</v>
      </c>
      <c r="EE19" s="37">
        <v>192.6</v>
      </c>
      <c r="EF19" s="37">
        <v>213.9</v>
      </c>
      <c r="EG19" s="37">
        <v>236.6</v>
      </c>
      <c r="EH19" s="37">
        <v>247</v>
      </c>
      <c r="EI19" s="37">
        <v>266.8</v>
      </c>
      <c r="EJ19" s="37">
        <v>288.3</v>
      </c>
      <c r="EK19" s="37">
        <v>293.60000000000002</v>
      </c>
      <c r="EL19" s="37">
        <v>370.6</v>
      </c>
      <c r="EM19" s="37">
        <v>359</v>
      </c>
      <c r="EN19" s="37">
        <v>365.2</v>
      </c>
      <c r="EO19" s="37">
        <v>402.9</v>
      </c>
      <c r="EP19" s="37">
        <v>416.9</v>
      </c>
      <c r="EQ19" s="37">
        <v>427.6</v>
      </c>
      <c r="ER19" s="37">
        <v>446.6</v>
      </c>
      <c r="ES19" s="37">
        <v>409.8</v>
      </c>
      <c r="ET19" s="37">
        <v>413.6</v>
      </c>
      <c r="EU19" s="37">
        <v>407.2</v>
      </c>
      <c r="EV19" s="37">
        <v>370.9</v>
      </c>
      <c r="EW19" s="37">
        <v>352.7</v>
      </c>
      <c r="EX19" s="37">
        <v>291.89999999999998</v>
      </c>
      <c r="EY19" s="37">
        <v>278.7</v>
      </c>
      <c r="EZ19" s="37">
        <v>264.39999999999998</v>
      </c>
      <c r="FA19" s="37">
        <v>162.6</v>
      </c>
      <c r="FB19" s="37">
        <v>166.5</v>
      </c>
      <c r="FC19" s="37">
        <v>188.6</v>
      </c>
      <c r="FD19" s="37">
        <v>200.7</v>
      </c>
      <c r="FE19" s="37">
        <v>234.2</v>
      </c>
      <c r="FF19" s="37">
        <v>249.8</v>
      </c>
      <c r="FG19" s="37">
        <v>255.6</v>
      </c>
      <c r="FH19" s="37">
        <v>272.60000000000002</v>
      </c>
      <c r="FI19" s="37">
        <v>284</v>
      </c>
      <c r="FJ19" s="37">
        <v>277.3</v>
      </c>
      <c r="FK19" s="37">
        <v>276.89999999999998</v>
      </c>
      <c r="FL19" s="37">
        <v>248.2</v>
      </c>
      <c r="FM19" s="37">
        <v>287</v>
      </c>
      <c r="FN19" s="37">
        <v>310.7</v>
      </c>
      <c r="FO19" s="37">
        <v>325</v>
      </c>
      <c r="FP19" s="37">
        <v>332.9</v>
      </c>
      <c r="FQ19" s="37">
        <v>332.8</v>
      </c>
      <c r="FR19" s="37">
        <v>350.8</v>
      </c>
      <c r="FS19" s="37">
        <v>347.3</v>
      </c>
      <c r="FT19" s="37">
        <v>354.3</v>
      </c>
      <c r="FU19" s="37">
        <v>356.9</v>
      </c>
      <c r="FV19" s="37">
        <v>392.8</v>
      </c>
      <c r="FW19" s="37">
        <v>415.1</v>
      </c>
      <c r="FX19" s="37">
        <v>387.1</v>
      </c>
      <c r="FY19" s="37">
        <v>389.8</v>
      </c>
      <c r="FZ19" s="37">
        <v>403.5</v>
      </c>
      <c r="GA19" s="37">
        <v>408.5</v>
      </c>
      <c r="GB19" s="37">
        <v>379.6</v>
      </c>
      <c r="GC19" s="37">
        <v>349.7</v>
      </c>
      <c r="GD19" s="37">
        <v>364.6</v>
      </c>
      <c r="GE19" s="37">
        <v>367.7</v>
      </c>
      <c r="GF19" s="37">
        <v>374.8</v>
      </c>
      <c r="GG19" s="37">
        <v>353.8</v>
      </c>
      <c r="GH19" s="37">
        <v>267.39999999999998</v>
      </c>
      <c r="GI19" s="37">
        <v>280</v>
      </c>
      <c r="GJ19" s="37">
        <v>295.39999999999998</v>
      </c>
      <c r="GK19" s="37">
        <v>297</v>
      </c>
      <c r="GL19" s="37">
        <v>262.3</v>
      </c>
      <c r="GM19" s="37">
        <v>288.39999999999998</v>
      </c>
      <c r="GN19" s="37">
        <v>290.3</v>
      </c>
      <c r="GO19" s="37">
        <v>300.5</v>
      </c>
      <c r="GP19" s="37">
        <v>276.39999999999998</v>
      </c>
      <c r="GQ19" s="37">
        <v>290.39999999999998</v>
      </c>
      <c r="GR19" s="37">
        <v>270.3</v>
      </c>
      <c r="GS19" s="37">
        <v>298.3</v>
      </c>
      <c r="GT19" s="37">
        <v>250.8</v>
      </c>
      <c r="GU19" s="37">
        <v>242.8</v>
      </c>
      <c r="GV19" s="37">
        <v>299.3</v>
      </c>
      <c r="GW19" s="37">
        <v>311.3</v>
      </c>
      <c r="GX19" s="37">
        <v>337.7</v>
      </c>
      <c r="GY19" s="37">
        <v>371.7</v>
      </c>
      <c r="GZ19" s="37">
        <v>372.9</v>
      </c>
      <c r="HA19" s="37">
        <v>415.3</v>
      </c>
      <c r="HB19">
        <v>479.7</v>
      </c>
      <c r="HC19">
        <v>463</v>
      </c>
      <c r="HD19">
        <v>436.3</v>
      </c>
    </row>
    <row r="20" spans="1:212" x14ac:dyDescent="0.3">
      <c r="A20" s="37" t="s">
        <v>1778</v>
      </c>
      <c r="B20" s="37">
        <v>247.9</v>
      </c>
      <c r="C20" s="37">
        <v>249.1</v>
      </c>
      <c r="D20" s="37">
        <v>254.6</v>
      </c>
      <c r="E20" s="37">
        <v>258.7</v>
      </c>
      <c r="F20" s="37">
        <v>261.89999999999998</v>
      </c>
      <c r="G20" s="37">
        <v>266.10000000000002</v>
      </c>
      <c r="H20" s="37">
        <v>269.8</v>
      </c>
      <c r="I20" s="37">
        <v>272.10000000000002</v>
      </c>
      <c r="J20" s="37">
        <v>282.2</v>
      </c>
      <c r="K20" s="37">
        <v>286.5</v>
      </c>
      <c r="L20" s="37">
        <v>284.3</v>
      </c>
      <c r="M20" s="37">
        <v>291.7</v>
      </c>
      <c r="N20" s="37">
        <v>299.60000000000002</v>
      </c>
      <c r="O20" s="37">
        <v>302.7</v>
      </c>
      <c r="P20" s="37">
        <v>304.2</v>
      </c>
      <c r="Q20" s="37">
        <v>312.60000000000002</v>
      </c>
      <c r="R20" s="37">
        <v>324.60000000000002</v>
      </c>
      <c r="S20" s="37">
        <v>335</v>
      </c>
      <c r="T20" s="37">
        <v>346.7</v>
      </c>
      <c r="U20" s="37">
        <v>359.2</v>
      </c>
      <c r="V20" s="37">
        <v>370.1</v>
      </c>
      <c r="W20" s="37">
        <v>373.4</v>
      </c>
      <c r="X20" s="37">
        <v>385.4</v>
      </c>
      <c r="Y20" s="37">
        <v>395.6</v>
      </c>
      <c r="Z20" s="37">
        <v>401.3</v>
      </c>
      <c r="AA20" s="37">
        <v>401</v>
      </c>
      <c r="AB20" s="37">
        <v>403.5</v>
      </c>
      <c r="AC20" s="37">
        <v>410.8</v>
      </c>
      <c r="AD20" s="37">
        <v>421.2</v>
      </c>
      <c r="AE20" s="37">
        <v>431.4</v>
      </c>
      <c r="AF20" s="37">
        <v>438</v>
      </c>
      <c r="AG20" s="37">
        <v>446.7</v>
      </c>
      <c r="AH20" s="37">
        <v>452.6</v>
      </c>
      <c r="AI20" s="37">
        <v>472.3</v>
      </c>
      <c r="AJ20" s="37">
        <v>484.2</v>
      </c>
      <c r="AK20" s="37">
        <v>496.2</v>
      </c>
      <c r="AL20" s="37">
        <v>501.8</v>
      </c>
      <c r="AM20" s="37">
        <v>516.5</v>
      </c>
      <c r="AN20" s="37">
        <v>533.1</v>
      </c>
      <c r="AO20" s="37">
        <v>547.79999999999995</v>
      </c>
      <c r="AP20" s="37">
        <v>568.79999999999995</v>
      </c>
      <c r="AQ20" s="37">
        <v>588.5</v>
      </c>
      <c r="AR20" s="37">
        <v>592.20000000000005</v>
      </c>
      <c r="AS20" s="37">
        <v>608.9</v>
      </c>
      <c r="AT20" s="37">
        <v>633.4</v>
      </c>
      <c r="AU20" s="37">
        <v>648.70000000000005</v>
      </c>
      <c r="AV20" s="37">
        <v>657.8</v>
      </c>
      <c r="AW20" s="37">
        <v>677.7</v>
      </c>
      <c r="AX20" s="37">
        <v>688.1</v>
      </c>
      <c r="AY20" s="37">
        <v>703.1</v>
      </c>
      <c r="AZ20" s="37">
        <v>717.3</v>
      </c>
      <c r="BA20" s="37">
        <v>737.4</v>
      </c>
      <c r="BB20" s="37">
        <v>747.9</v>
      </c>
      <c r="BC20" s="37">
        <v>761.1</v>
      </c>
      <c r="BD20" s="37">
        <v>782.2</v>
      </c>
      <c r="BE20" s="37">
        <v>775.1</v>
      </c>
      <c r="BF20" s="37">
        <v>794</v>
      </c>
      <c r="BG20" s="37">
        <v>819.1</v>
      </c>
      <c r="BH20" s="37">
        <v>835.7</v>
      </c>
      <c r="BI20" s="37">
        <v>862.8</v>
      </c>
      <c r="BJ20" s="37">
        <v>875.6</v>
      </c>
      <c r="BK20" s="37">
        <v>900.5</v>
      </c>
      <c r="BL20" s="37">
        <v>927.4</v>
      </c>
      <c r="BM20" s="37">
        <v>938.6</v>
      </c>
      <c r="BN20" s="37">
        <v>946.8</v>
      </c>
      <c r="BO20" s="37">
        <v>967.5</v>
      </c>
      <c r="BP20" s="37">
        <v>993.6</v>
      </c>
      <c r="BQ20" s="37">
        <v>996.4</v>
      </c>
      <c r="BR20" s="37">
        <v>1008.7</v>
      </c>
      <c r="BS20" s="37">
        <v>1025.2</v>
      </c>
      <c r="BT20" s="37">
        <v>1036.2</v>
      </c>
      <c r="BU20" s="37">
        <v>1056</v>
      </c>
      <c r="BV20" s="37">
        <v>1056.9000000000001</v>
      </c>
      <c r="BW20" s="37">
        <v>1070.4000000000001</v>
      </c>
      <c r="BX20" s="37">
        <v>1078.2</v>
      </c>
      <c r="BY20" s="37">
        <v>1109.9000000000001</v>
      </c>
      <c r="BZ20" s="37">
        <v>1116.5999999999999</v>
      </c>
      <c r="CA20" s="37">
        <v>1145.8</v>
      </c>
      <c r="CB20" s="37">
        <v>1164.5999999999999</v>
      </c>
      <c r="CC20" s="37">
        <v>1180.5</v>
      </c>
      <c r="CD20" s="37">
        <v>1212.5</v>
      </c>
      <c r="CE20" s="37">
        <v>1230.7</v>
      </c>
      <c r="CF20" s="37">
        <v>1242.5999999999999</v>
      </c>
      <c r="CG20" s="37">
        <v>1268.5</v>
      </c>
      <c r="CH20" s="37">
        <v>1284.2</v>
      </c>
      <c r="CI20" s="37">
        <v>1296.5999999999999</v>
      </c>
      <c r="CJ20" s="37">
        <v>1306.3</v>
      </c>
      <c r="CK20" s="37">
        <v>1308.8</v>
      </c>
      <c r="CL20" s="37">
        <v>1326.4</v>
      </c>
      <c r="CM20" s="37">
        <v>1334.8</v>
      </c>
      <c r="CN20" s="37">
        <v>1354</v>
      </c>
      <c r="CO20" s="37">
        <v>1362.8</v>
      </c>
      <c r="CP20" s="37">
        <v>1351.8</v>
      </c>
      <c r="CQ20" s="37">
        <v>1359.1</v>
      </c>
      <c r="CR20" s="37">
        <v>1367.4</v>
      </c>
      <c r="CS20" s="37">
        <v>1381.4</v>
      </c>
      <c r="CT20" s="37">
        <v>1373.4</v>
      </c>
      <c r="CU20" s="37">
        <v>1389.4</v>
      </c>
      <c r="CV20" s="37">
        <v>1423.4</v>
      </c>
      <c r="CW20" s="37">
        <v>1422.9</v>
      </c>
      <c r="CX20" s="37">
        <v>1437.6</v>
      </c>
      <c r="CY20" s="37">
        <v>1452.9</v>
      </c>
      <c r="CZ20" s="37">
        <v>1455.7</v>
      </c>
      <c r="DA20" s="37">
        <v>1451.6</v>
      </c>
      <c r="DB20" s="37">
        <v>1471.3</v>
      </c>
      <c r="DC20" s="37">
        <v>1487.7</v>
      </c>
      <c r="DD20" s="37">
        <v>1496.7</v>
      </c>
      <c r="DE20" s="37">
        <v>1515.7</v>
      </c>
      <c r="DF20" s="37">
        <v>1516</v>
      </c>
      <c r="DG20" s="37">
        <v>1542.5</v>
      </c>
      <c r="DH20" s="37">
        <v>1555.2</v>
      </c>
      <c r="DI20" s="37">
        <v>1574.8</v>
      </c>
      <c r="DJ20" s="37">
        <v>1568</v>
      </c>
      <c r="DK20" s="37">
        <v>1603.7</v>
      </c>
      <c r="DL20" s="37">
        <v>1627.3</v>
      </c>
      <c r="DM20" s="37">
        <v>1647.5</v>
      </c>
      <c r="DN20" s="37">
        <v>1669.1</v>
      </c>
      <c r="DO20" s="37">
        <v>1694.8</v>
      </c>
      <c r="DP20" s="37">
        <v>1734</v>
      </c>
      <c r="DQ20" s="37">
        <v>1781.7</v>
      </c>
      <c r="DR20" s="37">
        <v>1789.9</v>
      </c>
      <c r="DS20" s="37">
        <v>1822.5</v>
      </c>
      <c r="DT20" s="37">
        <v>1832.1</v>
      </c>
      <c r="DU20" s="37">
        <v>1861.3</v>
      </c>
      <c r="DV20" s="37">
        <v>1906.3</v>
      </c>
      <c r="DW20" s="37">
        <v>1947.7</v>
      </c>
      <c r="DX20" s="37">
        <v>1953.4</v>
      </c>
      <c r="DY20" s="37">
        <v>1992.7</v>
      </c>
      <c r="DZ20" s="37">
        <v>2040</v>
      </c>
      <c r="EA20" s="37">
        <v>2074.5</v>
      </c>
      <c r="EB20" s="37">
        <v>2101.3000000000002</v>
      </c>
      <c r="EC20" s="37">
        <v>2142.1999999999998</v>
      </c>
      <c r="ED20" s="37">
        <v>2172</v>
      </c>
      <c r="EE20" s="37">
        <v>2198.8000000000002</v>
      </c>
      <c r="EF20" s="37">
        <v>2220.4</v>
      </c>
      <c r="EG20" s="37">
        <v>2251.1999999999998</v>
      </c>
      <c r="EH20" s="37">
        <v>2286.6</v>
      </c>
      <c r="EI20" s="37">
        <v>2320.6999999999998</v>
      </c>
      <c r="EJ20" s="37">
        <v>2356.4</v>
      </c>
      <c r="EK20" s="37">
        <v>2388.8000000000002</v>
      </c>
      <c r="EL20" s="37">
        <v>2426.1</v>
      </c>
      <c r="EM20" s="37">
        <v>2452.1999999999998</v>
      </c>
      <c r="EN20" s="37">
        <v>2494.4</v>
      </c>
      <c r="EO20" s="37">
        <v>2528.4</v>
      </c>
      <c r="EP20" s="37">
        <v>2580.1</v>
      </c>
      <c r="EQ20" s="37">
        <v>2610.6</v>
      </c>
      <c r="ER20" s="37">
        <v>2630.3</v>
      </c>
      <c r="ES20" s="37">
        <v>2674.5</v>
      </c>
      <c r="ET20" s="37">
        <v>2718.5</v>
      </c>
      <c r="EU20" s="37">
        <v>2770</v>
      </c>
      <c r="EV20" s="37">
        <v>2808.7</v>
      </c>
      <c r="EW20" s="37">
        <v>2865.1</v>
      </c>
      <c r="EX20" s="37">
        <v>2909.6</v>
      </c>
      <c r="EY20" s="37">
        <v>2971.6</v>
      </c>
      <c r="EZ20" s="37">
        <v>3029</v>
      </c>
      <c r="FA20" s="37">
        <v>3021.8</v>
      </c>
      <c r="FB20" s="37">
        <v>3022</v>
      </c>
      <c r="FC20" s="37">
        <v>3070.5</v>
      </c>
      <c r="FD20" s="37">
        <v>3092.1</v>
      </c>
      <c r="FE20" s="37">
        <v>3120.8</v>
      </c>
      <c r="FF20" s="37">
        <v>3133.8</v>
      </c>
      <c r="FG20" s="37">
        <v>3165.8</v>
      </c>
      <c r="FH20" s="37">
        <v>3158.3</v>
      </c>
      <c r="FI20" s="37">
        <v>3164.3</v>
      </c>
      <c r="FJ20" s="37">
        <v>3155.8</v>
      </c>
      <c r="FK20" s="37">
        <v>3168.3</v>
      </c>
      <c r="FL20" s="37">
        <v>3136.9</v>
      </c>
      <c r="FM20" s="37">
        <v>3130.8</v>
      </c>
      <c r="FN20" s="37">
        <v>3144</v>
      </c>
      <c r="FO20" s="37">
        <v>3130.5</v>
      </c>
      <c r="FP20" s="37">
        <v>3139.1</v>
      </c>
      <c r="FQ20" s="37">
        <v>3132.3</v>
      </c>
      <c r="FR20" s="37">
        <v>3125.4</v>
      </c>
      <c r="FS20" s="37">
        <v>3132.6</v>
      </c>
      <c r="FT20" s="37">
        <v>3134.8</v>
      </c>
      <c r="FU20" s="37">
        <v>3139.3</v>
      </c>
      <c r="FV20" s="37">
        <v>3138.2</v>
      </c>
      <c r="FW20" s="37">
        <v>3154.1</v>
      </c>
      <c r="FX20" s="37">
        <v>3191.8</v>
      </c>
      <c r="FY20" s="37">
        <v>3191.2</v>
      </c>
      <c r="FZ20" s="37">
        <v>3189.3</v>
      </c>
      <c r="GA20" s="37">
        <v>3232</v>
      </c>
      <c r="GB20" s="37">
        <v>3250.6</v>
      </c>
      <c r="GC20" s="37">
        <v>3254.5</v>
      </c>
      <c r="GD20" s="37">
        <v>3270.2</v>
      </c>
      <c r="GE20" s="37">
        <v>3287.4</v>
      </c>
      <c r="GF20" s="37">
        <v>3315.8</v>
      </c>
      <c r="GG20" s="37">
        <v>3338.8</v>
      </c>
      <c r="GH20" s="37">
        <v>3355.3</v>
      </c>
      <c r="GI20" s="37">
        <v>3371.3</v>
      </c>
      <c r="GJ20" s="37">
        <v>3395.1</v>
      </c>
      <c r="GK20" s="37">
        <v>3457.7</v>
      </c>
      <c r="GL20" s="37">
        <v>3503.4</v>
      </c>
      <c r="GM20" s="37">
        <v>3561.7</v>
      </c>
      <c r="GN20" s="37">
        <v>3613.6</v>
      </c>
      <c r="GO20" s="37">
        <v>3636.3</v>
      </c>
      <c r="GP20" s="37">
        <v>3688.3</v>
      </c>
      <c r="GQ20" s="37">
        <v>3744.4</v>
      </c>
      <c r="GR20" s="37">
        <v>3785.1</v>
      </c>
      <c r="GS20" s="37">
        <v>3821.9</v>
      </c>
      <c r="GT20" s="37">
        <v>3883</v>
      </c>
      <c r="GU20" s="37">
        <v>3951.8</v>
      </c>
      <c r="GV20" s="37">
        <v>3922.9</v>
      </c>
      <c r="GW20" s="37">
        <v>3957.8</v>
      </c>
      <c r="GX20" s="37">
        <v>4088.7</v>
      </c>
      <c r="GY20" s="37">
        <v>4124.3999999999996</v>
      </c>
      <c r="GZ20" s="37">
        <v>4183.1000000000004</v>
      </c>
      <c r="HA20" s="37">
        <v>4246.7</v>
      </c>
      <c r="HB20" s="37">
        <v>4311.3999999999996</v>
      </c>
      <c r="HC20">
        <v>4412.8</v>
      </c>
      <c r="HD20">
        <v>4486.5</v>
      </c>
    </row>
    <row r="21" spans="1:212" x14ac:dyDescent="0.3">
      <c r="A21" s="37" t="s">
        <v>1779</v>
      </c>
      <c r="B21" s="37">
        <v>46.2</v>
      </c>
      <c r="C21" s="37">
        <v>46.5</v>
      </c>
      <c r="D21" s="37">
        <v>46.9</v>
      </c>
      <c r="E21" s="37">
        <v>46.7</v>
      </c>
      <c r="F21" s="37">
        <v>50.8</v>
      </c>
      <c r="G21" s="37">
        <v>51.4</v>
      </c>
      <c r="H21" s="37">
        <v>51.6</v>
      </c>
      <c r="I21" s="37">
        <v>52.2</v>
      </c>
      <c r="J21" s="37">
        <v>58.5</v>
      </c>
      <c r="K21" s="37">
        <v>59.2</v>
      </c>
      <c r="L21" s="37">
        <v>59.9</v>
      </c>
      <c r="M21" s="37">
        <v>60.8</v>
      </c>
      <c r="N21" s="37">
        <v>74.099999999999994</v>
      </c>
      <c r="O21" s="37">
        <v>75.3</v>
      </c>
      <c r="P21" s="37">
        <v>76.599999999999994</v>
      </c>
      <c r="Q21" s="37">
        <v>78.099999999999994</v>
      </c>
      <c r="R21" s="37">
        <v>83.7</v>
      </c>
      <c r="S21" s="37">
        <v>85.3</v>
      </c>
      <c r="T21" s="37">
        <v>86.9</v>
      </c>
      <c r="U21" s="37">
        <v>87.1</v>
      </c>
      <c r="V21" s="37">
        <v>88.2</v>
      </c>
      <c r="W21" s="37">
        <v>88.6</v>
      </c>
      <c r="X21" s="37">
        <v>90.3</v>
      </c>
      <c r="Y21" s="37">
        <v>92.4</v>
      </c>
      <c r="Z21" s="37">
        <v>99.6</v>
      </c>
      <c r="AA21" s="37">
        <v>101.1</v>
      </c>
      <c r="AB21" s="37">
        <v>102.8</v>
      </c>
      <c r="AC21" s="37">
        <v>104.4</v>
      </c>
      <c r="AD21" s="37">
        <v>110</v>
      </c>
      <c r="AE21" s="37">
        <v>112.8</v>
      </c>
      <c r="AF21" s="37">
        <v>115.1</v>
      </c>
      <c r="AG21" s="37">
        <v>117.5</v>
      </c>
      <c r="AH21" s="37">
        <v>124.7</v>
      </c>
      <c r="AI21" s="37">
        <v>129.9</v>
      </c>
      <c r="AJ21" s="37">
        <v>134.19999999999999</v>
      </c>
      <c r="AK21" s="37">
        <v>139.6</v>
      </c>
      <c r="AL21" s="37">
        <v>146.9</v>
      </c>
      <c r="AM21" s="37">
        <v>151.19999999999999</v>
      </c>
      <c r="AN21" s="37">
        <v>156.30000000000001</v>
      </c>
      <c r="AO21" s="37">
        <v>160.30000000000001</v>
      </c>
      <c r="AP21" s="37">
        <v>162.9</v>
      </c>
      <c r="AQ21" s="37">
        <v>163.9</v>
      </c>
      <c r="AR21" s="37">
        <v>168</v>
      </c>
      <c r="AS21" s="37">
        <v>174</v>
      </c>
      <c r="AT21" s="37">
        <v>191</v>
      </c>
      <c r="AU21" s="37">
        <v>194.8</v>
      </c>
      <c r="AV21" s="37">
        <v>199.5</v>
      </c>
      <c r="AW21" s="37">
        <v>202.2</v>
      </c>
      <c r="AX21" s="37">
        <v>207.2</v>
      </c>
      <c r="AY21" s="37">
        <v>209.2</v>
      </c>
      <c r="AZ21" s="37">
        <v>211.5</v>
      </c>
      <c r="BA21" s="37">
        <v>212.4</v>
      </c>
      <c r="BB21" s="37">
        <v>220.2</v>
      </c>
      <c r="BC21" s="37">
        <v>224.2</v>
      </c>
      <c r="BD21" s="37">
        <v>228.9</v>
      </c>
      <c r="BE21" s="37">
        <v>235.5</v>
      </c>
      <c r="BF21" s="37">
        <v>250.8</v>
      </c>
      <c r="BG21" s="37">
        <v>256.8</v>
      </c>
      <c r="BH21" s="37">
        <v>261.8</v>
      </c>
      <c r="BI21" s="37">
        <v>265.8</v>
      </c>
      <c r="BJ21" s="37">
        <v>275.7</v>
      </c>
      <c r="BK21" s="37">
        <v>279.8</v>
      </c>
      <c r="BL21" s="37">
        <v>284.60000000000002</v>
      </c>
      <c r="BM21" s="37">
        <v>291.10000000000002</v>
      </c>
      <c r="BN21" s="37">
        <v>298.2</v>
      </c>
      <c r="BO21" s="37">
        <v>301.89999999999998</v>
      </c>
      <c r="BP21" s="37">
        <v>306.89999999999998</v>
      </c>
      <c r="BQ21" s="37">
        <v>312.60000000000002</v>
      </c>
      <c r="BR21" s="37">
        <v>317.39999999999998</v>
      </c>
      <c r="BS21" s="37">
        <v>321.5</v>
      </c>
      <c r="BT21" s="37">
        <v>326.3</v>
      </c>
      <c r="BU21" s="37">
        <v>333.3</v>
      </c>
      <c r="BV21" s="37">
        <v>352.7</v>
      </c>
      <c r="BW21" s="37">
        <v>360</v>
      </c>
      <c r="BX21" s="37">
        <v>366.2</v>
      </c>
      <c r="BY21" s="37">
        <v>373.7</v>
      </c>
      <c r="BZ21" s="37">
        <v>379.7</v>
      </c>
      <c r="CA21" s="37">
        <v>384.3</v>
      </c>
      <c r="CB21" s="37">
        <v>388.9</v>
      </c>
      <c r="CC21" s="37">
        <v>394.9</v>
      </c>
      <c r="CD21" s="37">
        <v>403.5</v>
      </c>
      <c r="CE21" s="37">
        <v>408.8</v>
      </c>
      <c r="CF21" s="37">
        <v>416.6</v>
      </c>
      <c r="CG21" s="37">
        <v>419.4</v>
      </c>
      <c r="CH21" s="37">
        <v>423</v>
      </c>
      <c r="CI21" s="37">
        <v>429.7</v>
      </c>
      <c r="CJ21" s="37">
        <v>435.6</v>
      </c>
      <c r="CK21" s="37">
        <v>440.6</v>
      </c>
      <c r="CL21" s="37">
        <v>452.5</v>
      </c>
      <c r="CM21" s="37">
        <v>458.1</v>
      </c>
      <c r="CN21" s="37">
        <v>461.2</v>
      </c>
      <c r="CO21" s="37">
        <v>456.5</v>
      </c>
      <c r="CP21" s="37">
        <v>475.9</v>
      </c>
      <c r="CQ21" s="37">
        <v>476.4</v>
      </c>
      <c r="CR21" s="37">
        <v>481</v>
      </c>
      <c r="CS21" s="37">
        <v>485.2</v>
      </c>
      <c r="CT21" s="37">
        <v>500.4</v>
      </c>
      <c r="CU21" s="37">
        <v>507.6</v>
      </c>
      <c r="CV21" s="37">
        <v>513.6</v>
      </c>
      <c r="CW21" s="37">
        <v>521.1</v>
      </c>
      <c r="CX21" s="37">
        <v>528.20000000000005</v>
      </c>
      <c r="CY21" s="37">
        <v>532.70000000000005</v>
      </c>
      <c r="CZ21" s="37">
        <v>538.1</v>
      </c>
      <c r="DA21" s="37">
        <v>543.1</v>
      </c>
      <c r="DB21" s="37">
        <v>545.9</v>
      </c>
      <c r="DC21" s="37">
        <v>554.4</v>
      </c>
      <c r="DD21" s="37">
        <v>561.79999999999995</v>
      </c>
      <c r="DE21" s="37">
        <v>569.4</v>
      </c>
      <c r="DF21" s="37">
        <v>577.29999999999995</v>
      </c>
      <c r="DG21" s="37">
        <v>584.9</v>
      </c>
      <c r="DH21" s="37">
        <v>593.6</v>
      </c>
      <c r="DI21" s="37">
        <v>605.29999999999995</v>
      </c>
      <c r="DJ21" s="37">
        <v>613.29999999999995</v>
      </c>
      <c r="DK21" s="37">
        <v>622.79999999999995</v>
      </c>
      <c r="DL21" s="37">
        <v>632.6</v>
      </c>
      <c r="DM21" s="37">
        <v>642.4</v>
      </c>
      <c r="DN21" s="37">
        <v>653.29999999999995</v>
      </c>
      <c r="DO21" s="37">
        <v>659</v>
      </c>
      <c r="DP21" s="37">
        <v>666.4</v>
      </c>
      <c r="DQ21" s="37">
        <v>679.6</v>
      </c>
      <c r="DR21" s="37">
        <v>699.5</v>
      </c>
      <c r="DS21" s="37">
        <v>701.9</v>
      </c>
      <c r="DT21" s="37">
        <v>715.2</v>
      </c>
      <c r="DU21" s="37">
        <v>721</v>
      </c>
      <c r="DV21" s="37">
        <v>736.1</v>
      </c>
      <c r="DW21" s="37">
        <v>736.9</v>
      </c>
      <c r="DX21" s="37">
        <v>736.1</v>
      </c>
      <c r="DY21" s="37">
        <v>738.7</v>
      </c>
      <c r="DZ21" s="37">
        <v>746.9</v>
      </c>
      <c r="EA21" s="37">
        <v>755.3</v>
      </c>
      <c r="EB21" s="37">
        <v>758.1</v>
      </c>
      <c r="EC21" s="37">
        <v>760.8</v>
      </c>
      <c r="ED21" s="37">
        <v>767.1</v>
      </c>
      <c r="EE21" s="37">
        <v>777.8</v>
      </c>
      <c r="EF21" s="37">
        <v>787.7</v>
      </c>
      <c r="EG21" s="37">
        <v>800.1</v>
      </c>
      <c r="EH21" s="37">
        <v>813.4</v>
      </c>
      <c r="EI21" s="37">
        <v>828</v>
      </c>
      <c r="EJ21" s="37">
        <v>843.7</v>
      </c>
      <c r="EK21" s="37">
        <v>849.5</v>
      </c>
      <c r="EL21" s="37">
        <v>862.7</v>
      </c>
      <c r="EM21" s="37">
        <v>871</v>
      </c>
      <c r="EN21" s="37">
        <v>884.2</v>
      </c>
      <c r="EO21" s="37">
        <v>894.1</v>
      </c>
      <c r="EP21" s="37">
        <v>917.9</v>
      </c>
      <c r="EQ21" s="37">
        <v>922.7</v>
      </c>
      <c r="ER21" s="37">
        <v>927.2</v>
      </c>
      <c r="ES21" s="37">
        <v>940.8</v>
      </c>
      <c r="ET21" s="37">
        <v>960.4</v>
      </c>
      <c r="EU21" s="37">
        <v>962</v>
      </c>
      <c r="EV21" s="37">
        <v>965.3</v>
      </c>
      <c r="EW21" s="37">
        <v>976.9</v>
      </c>
      <c r="EX21" s="37">
        <v>988.8</v>
      </c>
      <c r="EY21" s="37">
        <v>991</v>
      </c>
      <c r="EZ21" s="37">
        <v>996.4</v>
      </c>
      <c r="FA21" s="37">
        <v>996.6</v>
      </c>
      <c r="FB21" s="37">
        <v>964.7</v>
      </c>
      <c r="FC21" s="37">
        <v>971.2</v>
      </c>
      <c r="FD21" s="37">
        <v>968.8</v>
      </c>
      <c r="FE21" s="37">
        <v>972.2</v>
      </c>
      <c r="FF21" s="37">
        <v>978.6</v>
      </c>
      <c r="FG21" s="37">
        <v>989.5</v>
      </c>
      <c r="FH21" s="37">
        <v>992.3</v>
      </c>
      <c r="FI21" s="37">
        <v>994.3</v>
      </c>
      <c r="FJ21" s="37">
        <v>916.2</v>
      </c>
      <c r="FK21" s="37">
        <v>918.9</v>
      </c>
      <c r="FL21" s="37">
        <v>927.3</v>
      </c>
      <c r="FM21" s="37">
        <v>921.9</v>
      </c>
      <c r="FN21" s="37">
        <v>944.9</v>
      </c>
      <c r="FO21" s="37">
        <v>949.4</v>
      </c>
      <c r="FP21" s="37">
        <v>952.3</v>
      </c>
      <c r="FQ21" s="37">
        <v>974.1</v>
      </c>
      <c r="FR21" s="37">
        <v>1095.9000000000001</v>
      </c>
      <c r="FS21" s="37">
        <v>1108.2</v>
      </c>
      <c r="FT21" s="37">
        <v>1111.4000000000001</v>
      </c>
      <c r="FU21" s="37">
        <v>1122.3</v>
      </c>
      <c r="FV21" s="37">
        <v>1145</v>
      </c>
      <c r="FW21" s="37">
        <v>1149.7</v>
      </c>
      <c r="FX21" s="37">
        <v>1161.4000000000001</v>
      </c>
      <c r="FY21" s="37">
        <v>1179.0999999999999</v>
      </c>
      <c r="FZ21" s="37">
        <v>1194.2</v>
      </c>
      <c r="GA21" s="37">
        <v>1206.0999999999999</v>
      </c>
      <c r="GB21" s="37">
        <v>1216.0999999999999</v>
      </c>
      <c r="GC21" s="37">
        <v>1223.5999999999999</v>
      </c>
      <c r="GD21" s="37">
        <v>1230.8</v>
      </c>
      <c r="GE21" s="37">
        <v>1237</v>
      </c>
      <c r="GF21" s="37">
        <v>1248.0999999999999</v>
      </c>
      <c r="GG21" s="37">
        <v>1261.5</v>
      </c>
      <c r="GH21" s="37">
        <v>1282.5999999999999</v>
      </c>
      <c r="GI21" s="37">
        <v>1294.9000000000001</v>
      </c>
      <c r="GJ21" s="37">
        <v>1310.0999999999999</v>
      </c>
      <c r="GK21" s="37">
        <v>1329.1</v>
      </c>
      <c r="GL21" s="37">
        <v>1349.1</v>
      </c>
      <c r="GM21" s="37">
        <v>1358.9</v>
      </c>
      <c r="GN21" s="37">
        <v>1375.7</v>
      </c>
      <c r="GO21" s="37">
        <v>1384</v>
      </c>
      <c r="GP21" s="37">
        <v>1416</v>
      </c>
      <c r="GQ21" s="37">
        <v>1423.4</v>
      </c>
      <c r="GR21" s="37">
        <v>1430.7</v>
      </c>
      <c r="GS21" s="37">
        <v>1449.6</v>
      </c>
      <c r="GT21" s="37">
        <v>1475.7</v>
      </c>
      <c r="GU21" s="37">
        <v>1405.1</v>
      </c>
      <c r="GV21" s="37">
        <v>1452.7</v>
      </c>
      <c r="GW21" s="37">
        <v>1486.4</v>
      </c>
      <c r="GX21" s="37">
        <v>1496.8</v>
      </c>
      <c r="GY21" s="37">
        <v>1527</v>
      </c>
      <c r="GZ21" s="37">
        <v>1559.5</v>
      </c>
      <c r="HA21" s="37">
        <v>1601.5</v>
      </c>
      <c r="HB21" s="37">
        <v>1640.6</v>
      </c>
      <c r="HC21">
        <v>1660.3</v>
      </c>
      <c r="HD21">
        <v>1688</v>
      </c>
    </row>
    <row r="22" spans="1:212" x14ac:dyDescent="0.3">
      <c r="A22" s="37" t="s">
        <v>1780</v>
      </c>
      <c r="B22" s="37">
        <v>20.568999999999999</v>
      </c>
      <c r="C22" s="37">
        <v>20.797000000000001</v>
      </c>
      <c r="D22" s="37">
        <v>20.998999999999999</v>
      </c>
      <c r="E22" s="37">
        <v>21.271000000000001</v>
      </c>
      <c r="F22" s="37">
        <v>21.472000000000001</v>
      </c>
      <c r="G22" s="37">
        <v>21.716000000000001</v>
      </c>
      <c r="H22" s="37">
        <v>21.928999999999998</v>
      </c>
      <c r="I22" s="37">
        <v>22.064</v>
      </c>
      <c r="J22" s="37">
        <v>22.295999999999999</v>
      </c>
      <c r="K22" s="37">
        <v>22.425000000000001</v>
      </c>
      <c r="L22" s="37">
        <v>22.622</v>
      </c>
      <c r="M22" s="37">
        <v>22.806999999999999</v>
      </c>
      <c r="N22" s="37">
        <v>23.084</v>
      </c>
      <c r="O22" s="37">
        <v>23.529</v>
      </c>
      <c r="P22" s="37">
        <v>23.957999999999998</v>
      </c>
      <c r="Q22" s="37">
        <v>24.45</v>
      </c>
      <c r="R22" s="37">
        <v>25.178000000000001</v>
      </c>
      <c r="S22" s="37">
        <v>25.890999999999998</v>
      </c>
      <c r="T22" s="37">
        <v>26.588999999999999</v>
      </c>
      <c r="U22" s="37">
        <v>27.262</v>
      </c>
      <c r="V22" s="37">
        <v>27.771000000000001</v>
      </c>
      <c r="W22" s="37">
        <v>28.109000000000002</v>
      </c>
      <c r="X22" s="37">
        <v>28.634</v>
      </c>
      <c r="Y22" s="37">
        <v>29.114999999999998</v>
      </c>
      <c r="Z22" s="37">
        <v>29.437000000000001</v>
      </c>
      <c r="AA22" s="37">
        <v>29.684999999999999</v>
      </c>
      <c r="AB22" s="37">
        <v>30.137</v>
      </c>
      <c r="AC22" s="37">
        <v>30.614000000000001</v>
      </c>
      <c r="AD22" s="37">
        <v>31.164999999999999</v>
      </c>
      <c r="AE22" s="37">
        <v>31.698</v>
      </c>
      <c r="AF22" s="37">
        <v>32.173999999999999</v>
      </c>
      <c r="AG22" s="37">
        <v>32.631</v>
      </c>
      <c r="AH22" s="37">
        <v>33.164999999999999</v>
      </c>
      <c r="AI22" s="37">
        <v>33.845999999999997</v>
      </c>
      <c r="AJ22" s="37">
        <v>34.441000000000003</v>
      </c>
      <c r="AK22" s="37">
        <v>35.091999999999999</v>
      </c>
      <c r="AL22" s="37">
        <v>35.755000000000003</v>
      </c>
      <c r="AM22" s="37">
        <v>36.732999999999997</v>
      </c>
      <c r="AN22" s="37">
        <v>37.646000000000001</v>
      </c>
      <c r="AO22" s="37">
        <v>38.558</v>
      </c>
      <c r="AP22" s="37">
        <v>39.716000000000001</v>
      </c>
      <c r="AQ22" s="37">
        <v>40.689</v>
      </c>
      <c r="AR22" s="37">
        <v>41.640999999999998</v>
      </c>
      <c r="AS22" s="37">
        <v>42.673000000000002</v>
      </c>
      <c r="AT22" s="37">
        <v>43.780999999999999</v>
      </c>
      <c r="AU22" s="37">
        <v>44.515000000000001</v>
      </c>
      <c r="AV22" s="37">
        <v>45.247999999999998</v>
      </c>
      <c r="AW22" s="37">
        <v>45.94</v>
      </c>
      <c r="AX22" s="37">
        <v>46.521000000000001</v>
      </c>
      <c r="AY22" s="37">
        <v>46.966999999999999</v>
      </c>
      <c r="AZ22" s="37">
        <v>47.707000000000001</v>
      </c>
      <c r="BA22" s="37">
        <v>48.231999999999999</v>
      </c>
      <c r="BB22" s="37">
        <v>48.628999999999998</v>
      </c>
      <c r="BC22" s="37">
        <v>49.073</v>
      </c>
      <c r="BD22" s="37">
        <v>49.718000000000004</v>
      </c>
      <c r="BE22" s="37">
        <v>50.048000000000002</v>
      </c>
      <c r="BF22" s="37">
        <v>50.591999999999999</v>
      </c>
      <c r="BG22" s="37">
        <v>51.082999999999998</v>
      </c>
      <c r="BH22" s="37">
        <v>51.478000000000002</v>
      </c>
      <c r="BI22" s="37">
        <v>51.795999999999999</v>
      </c>
      <c r="BJ22" s="37">
        <v>52.405999999999999</v>
      </c>
      <c r="BK22" s="37">
        <v>52.831000000000003</v>
      </c>
      <c r="BL22" s="37">
        <v>53.244999999999997</v>
      </c>
      <c r="BM22" s="37">
        <v>53.618000000000002</v>
      </c>
      <c r="BN22" s="37">
        <v>53.999000000000002</v>
      </c>
      <c r="BO22" s="37">
        <v>53.942999999999998</v>
      </c>
      <c r="BP22" s="37">
        <v>54.228000000000002</v>
      </c>
      <c r="BQ22" s="37">
        <v>54.555</v>
      </c>
      <c r="BR22" s="37">
        <v>55.067999999999998</v>
      </c>
      <c r="BS22" s="37">
        <v>55.597999999999999</v>
      </c>
      <c r="BT22" s="37">
        <v>56.122999999999998</v>
      </c>
      <c r="BU22" s="37">
        <v>56.606999999999999</v>
      </c>
      <c r="BV22" s="37">
        <v>57.054000000000002</v>
      </c>
      <c r="BW22" s="37">
        <v>57.683999999999997</v>
      </c>
      <c r="BX22" s="37">
        <v>58.395000000000003</v>
      </c>
      <c r="BY22" s="37">
        <v>58.987000000000002</v>
      </c>
      <c r="BZ22" s="37">
        <v>59.664999999999999</v>
      </c>
      <c r="CA22" s="37">
        <v>60.47</v>
      </c>
      <c r="CB22" s="37">
        <v>60.828000000000003</v>
      </c>
      <c r="CC22" s="37">
        <v>61.308</v>
      </c>
      <c r="CD22" s="37">
        <v>62.198</v>
      </c>
      <c r="CE22" s="37">
        <v>62.764000000000003</v>
      </c>
      <c r="CF22" s="37">
        <v>63.561999999999998</v>
      </c>
      <c r="CG22" s="37">
        <v>64.402000000000001</v>
      </c>
      <c r="CH22" s="37">
        <v>64.739999999999995</v>
      </c>
      <c r="CI22" s="37">
        <v>65.091999999999999</v>
      </c>
      <c r="CJ22" s="37">
        <v>65.533000000000001</v>
      </c>
      <c r="CK22" s="37">
        <v>66.007999999999996</v>
      </c>
      <c r="CL22" s="37">
        <v>66.421000000000006</v>
      </c>
      <c r="CM22" s="37">
        <v>66.861999999999995</v>
      </c>
      <c r="CN22" s="37">
        <v>67.287999999999997</v>
      </c>
      <c r="CO22" s="37">
        <v>67.757000000000005</v>
      </c>
      <c r="CP22" s="37">
        <v>68.162000000000006</v>
      </c>
      <c r="CQ22" s="37">
        <v>68.62</v>
      </c>
      <c r="CR22" s="37">
        <v>68.918000000000006</v>
      </c>
      <c r="CS22" s="37">
        <v>69.314999999999998</v>
      </c>
      <c r="CT22" s="37">
        <v>69.563999999999993</v>
      </c>
      <c r="CU22" s="37">
        <v>69.951999999999998</v>
      </c>
      <c r="CV22" s="37">
        <v>70.453999999999994</v>
      </c>
      <c r="CW22" s="37">
        <v>70.784999999999997</v>
      </c>
      <c r="CX22" s="37">
        <v>71.132000000000005</v>
      </c>
      <c r="CY22" s="37">
        <v>71.546000000000006</v>
      </c>
      <c r="CZ22" s="37">
        <v>71.837999999999994</v>
      </c>
      <c r="DA22" s="37">
        <v>72.153999999999996</v>
      </c>
      <c r="DB22" s="37">
        <v>72.555000000000007</v>
      </c>
      <c r="DC22" s="37">
        <v>73.040000000000006</v>
      </c>
      <c r="DD22" s="37">
        <v>73.352000000000004</v>
      </c>
      <c r="DE22" s="37">
        <v>73.852000000000004</v>
      </c>
      <c r="DF22" s="37">
        <v>74.177999999999997</v>
      </c>
      <c r="DG22" s="37">
        <v>74.364999999999995</v>
      </c>
      <c r="DH22" s="37">
        <v>74.561000000000007</v>
      </c>
      <c r="DI22" s="37">
        <v>74.795000000000002</v>
      </c>
      <c r="DJ22" s="37">
        <v>74.801000000000002</v>
      </c>
      <c r="DK22" s="37">
        <v>74.936000000000007</v>
      </c>
      <c r="DL22" s="37">
        <v>75.167000000000002</v>
      </c>
      <c r="DM22" s="37">
        <v>75.364000000000004</v>
      </c>
      <c r="DN22" s="37">
        <v>75.510999999999996</v>
      </c>
      <c r="DO22" s="37">
        <v>75.938999999999993</v>
      </c>
      <c r="DP22" s="37">
        <v>76.356999999999999</v>
      </c>
      <c r="DQ22" s="37">
        <v>76.820999999999998</v>
      </c>
      <c r="DR22" s="37">
        <v>77.445999999999998</v>
      </c>
      <c r="DS22" s="37">
        <v>77.814999999999998</v>
      </c>
      <c r="DT22" s="37">
        <v>78.317999999999998</v>
      </c>
      <c r="DU22" s="37">
        <v>78.762</v>
      </c>
      <c r="DV22" s="37">
        <v>79.347999999999999</v>
      </c>
      <c r="DW22" s="37">
        <v>79.72</v>
      </c>
      <c r="DX22" s="37">
        <v>79.760000000000005</v>
      </c>
      <c r="DY22" s="37">
        <v>79.793000000000006</v>
      </c>
      <c r="DZ22" s="37">
        <v>79.951999999999998</v>
      </c>
      <c r="EA22" s="37">
        <v>80.543999999999997</v>
      </c>
      <c r="EB22" s="37">
        <v>80.960999999999999</v>
      </c>
      <c r="EC22" s="37">
        <v>81.337999999999994</v>
      </c>
      <c r="ED22" s="37">
        <v>81.96</v>
      </c>
      <c r="EE22" s="37">
        <v>82.042000000000002</v>
      </c>
      <c r="EF22" s="37">
        <v>82.581999999999994</v>
      </c>
      <c r="EG22" s="37">
        <v>82.986999999999995</v>
      </c>
      <c r="EH22" s="37">
        <v>83.626999999999995</v>
      </c>
      <c r="EI22" s="37">
        <v>84.188999999999993</v>
      </c>
      <c r="EJ22" s="37">
        <v>84.602999999999994</v>
      </c>
      <c r="EK22" s="37">
        <v>85.325999999999993</v>
      </c>
      <c r="EL22" s="37">
        <v>85.822000000000003</v>
      </c>
      <c r="EM22" s="37">
        <v>86.364000000000004</v>
      </c>
      <c r="EN22" s="37">
        <v>87.296999999999997</v>
      </c>
      <c r="EO22" s="37">
        <v>87.992999999999995</v>
      </c>
      <c r="EP22" s="37">
        <v>88.451999999999998</v>
      </c>
      <c r="EQ22" s="37">
        <v>89.228999999999999</v>
      </c>
      <c r="ER22" s="37">
        <v>89.870999999999995</v>
      </c>
      <c r="ES22" s="37">
        <v>89.722999999999999</v>
      </c>
      <c r="ET22" s="37">
        <v>90.542000000000002</v>
      </c>
      <c r="EU22" s="37">
        <v>91.31</v>
      </c>
      <c r="EV22" s="37">
        <v>91.826999999999998</v>
      </c>
      <c r="EW22" s="37">
        <v>92.762</v>
      </c>
      <c r="EX22" s="37">
        <v>93.518000000000001</v>
      </c>
      <c r="EY22" s="37">
        <v>94.43</v>
      </c>
      <c r="EZ22" s="37">
        <v>95.438000000000002</v>
      </c>
      <c r="FA22" s="37">
        <v>93.915000000000006</v>
      </c>
      <c r="FB22" s="37">
        <v>93.28</v>
      </c>
      <c r="FC22" s="37">
        <v>93.65</v>
      </c>
      <c r="FD22" s="37">
        <v>94.295000000000002</v>
      </c>
      <c r="FE22" s="37">
        <v>95.022000000000006</v>
      </c>
      <c r="FF22" s="37">
        <v>95.388999999999996</v>
      </c>
      <c r="FG22" s="37">
        <v>95.536000000000001</v>
      </c>
      <c r="FH22" s="37">
        <v>95.72</v>
      </c>
      <c r="FI22" s="37">
        <v>96.332999999999998</v>
      </c>
      <c r="FJ22" s="37">
        <v>97.143000000000001</v>
      </c>
      <c r="FK22" s="37">
        <v>98.099000000000004</v>
      </c>
      <c r="FL22" s="37">
        <v>98.552999999999997</v>
      </c>
      <c r="FM22" s="37">
        <v>98.878</v>
      </c>
      <c r="FN22" s="37">
        <v>99.533000000000001</v>
      </c>
      <c r="FO22" s="37">
        <v>99.774000000000001</v>
      </c>
      <c r="FP22" s="37">
        <v>100.06399999999999</v>
      </c>
      <c r="FQ22" s="37">
        <v>100.625</v>
      </c>
      <c r="FR22" s="37">
        <v>100.98699999999999</v>
      </c>
      <c r="FS22" s="37">
        <v>101.059</v>
      </c>
      <c r="FT22" s="37">
        <v>101.46899999999999</v>
      </c>
      <c r="FU22" s="37">
        <v>101.89400000000001</v>
      </c>
      <c r="FV22" s="37">
        <v>102.384</v>
      </c>
      <c r="FW22" s="37">
        <v>102.896</v>
      </c>
      <c r="FX22" s="37">
        <v>103.187</v>
      </c>
      <c r="FY22" s="37">
        <v>103.069</v>
      </c>
      <c r="FZ22" s="37">
        <v>102.64100000000001</v>
      </c>
      <c r="GA22" s="37">
        <v>103.139</v>
      </c>
      <c r="GB22" s="37">
        <v>103.389</v>
      </c>
      <c r="GC22" s="37">
        <v>103.286</v>
      </c>
      <c r="GD22" s="37">
        <v>103.34</v>
      </c>
      <c r="GE22" s="37">
        <v>103.989</v>
      </c>
      <c r="GF22" s="37">
        <v>104.379</v>
      </c>
      <c r="GG22" s="37">
        <v>104.872</v>
      </c>
      <c r="GH22" s="37">
        <v>105.49299999999999</v>
      </c>
      <c r="GI22" s="37">
        <v>105.754</v>
      </c>
      <c r="GJ22" s="37">
        <v>106.13800000000001</v>
      </c>
      <c r="GK22" s="37">
        <v>106.81399999999999</v>
      </c>
      <c r="GL22" s="37">
        <v>107.584</v>
      </c>
      <c r="GM22" s="37">
        <v>108.16200000000001</v>
      </c>
      <c r="GN22" s="37">
        <v>108.54900000000001</v>
      </c>
      <c r="GO22" s="37">
        <v>108.959</v>
      </c>
      <c r="GP22" s="37">
        <v>109.18600000000001</v>
      </c>
      <c r="GQ22" s="37">
        <v>109.854</v>
      </c>
      <c r="GR22" s="37">
        <v>110.14</v>
      </c>
      <c r="GS22" s="37">
        <v>110.536</v>
      </c>
      <c r="GT22" s="37">
        <v>110.935</v>
      </c>
      <c r="GU22" s="37">
        <v>110.431</v>
      </c>
      <c r="GV22" s="37">
        <v>111.34699999999999</v>
      </c>
      <c r="GW22" s="37">
        <v>111.79900000000001</v>
      </c>
      <c r="GX22" s="37">
        <v>113.033</v>
      </c>
      <c r="GY22" s="37">
        <v>114.81</v>
      </c>
      <c r="GZ22" s="37">
        <v>116.38200000000001</v>
      </c>
      <c r="HA22" s="37">
        <v>118.142</v>
      </c>
      <c r="HB22" s="37">
        <v>120.29</v>
      </c>
      <c r="HC22">
        <v>122.426</v>
      </c>
      <c r="HD22">
        <v>123.71</v>
      </c>
    </row>
    <row r="23" spans="1:212" x14ac:dyDescent="0.3">
      <c r="A23" s="37" t="s">
        <v>1781</v>
      </c>
      <c r="B23" s="37">
        <v>133.6</v>
      </c>
      <c r="C23" s="37">
        <v>131.80000000000001</v>
      </c>
      <c r="D23" s="37">
        <v>132.4</v>
      </c>
      <c r="E23" s="37">
        <v>133.5</v>
      </c>
      <c r="F23" s="37">
        <v>133.30000000000001</v>
      </c>
      <c r="G23" s="37">
        <v>134.30000000000001</v>
      </c>
      <c r="H23" s="37">
        <v>135.6</v>
      </c>
      <c r="I23" s="37">
        <v>134.69999999999999</v>
      </c>
      <c r="J23" s="37">
        <v>141.4</v>
      </c>
      <c r="K23" s="37">
        <v>144.19999999999999</v>
      </c>
      <c r="L23" s="37">
        <v>138.80000000000001</v>
      </c>
      <c r="M23" s="37">
        <v>142.19999999999999</v>
      </c>
      <c r="N23" s="37">
        <v>146.4</v>
      </c>
      <c r="O23" s="37">
        <v>146.5</v>
      </c>
      <c r="P23" s="37">
        <v>144.19999999999999</v>
      </c>
      <c r="Q23" s="37">
        <v>147.6</v>
      </c>
      <c r="R23" s="37">
        <v>152.69999999999999</v>
      </c>
      <c r="S23" s="37">
        <v>154.9</v>
      </c>
      <c r="T23" s="37">
        <v>160.4</v>
      </c>
      <c r="U23" s="37">
        <v>167.4</v>
      </c>
      <c r="V23" s="37">
        <v>168.6</v>
      </c>
      <c r="W23" s="37">
        <v>169.4</v>
      </c>
      <c r="X23" s="37">
        <v>176.1</v>
      </c>
      <c r="Y23" s="37">
        <v>180.8</v>
      </c>
      <c r="Z23" s="37">
        <v>181.6</v>
      </c>
      <c r="AA23" s="37">
        <v>182.5</v>
      </c>
      <c r="AB23" s="37">
        <v>184.9</v>
      </c>
      <c r="AC23" s="37">
        <v>190.2</v>
      </c>
      <c r="AD23" s="37">
        <v>194.2</v>
      </c>
      <c r="AE23" s="37">
        <v>198.9</v>
      </c>
      <c r="AF23" s="37">
        <v>201.9</v>
      </c>
      <c r="AG23" s="37">
        <v>206.3</v>
      </c>
      <c r="AH23" s="37">
        <v>208.8</v>
      </c>
      <c r="AI23" s="37">
        <v>217</v>
      </c>
      <c r="AJ23" s="37">
        <v>222.1</v>
      </c>
      <c r="AK23" s="37">
        <v>227.8</v>
      </c>
      <c r="AL23" s="37">
        <v>231.7</v>
      </c>
      <c r="AM23" s="37">
        <v>237.6</v>
      </c>
      <c r="AN23" s="37">
        <v>243.7</v>
      </c>
      <c r="AO23" s="37">
        <v>249.3</v>
      </c>
      <c r="AP23" s="37">
        <v>261.10000000000002</v>
      </c>
      <c r="AQ23" s="37">
        <v>276.5</v>
      </c>
      <c r="AR23" s="37">
        <v>276.10000000000002</v>
      </c>
      <c r="AS23" s="37">
        <v>285.8</v>
      </c>
      <c r="AT23" s="37">
        <v>297.2</v>
      </c>
      <c r="AU23" s="37">
        <v>311.89999999999998</v>
      </c>
      <c r="AV23" s="37">
        <v>317.39999999999998</v>
      </c>
      <c r="AW23" s="37">
        <v>329.3</v>
      </c>
      <c r="AX23" s="37">
        <v>334.9</v>
      </c>
      <c r="AY23" s="37">
        <v>342.9</v>
      </c>
      <c r="AZ23" s="37">
        <v>351.5</v>
      </c>
      <c r="BA23" s="37">
        <v>364.1</v>
      </c>
      <c r="BB23" s="37">
        <v>370.5</v>
      </c>
      <c r="BC23" s="37">
        <v>380.3</v>
      </c>
      <c r="BD23" s="37">
        <v>394.4</v>
      </c>
      <c r="BE23" s="37">
        <v>384.2</v>
      </c>
      <c r="BF23" s="37">
        <v>392.4</v>
      </c>
      <c r="BG23" s="37">
        <v>408.3</v>
      </c>
      <c r="BH23" s="37">
        <v>414</v>
      </c>
      <c r="BI23" s="37">
        <v>432.5</v>
      </c>
      <c r="BJ23" s="37">
        <v>434.8</v>
      </c>
      <c r="BK23" s="37">
        <v>447.3</v>
      </c>
      <c r="BL23" s="37">
        <v>463.1</v>
      </c>
      <c r="BM23" s="37">
        <v>466.4</v>
      </c>
      <c r="BN23" s="37">
        <v>464</v>
      </c>
      <c r="BO23" s="37">
        <v>477.8</v>
      </c>
      <c r="BP23" s="37">
        <v>495.1</v>
      </c>
      <c r="BQ23" s="37">
        <v>489.8</v>
      </c>
      <c r="BR23" s="37">
        <v>492.1</v>
      </c>
      <c r="BS23" s="37">
        <v>501.2</v>
      </c>
      <c r="BT23" s="37">
        <v>504.1</v>
      </c>
      <c r="BU23" s="37">
        <v>513.70000000000005</v>
      </c>
      <c r="BV23" s="37">
        <v>505.8</v>
      </c>
      <c r="BW23" s="37">
        <v>506.9</v>
      </c>
      <c r="BX23" s="37">
        <v>507.4</v>
      </c>
      <c r="BY23" s="37">
        <v>525.6</v>
      </c>
      <c r="BZ23" s="37">
        <v>519.9</v>
      </c>
      <c r="CA23" s="37">
        <v>534.29999999999995</v>
      </c>
      <c r="CB23" s="37">
        <v>541.4</v>
      </c>
      <c r="CC23" s="37">
        <v>540.79999999999995</v>
      </c>
      <c r="CD23" s="37">
        <v>553.70000000000005</v>
      </c>
      <c r="CE23" s="37">
        <v>563.9</v>
      </c>
      <c r="CF23" s="37">
        <v>562.20000000000005</v>
      </c>
      <c r="CG23" s="37">
        <v>569.70000000000005</v>
      </c>
      <c r="CH23" s="37">
        <v>581.4</v>
      </c>
      <c r="CI23" s="37">
        <v>586.6</v>
      </c>
      <c r="CJ23" s="37">
        <v>586.29999999999995</v>
      </c>
      <c r="CK23" s="37">
        <v>577.4</v>
      </c>
      <c r="CL23" s="37">
        <v>580.29999999999995</v>
      </c>
      <c r="CM23" s="37">
        <v>580.9</v>
      </c>
      <c r="CN23" s="37">
        <v>594.20000000000005</v>
      </c>
      <c r="CO23" s="37">
        <v>598.4</v>
      </c>
      <c r="CP23" s="37">
        <v>580.29999999999995</v>
      </c>
      <c r="CQ23" s="37">
        <v>576.70000000000005</v>
      </c>
      <c r="CR23" s="37">
        <v>578.70000000000005</v>
      </c>
      <c r="CS23" s="37">
        <v>584.9</v>
      </c>
      <c r="CT23" s="37">
        <v>567</v>
      </c>
      <c r="CU23" s="37">
        <v>569.4</v>
      </c>
      <c r="CV23" s="37">
        <v>586.5</v>
      </c>
      <c r="CW23" s="37">
        <v>575.79999999999995</v>
      </c>
      <c r="CX23" s="37">
        <v>579.1</v>
      </c>
      <c r="CY23" s="37">
        <v>581</v>
      </c>
      <c r="CZ23" s="37">
        <v>579.29999999999995</v>
      </c>
      <c r="DA23" s="37">
        <v>567.29999999999995</v>
      </c>
      <c r="DB23" s="37">
        <v>579.79999999999995</v>
      </c>
      <c r="DC23" s="37">
        <v>582.1</v>
      </c>
      <c r="DD23" s="37">
        <v>577.79999999999995</v>
      </c>
      <c r="DE23" s="37">
        <v>576.9</v>
      </c>
      <c r="DF23" s="37">
        <v>570.70000000000005</v>
      </c>
      <c r="DG23" s="37">
        <v>587.20000000000005</v>
      </c>
      <c r="DH23" s="37">
        <v>586</v>
      </c>
      <c r="DI23" s="37">
        <v>589.20000000000005</v>
      </c>
      <c r="DJ23" s="37">
        <v>572.20000000000005</v>
      </c>
      <c r="DK23" s="37">
        <v>587.1</v>
      </c>
      <c r="DL23" s="37">
        <v>588.6</v>
      </c>
      <c r="DM23" s="37">
        <v>594.20000000000005</v>
      </c>
      <c r="DN23" s="37">
        <v>595.1</v>
      </c>
      <c r="DO23" s="37">
        <v>599.20000000000005</v>
      </c>
      <c r="DP23" s="37">
        <v>614.20000000000005</v>
      </c>
      <c r="DQ23" s="37">
        <v>634.29999999999995</v>
      </c>
      <c r="DR23" s="37">
        <v>619.4</v>
      </c>
      <c r="DS23" s="37">
        <v>641.20000000000005</v>
      </c>
      <c r="DT23" s="37">
        <v>633.6</v>
      </c>
      <c r="DU23" s="37">
        <v>638.20000000000005</v>
      </c>
      <c r="DV23" s="37">
        <v>653.29999999999995</v>
      </c>
      <c r="DW23" s="37">
        <v>666.2</v>
      </c>
      <c r="DX23" s="37">
        <v>674.4</v>
      </c>
      <c r="DY23" s="37">
        <v>686.9</v>
      </c>
      <c r="DZ23" s="37">
        <v>714</v>
      </c>
      <c r="EA23" s="37">
        <v>734.8</v>
      </c>
      <c r="EB23" s="37">
        <v>748.4</v>
      </c>
      <c r="EC23" s="37">
        <v>775.2</v>
      </c>
      <c r="ED23" s="37">
        <v>792.7</v>
      </c>
      <c r="EE23" s="37">
        <v>826</v>
      </c>
      <c r="EF23" s="37">
        <v>833.3</v>
      </c>
      <c r="EG23" s="37">
        <v>855.1</v>
      </c>
      <c r="EH23" s="37">
        <v>871.8</v>
      </c>
      <c r="EI23" s="37">
        <v>884.6</v>
      </c>
      <c r="EJ23" s="37">
        <v>902.5</v>
      </c>
      <c r="EK23" s="37">
        <v>909.6</v>
      </c>
      <c r="EL23" s="37">
        <v>931.8</v>
      </c>
      <c r="EM23" s="37">
        <v>939.3</v>
      </c>
      <c r="EN23" s="37">
        <v>956.4</v>
      </c>
      <c r="EO23" s="37">
        <v>963.7</v>
      </c>
      <c r="EP23" s="37">
        <v>997.1</v>
      </c>
      <c r="EQ23" s="37">
        <v>997.2</v>
      </c>
      <c r="ER23" s="37">
        <v>995.4</v>
      </c>
      <c r="ES23" s="37">
        <v>1015.1</v>
      </c>
      <c r="ET23" s="37">
        <v>1017.5</v>
      </c>
      <c r="EU23" s="37">
        <v>1042.5</v>
      </c>
      <c r="EV23" s="37">
        <v>1058.8</v>
      </c>
      <c r="EW23" s="37">
        <v>1085.3</v>
      </c>
      <c r="EX23" s="37">
        <v>1111.2</v>
      </c>
      <c r="EY23" s="37">
        <v>1146.5999999999999</v>
      </c>
      <c r="EZ23" s="37">
        <v>1170.2</v>
      </c>
      <c r="FA23" s="37">
        <v>1179.8</v>
      </c>
      <c r="FB23" s="37">
        <v>1185.2</v>
      </c>
      <c r="FC23" s="37">
        <v>1213.5</v>
      </c>
      <c r="FD23" s="37">
        <v>1228.3</v>
      </c>
      <c r="FE23" s="37">
        <v>1256.2</v>
      </c>
      <c r="FF23" s="37">
        <v>1278.4000000000001</v>
      </c>
      <c r="FG23" s="37">
        <v>1305.0999999999999</v>
      </c>
      <c r="FH23" s="37">
        <v>1304.3</v>
      </c>
      <c r="FI23" s="37">
        <v>1312.9</v>
      </c>
      <c r="FJ23" s="37">
        <v>1306</v>
      </c>
      <c r="FK23" s="37">
        <v>1312.7</v>
      </c>
      <c r="FL23" s="37">
        <v>1288.7</v>
      </c>
      <c r="FM23" s="37">
        <v>1291.7</v>
      </c>
      <c r="FN23" s="37">
        <v>1296.0999999999999</v>
      </c>
      <c r="FO23" s="37">
        <v>1288.5999999999999</v>
      </c>
      <c r="FP23" s="37">
        <v>1293.8</v>
      </c>
      <c r="FQ23" s="37">
        <v>1269.5</v>
      </c>
      <c r="FR23" s="37">
        <v>1240.5</v>
      </c>
      <c r="FS23" s="37">
        <v>1232.9000000000001</v>
      </c>
      <c r="FT23" s="37">
        <v>1219</v>
      </c>
      <c r="FU23" s="37">
        <v>1216.3</v>
      </c>
      <c r="FV23" s="37">
        <v>1211.8</v>
      </c>
      <c r="FW23" s="37">
        <v>1210</v>
      </c>
      <c r="FX23" s="37">
        <v>1229.3</v>
      </c>
      <c r="FY23" s="37">
        <v>1212.9000000000001</v>
      </c>
      <c r="FZ23" s="37">
        <v>1216</v>
      </c>
      <c r="GA23" s="37">
        <v>1220.5999999999999</v>
      </c>
      <c r="GB23" s="37">
        <v>1221.2</v>
      </c>
      <c r="GC23" s="37">
        <v>1229.3</v>
      </c>
      <c r="GD23" s="37">
        <v>1229.3</v>
      </c>
      <c r="GE23" s="37">
        <v>1225.8</v>
      </c>
      <c r="GF23" s="37">
        <v>1238.0999999999999</v>
      </c>
      <c r="GG23" s="37">
        <v>1244.8</v>
      </c>
      <c r="GH23" s="37">
        <v>1246.3</v>
      </c>
      <c r="GI23" s="37">
        <v>1257.0999999999999</v>
      </c>
      <c r="GJ23" s="37">
        <v>1260.5999999999999</v>
      </c>
      <c r="GK23" s="37">
        <v>1285.5999999999999</v>
      </c>
      <c r="GL23" s="37">
        <v>1306</v>
      </c>
      <c r="GM23" s="37">
        <v>1326.3</v>
      </c>
      <c r="GN23" s="37">
        <v>1351.2</v>
      </c>
      <c r="GO23" s="37">
        <v>1368.3</v>
      </c>
      <c r="GP23" s="37">
        <v>1393</v>
      </c>
      <c r="GQ23" s="37">
        <v>1405.2</v>
      </c>
      <c r="GR23" s="37">
        <v>1425.7</v>
      </c>
      <c r="GS23" s="37">
        <v>1437.7</v>
      </c>
      <c r="GT23" s="37">
        <v>1455.6</v>
      </c>
      <c r="GU23" s="37">
        <v>1560</v>
      </c>
      <c r="GV23" s="37">
        <v>1525.3</v>
      </c>
      <c r="GW23" s="37">
        <v>1541.3</v>
      </c>
      <c r="GX23" s="37">
        <v>1620.3</v>
      </c>
      <c r="GY23" s="37">
        <v>1608</v>
      </c>
      <c r="GZ23" s="37">
        <v>1595.5</v>
      </c>
      <c r="HA23" s="37">
        <v>1612.8</v>
      </c>
      <c r="HB23" s="37">
        <v>1613.1</v>
      </c>
      <c r="HC23">
        <v>1622.7</v>
      </c>
      <c r="HD23">
        <v>1656.9</v>
      </c>
    </row>
    <row r="24" spans="1:212" x14ac:dyDescent="0.3">
      <c r="A24" s="37" t="s">
        <v>1782</v>
      </c>
      <c r="B24" s="37">
        <v>114.3</v>
      </c>
      <c r="C24" s="37">
        <v>117.4</v>
      </c>
      <c r="D24" s="37">
        <v>122.2</v>
      </c>
      <c r="E24" s="37">
        <v>125.2</v>
      </c>
      <c r="F24" s="37">
        <v>128.6</v>
      </c>
      <c r="G24" s="37">
        <v>131.9</v>
      </c>
      <c r="H24" s="37">
        <v>134.19999999999999</v>
      </c>
      <c r="I24" s="37">
        <v>137.4</v>
      </c>
      <c r="J24" s="37">
        <v>140.80000000000001</v>
      </c>
      <c r="K24" s="37">
        <v>142.19999999999999</v>
      </c>
      <c r="L24" s="37">
        <v>145.6</v>
      </c>
      <c r="M24" s="37">
        <v>149.6</v>
      </c>
      <c r="N24" s="37">
        <v>153.19999999999999</v>
      </c>
      <c r="O24" s="37">
        <v>156.19999999999999</v>
      </c>
      <c r="P24" s="37">
        <v>159.9</v>
      </c>
      <c r="Q24" s="37">
        <v>165</v>
      </c>
      <c r="R24" s="37">
        <v>171.9</v>
      </c>
      <c r="S24" s="37">
        <v>180.1</v>
      </c>
      <c r="T24" s="37">
        <v>186.3</v>
      </c>
      <c r="U24" s="37">
        <v>191.9</v>
      </c>
      <c r="V24" s="37">
        <v>201.5</v>
      </c>
      <c r="W24" s="37">
        <v>204</v>
      </c>
      <c r="X24" s="37">
        <v>209.3</v>
      </c>
      <c r="Y24" s="37">
        <v>214.8</v>
      </c>
      <c r="Z24" s="37">
        <v>219.7</v>
      </c>
      <c r="AA24" s="37">
        <v>218.5</v>
      </c>
      <c r="AB24" s="37">
        <v>218.6</v>
      </c>
      <c r="AC24" s="37">
        <v>220.6</v>
      </c>
      <c r="AD24" s="37">
        <v>227</v>
      </c>
      <c r="AE24" s="37">
        <v>232.4</v>
      </c>
      <c r="AF24" s="37">
        <v>236.1</v>
      </c>
      <c r="AG24" s="37">
        <v>240.5</v>
      </c>
      <c r="AH24" s="37">
        <v>243.8</v>
      </c>
      <c r="AI24" s="37">
        <v>255.3</v>
      </c>
      <c r="AJ24" s="37">
        <v>262.2</v>
      </c>
      <c r="AK24" s="37">
        <v>268.39999999999998</v>
      </c>
      <c r="AL24" s="37">
        <v>270.10000000000002</v>
      </c>
      <c r="AM24" s="37">
        <v>278.89999999999998</v>
      </c>
      <c r="AN24" s="37">
        <v>289.39999999999998</v>
      </c>
      <c r="AO24" s="37">
        <v>298.39999999999998</v>
      </c>
      <c r="AP24" s="37">
        <v>307.7</v>
      </c>
      <c r="AQ24" s="37">
        <v>312</v>
      </c>
      <c r="AR24" s="37">
        <v>316.10000000000002</v>
      </c>
      <c r="AS24" s="37">
        <v>323.10000000000002</v>
      </c>
      <c r="AT24" s="37">
        <v>336.1</v>
      </c>
      <c r="AU24" s="37">
        <v>336.8</v>
      </c>
      <c r="AV24" s="37">
        <v>340.3</v>
      </c>
      <c r="AW24" s="37">
        <v>348.4</v>
      </c>
      <c r="AX24" s="37">
        <v>353.2</v>
      </c>
      <c r="AY24" s="37">
        <v>360.2</v>
      </c>
      <c r="AZ24" s="37">
        <v>365.8</v>
      </c>
      <c r="BA24" s="37">
        <v>373.3</v>
      </c>
      <c r="BB24" s="37">
        <v>377.4</v>
      </c>
      <c r="BC24" s="37">
        <v>380.7</v>
      </c>
      <c r="BD24" s="37">
        <v>387.8</v>
      </c>
      <c r="BE24" s="37">
        <v>390.9</v>
      </c>
      <c r="BF24" s="37">
        <v>401.6</v>
      </c>
      <c r="BG24" s="37">
        <v>410.8</v>
      </c>
      <c r="BH24" s="37">
        <v>421.7</v>
      </c>
      <c r="BI24" s="37">
        <v>430.2</v>
      </c>
      <c r="BJ24" s="37">
        <v>440.8</v>
      </c>
      <c r="BK24" s="37">
        <v>453.2</v>
      </c>
      <c r="BL24" s="37">
        <v>464.3</v>
      </c>
      <c r="BM24" s="37">
        <v>472.1</v>
      </c>
      <c r="BN24" s="37">
        <v>482.8</v>
      </c>
      <c r="BO24" s="37">
        <v>489.7</v>
      </c>
      <c r="BP24" s="37">
        <v>498.5</v>
      </c>
      <c r="BQ24" s="37">
        <v>506.6</v>
      </c>
      <c r="BR24" s="37">
        <v>516.5</v>
      </c>
      <c r="BS24" s="37">
        <v>524</v>
      </c>
      <c r="BT24" s="37">
        <v>532.1</v>
      </c>
      <c r="BU24" s="37">
        <v>542.29999999999995</v>
      </c>
      <c r="BV24" s="37">
        <v>551.1</v>
      </c>
      <c r="BW24" s="37">
        <v>563.5</v>
      </c>
      <c r="BX24" s="37">
        <v>570.79999999999995</v>
      </c>
      <c r="BY24" s="37">
        <v>584.29999999999995</v>
      </c>
      <c r="BZ24" s="37">
        <v>596.70000000000005</v>
      </c>
      <c r="CA24" s="37">
        <v>611.5</v>
      </c>
      <c r="CB24" s="37">
        <v>623.20000000000005</v>
      </c>
      <c r="CC24" s="37">
        <v>639.70000000000005</v>
      </c>
      <c r="CD24" s="37">
        <v>658.8</v>
      </c>
      <c r="CE24" s="37">
        <v>666.8</v>
      </c>
      <c r="CF24" s="37">
        <v>680.3</v>
      </c>
      <c r="CG24" s="37">
        <v>698.8</v>
      </c>
      <c r="CH24" s="37">
        <v>702.8</v>
      </c>
      <c r="CI24" s="37">
        <v>709.9</v>
      </c>
      <c r="CJ24" s="37">
        <v>719.9</v>
      </c>
      <c r="CK24" s="37">
        <v>731.4</v>
      </c>
      <c r="CL24" s="37">
        <v>746.1</v>
      </c>
      <c r="CM24" s="37">
        <v>753.9</v>
      </c>
      <c r="CN24" s="37">
        <v>759.8</v>
      </c>
      <c r="CO24" s="37">
        <v>764.4</v>
      </c>
      <c r="CP24" s="37">
        <v>771.5</v>
      </c>
      <c r="CQ24" s="37">
        <v>782.3</v>
      </c>
      <c r="CR24" s="37">
        <v>788.7</v>
      </c>
      <c r="CS24" s="37">
        <v>796.5</v>
      </c>
      <c r="CT24" s="37">
        <v>806.3</v>
      </c>
      <c r="CU24" s="37">
        <v>820</v>
      </c>
      <c r="CV24" s="37">
        <v>836.9</v>
      </c>
      <c r="CW24" s="37">
        <v>847.1</v>
      </c>
      <c r="CX24" s="37">
        <v>858.5</v>
      </c>
      <c r="CY24" s="37">
        <v>871.9</v>
      </c>
      <c r="CZ24" s="37">
        <v>876.3</v>
      </c>
      <c r="DA24" s="37">
        <v>884.3</v>
      </c>
      <c r="DB24" s="37">
        <v>891.5</v>
      </c>
      <c r="DC24" s="37">
        <v>905.5</v>
      </c>
      <c r="DD24" s="37">
        <v>919</v>
      </c>
      <c r="DE24" s="37">
        <v>938.8</v>
      </c>
      <c r="DF24" s="37">
        <v>945.3</v>
      </c>
      <c r="DG24" s="37">
        <v>955.4</v>
      </c>
      <c r="DH24" s="37">
        <v>969.2</v>
      </c>
      <c r="DI24" s="37">
        <v>985.6</v>
      </c>
      <c r="DJ24" s="37">
        <v>995.9</v>
      </c>
      <c r="DK24" s="37">
        <v>1016.6</v>
      </c>
      <c r="DL24" s="37">
        <v>1038.5999999999999</v>
      </c>
      <c r="DM24" s="37">
        <v>1053.2</v>
      </c>
      <c r="DN24" s="37">
        <v>1074</v>
      </c>
      <c r="DO24" s="37">
        <v>1095.5</v>
      </c>
      <c r="DP24" s="37">
        <v>1119.8</v>
      </c>
      <c r="DQ24" s="37">
        <v>1147.4000000000001</v>
      </c>
      <c r="DR24" s="37">
        <v>1170.5</v>
      </c>
      <c r="DS24" s="37">
        <v>1181.3</v>
      </c>
      <c r="DT24" s="37">
        <v>1198.5</v>
      </c>
      <c r="DU24" s="37">
        <v>1223.0999999999999</v>
      </c>
      <c r="DV24" s="37">
        <v>1253</v>
      </c>
      <c r="DW24" s="37">
        <v>1281.5</v>
      </c>
      <c r="DX24" s="37">
        <v>1279</v>
      </c>
      <c r="DY24" s="37">
        <v>1305.9000000000001</v>
      </c>
      <c r="DZ24" s="37">
        <v>1326</v>
      </c>
      <c r="EA24" s="37">
        <v>1339.7</v>
      </c>
      <c r="EB24" s="37">
        <v>1352.9</v>
      </c>
      <c r="EC24" s="37">
        <v>1367</v>
      </c>
      <c r="ED24" s="37">
        <v>1379.3</v>
      </c>
      <c r="EE24" s="37">
        <v>1372.8</v>
      </c>
      <c r="EF24" s="37">
        <v>1387.2</v>
      </c>
      <c r="EG24" s="37">
        <v>1396</v>
      </c>
      <c r="EH24" s="37">
        <v>1414.8</v>
      </c>
      <c r="EI24" s="37">
        <v>1436.1</v>
      </c>
      <c r="EJ24" s="37">
        <v>1453.9</v>
      </c>
      <c r="EK24" s="37">
        <v>1479.2</v>
      </c>
      <c r="EL24" s="37">
        <v>1494.3</v>
      </c>
      <c r="EM24" s="37">
        <v>1513</v>
      </c>
      <c r="EN24" s="37">
        <v>1538</v>
      </c>
      <c r="EO24" s="37">
        <v>1564.8</v>
      </c>
      <c r="EP24" s="37">
        <v>1583</v>
      </c>
      <c r="EQ24" s="37">
        <v>1613.4</v>
      </c>
      <c r="ER24" s="37">
        <v>1634.8</v>
      </c>
      <c r="ES24" s="37">
        <v>1659.4</v>
      </c>
      <c r="ET24" s="37">
        <v>1700.9</v>
      </c>
      <c r="EU24" s="37">
        <v>1727.5</v>
      </c>
      <c r="EV24" s="37">
        <v>1749.9</v>
      </c>
      <c r="EW24" s="37">
        <v>1779.8</v>
      </c>
      <c r="EX24" s="37">
        <v>1798.5</v>
      </c>
      <c r="EY24" s="37">
        <v>1825</v>
      </c>
      <c r="EZ24" s="37">
        <v>1858.8</v>
      </c>
      <c r="FA24" s="37">
        <v>1842</v>
      </c>
      <c r="FB24" s="37">
        <v>1836.8</v>
      </c>
      <c r="FC24" s="37">
        <v>1857</v>
      </c>
      <c r="FD24" s="37">
        <v>1863.8</v>
      </c>
      <c r="FE24" s="37">
        <v>1864.6</v>
      </c>
      <c r="FF24" s="37">
        <v>1855.5</v>
      </c>
      <c r="FG24" s="37">
        <v>1860.7</v>
      </c>
      <c r="FH24" s="37">
        <v>1854</v>
      </c>
      <c r="FI24" s="37">
        <v>1851.4</v>
      </c>
      <c r="FJ24" s="37">
        <v>1849.8</v>
      </c>
      <c r="FK24" s="37">
        <v>1855.5</v>
      </c>
      <c r="FL24" s="37">
        <v>1848.3</v>
      </c>
      <c r="FM24" s="37">
        <v>1839.1</v>
      </c>
      <c r="FN24" s="37">
        <v>1847.9</v>
      </c>
      <c r="FO24" s="37">
        <v>1841.8</v>
      </c>
      <c r="FP24" s="37">
        <v>1845.3</v>
      </c>
      <c r="FQ24" s="37">
        <v>1862.7</v>
      </c>
      <c r="FR24" s="37">
        <v>1884.9</v>
      </c>
      <c r="FS24" s="37">
        <v>1899.8</v>
      </c>
      <c r="FT24" s="37">
        <v>1915.8</v>
      </c>
      <c r="FU24" s="37">
        <v>1923</v>
      </c>
      <c r="FV24" s="37">
        <v>1926.4</v>
      </c>
      <c r="FW24" s="37">
        <v>1944.1</v>
      </c>
      <c r="FX24" s="37">
        <v>1962.5</v>
      </c>
      <c r="FY24" s="37">
        <v>1978.3</v>
      </c>
      <c r="FZ24" s="37">
        <v>1973.3</v>
      </c>
      <c r="GA24" s="37">
        <v>2011.4</v>
      </c>
      <c r="GB24" s="37">
        <v>2029.4</v>
      </c>
      <c r="GC24" s="37">
        <v>2025.2</v>
      </c>
      <c r="GD24" s="37">
        <v>2040.9</v>
      </c>
      <c r="GE24" s="37">
        <v>2061.6</v>
      </c>
      <c r="GF24" s="37">
        <v>2077.6999999999998</v>
      </c>
      <c r="GG24" s="37">
        <v>2094</v>
      </c>
      <c r="GH24" s="37">
        <v>2109</v>
      </c>
      <c r="GI24" s="37">
        <v>2114.1999999999998</v>
      </c>
      <c r="GJ24" s="37">
        <v>2134.5</v>
      </c>
      <c r="GK24" s="37">
        <v>2172.1</v>
      </c>
      <c r="GL24" s="37">
        <v>2197.4</v>
      </c>
      <c r="GM24" s="37">
        <v>2235.4</v>
      </c>
      <c r="GN24" s="37">
        <v>2262.4</v>
      </c>
      <c r="GO24" s="37">
        <v>2268</v>
      </c>
      <c r="GP24" s="37">
        <v>2295.3000000000002</v>
      </c>
      <c r="GQ24" s="37">
        <v>2339.1999999999998</v>
      </c>
      <c r="GR24" s="37">
        <v>2359.4</v>
      </c>
      <c r="GS24" s="37">
        <v>2384.1999999999998</v>
      </c>
      <c r="GT24" s="37">
        <v>2427.4</v>
      </c>
      <c r="GU24" s="37">
        <v>2391.8000000000002</v>
      </c>
      <c r="GV24" s="37">
        <v>2397.6</v>
      </c>
      <c r="GW24" s="37">
        <v>2416.5</v>
      </c>
      <c r="GX24" s="37">
        <v>2468.4</v>
      </c>
      <c r="GY24" s="37">
        <v>2516.4</v>
      </c>
      <c r="GZ24" s="37">
        <v>2587.6</v>
      </c>
      <c r="HA24" s="37">
        <v>2633.9</v>
      </c>
      <c r="HB24" s="37">
        <v>2698.2</v>
      </c>
      <c r="HC24">
        <v>2790</v>
      </c>
      <c r="HD24">
        <v>2829.6</v>
      </c>
    </row>
    <row r="25" spans="1:212" x14ac:dyDescent="0.3">
      <c r="A25" s="37" t="s">
        <v>1783</v>
      </c>
      <c r="B25" s="37">
        <v>714</v>
      </c>
      <c r="C25" s="37">
        <v>695.2</v>
      </c>
      <c r="D25" s="37">
        <v>686.7</v>
      </c>
      <c r="E25" s="37">
        <v>684.1</v>
      </c>
      <c r="F25" s="37">
        <v>662.1</v>
      </c>
      <c r="G25" s="37">
        <v>654.4</v>
      </c>
      <c r="H25" s="37">
        <v>651.5</v>
      </c>
      <c r="I25" s="37">
        <v>634.4</v>
      </c>
      <c r="J25" s="37">
        <v>639.70000000000005</v>
      </c>
      <c r="K25" s="37">
        <v>645.9</v>
      </c>
      <c r="L25" s="37">
        <v>616.29999999999995</v>
      </c>
      <c r="M25" s="37">
        <v>617.9</v>
      </c>
      <c r="N25" s="37">
        <v>625.9</v>
      </c>
      <c r="O25" s="37">
        <v>615.79999999999995</v>
      </c>
      <c r="P25" s="37">
        <v>594</v>
      </c>
      <c r="Q25" s="37">
        <v>595.4</v>
      </c>
      <c r="R25" s="37">
        <v>609.70000000000005</v>
      </c>
      <c r="S25" s="37">
        <v>607.6</v>
      </c>
      <c r="T25" s="37">
        <v>611.5</v>
      </c>
      <c r="U25" s="37">
        <v>617.6</v>
      </c>
      <c r="V25" s="37">
        <v>611.1</v>
      </c>
      <c r="W25" s="37">
        <v>605</v>
      </c>
      <c r="X25" s="37">
        <v>620.6</v>
      </c>
      <c r="Y25" s="37">
        <v>622.70000000000005</v>
      </c>
      <c r="Z25" s="37">
        <v>616.5</v>
      </c>
      <c r="AA25" s="37">
        <v>614.4</v>
      </c>
      <c r="AB25" s="37">
        <v>615.29999999999995</v>
      </c>
      <c r="AC25" s="37">
        <v>616.70000000000005</v>
      </c>
      <c r="AD25" s="37">
        <v>620.9</v>
      </c>
      <c r="AE25" s="37">
        <v>628.79999999999995</v>
      </c>
      <c r="AF25" s="37">
        <v>635.1</v>
      </c>
      <c r="AG25" s="37">
        <v>630.70000000000005</v>
      </c>
      <c r="AH25" s="37">
        <v>631.1</v>
      </c>
      <c r="AI25" s="37">
        <v>643.29999999999995</v>
      </c>
      <c r="AJ25" s="37">
        <v>647.5</v>
      </c>
      <c r="AK25" s="37">
        <v>653</v>
      </c>
      <c r="AL25" s="37">
        <v>652</v>
      </c>
      <c r="AM25" s="37">
        <v>658.6</v>
      </c>
      <c r="AN25" s="37">
        <v>660.2</v>
      </c>
      <c r="AO25" s="37">
        <v>660.9</v>
      </c>
      <c r="AP25" s="37">
        <v>678.5</v>
      </c>
      <c r="AQ25" s="37">
        <v>691.9</v>
      </c>
      <c r="AR25" s="37">
        <v>684</v>
      </c>
      <c r="AS25" s="37">
        <v>687.4</v>
      </c>
      <c r="AT25" s="37">
        <v>700.9</v>
      </c>
      <c r="AU25" s="37">
        <v>718.9</v>
      </c>
      <c r="AV25" s="37">
        <v>715.9</v>
      </c>
      <c r="AW25" s="37">
        <v>728.8</v>
      </c>
      <c r="AX25" s="37">
        <v>729.3</v>
      </c>
      <c r="AY25" s="37">
        <v>732.3</v>
      </c>
      <c r="AZ25" s="37">
        <v>744.3</v>
      </c>
      <c r="BA25" s="37">
        <v>761.9</v>
      </c>
      <c r="BB25" s="37">
        <v>773.9</v>
      </c>
      <c r="BC25" s="37">
        <v>788.3</v>
      </c>
      <c r="BD25" s="37">
        <v>808.7</v>
      </c>
      <c r="BE25" s="37">
        <v>782.5</v>
      </c>
      <c r="BF25" s="37">
        <v>789.2</v>
      </c>
      <c r="BG25" s="37">
        <v>813.1</v>
      </c>
      <c r="BH25" s="37">
        <v>812.3</v>
      </c>
      <c r="BI25" s="37">
        <v>838.4</v>
      </c>
      <c r="BJ25" s="37">
        <v>846</v>
      </c>
      <c r="BK25" s="37">
        <v>868.3</v>
      </c>
      <c r="BL25" s="37">
        <v>894.2</v>
      </c>
      <c r="BM25" s="37">
        <v>894.7</v>
      </c>
      <c r="BN25" s="37">
        <v>892.2</v>
      </c>
      <c r="BO25" s="37">
        <v>921.1</v>
      </c>
      <c r="BP25" s="37">
        <v>953</v>
      </c>
      <c r="BQ25" s="37">
        <v>941.8</v>
      </c>
      <c r="BR25" s="37">
        <v>947.9</v>
      </c>
      <c r="BS25" s="37">
        <v>960.8</v>
      </c>
      <c r="BT25" s="37">
        <v>959.5</v>
      </c>
      <c r="BU25" s="37">
        <v>975.7</v>
      </c>
      <c r="BV25" s="37">
        <v>947.7</v>
      </c>
      <c r="BW25" s="37">
        <v>940.6</v>
      </c>
      <c r="BX25" s="37">
        <v>936.1</v>
      </c>
      <c r="BY25" s="37">
        <v>962.1</v>
      </c>
      <c r="BZ25" s="37">
        <v>944.5</v>
      </c>
      <c r="CA25" s="37">
        <v>963.7</v>
      </c>
      <c r="CB25" s="37">
        <v>971.6</v>
      </c>
      <c r="CC25" s="37">
        <v>967.1</v>
      </c>
      <c r="CD25" s="37">
        <v>983.2</v>
      </c>
      <c r="CE25" s="37">
        <v>984.5</v>
      </c>
      <c r="CF25" s="37">
        <v>980.1</v>
      </c>
      <c r="CG25" s="37">
        <v>981.3</v>
      </c>
      <c r="CH25" s="37">
        <v>992.5</v>
      </c>
      <c r="CI25" s="37">
        <v>996.6</v>
      </c>
      <c r="CJ25" s="37">
        <v>983.4</v>
      </c>
      <c r="CK25" s="37">
        <v>958.8</v>
      </c>
      <c r="CL25" s="37">
        <v>962.4</v>
      </c>
      <c r="CM25" s="37">
        <v>959.9</v>
      </c>
      <c r="CN25" s="37">
        <v>973.4</v>
      </c>
      <c r="CO25" s="37">
        <v>974.1</v>
      </c>
      <c r="CP25" s="37">
        <v>942.2</v>
      </c>
      <c r="CQ25" s="37">
        <v>932.3</v>
      </c>
      <c r="CR25" s="37">
        <v>928.8</v>
      </c>
      <c r="CS25" s="37">
        <v>930.4</v>
      </c>
      <c r="CT25" s="37">
        <v>897.9</v>
      </c>
      <c r="CU25" s="37">
        <v>894.1</v>
      </c>
      <c r="CV25" s="37">
        <v>915.8</v>
      </c>
      <c r="CW25" s="37">
        <v>891.7</v>
      </c>
      <c r="CX25" s="37">
        <v>889.2</v>
      </c>
      <c r="CY25" s="37">
        <v>886.2</v>
      </c>
      <c r="CZ25" s="37">
        <v>879.1</v>
      </c>
      <c r="DA25" s="37">
        <v>849.1</v>
      </c>
      <c r="DB25" s="37">
        <v>865.9</v>
      </c>
      <c r="DC25" s="37">
        <v>874.1</v>
      </c>
      <c r="DD25" s="37">
        <v>862.5</v>
      </c>
      <c r="DE25" s="37">
        <v>858.3</v>
      </c>
      <c r="DF25" s="37">
        <v>846.2</v>
      </c>
      <c r="DG25" s="37">
        <v>865</v>
      </c>
      <c r="DH25" s="37">
        <v>861.3</v>
      </c>
      <c r="DI25" s="37">
        <v>859.9</v>
      </c>
      <c r="DJ25" s="37">
        <v>838.5</v>
      </c>
      <c r="DK25" s="37">
        <v>854.9</v>
      </c>
      <c r="DL25" s="37">
        <v>851.6</v>
      </c>
      <c r="DM25" s="37">
        <v>857</v>
      </c>
      <c r="DN25" s="37">
        <v>856.3</v>
      </c>
      <c r="DO25" s="37">
        <v>855.4</v>
      </c>
      <c r="DP25" s="37">
        <v>869</v>
      </c>
      <c r="DQ25" s="37">
        <v>886.8</v>
      </c>
      <c r="DR25" s="37">
        <v>857.6</v>
      </c>
      <c r="DS25" s="37">
        <v>884.1</v>
      </c>
      <c r="DT25" s="37">
        <v>867</v>
      </c>
      <c r="DU25" s="37">
        <v>868.9</v>
      </c>
      <c r="DV25" s="37">
        <v>887.5</v>
      </c>
      <c r="DW25" s="37">
        <v>900.4</v>
      </c>
      <c r="DX25" s="37">
        <v>905.8</v>
      </c>
      <c r="DY25" s="37">
        <v>916.6</v>
      </c>
      <c r="DZ25" s="37">
        <v>946.8</v>
      </c>
      <c r="EA25" s="37">
        <v>965.2</v>
      </c>
      <c r="EB25" s="37">
        <v>974.7</v>
      </c>
      <c r="EC25" s="37">
        <v>991.3</v>
      </c>
      <c r="ED25" s="37">
        <v>1002.5</v>
      </c>
      <c r="EE25" s="37">
        <v>1037.0999999999999</v>
      </c>
      <c r="EF25" s="37">
        <v>1036.8</v>
      </c>
      <c r="EG25" s="37">
        <v>1056.0999999999999</v>
      </c>
      <c r="EH25" s="37">
        <v>1067.5999999999999</v>
      </c>
      <c r="EI25" s="37">
        <v>1073.9000000000001</v>
      </c>
      <c r="EJ25" s="37">
        <v>1085.7</v>
      </c>
      <c r="EK25" s="37">
        <v>1083.7</v>
      </c>
      <c r="EL25" s="37">
        <v>1095.8</v>
      </c>
      <c r="EM25" s="37">
        <v>1094.5999999999999</v>
      </c>
      <c r="EN25" s="37">
        <v>1103.0999999999999</v>
      </c>
      <c r="EO25" s="37">
        <v>1103.5</v>
      </c>
      <c r="EP25" s="37">
        <v>1132.2</v>
      </c>
      <c r="EQ25" s="37">
        <v>1124.4000000000001</v>
      </c>
      <c r="ER25" s="37">
        <v>1114.3</v>
      </c>
      <c r="ES25" s="37">
        <v>1130.4000000000001</v>
      </c>
      <c r="ET25" s="37">
        <v>1123.7</v>
      </c>
      <c r="EU25" s="37">
        <v>1142.0999999999999</v>
      </c>
      <c r="EV25" s="37">
        <v>1152.0999999999999</v>
      </c>
      <c r="EW25" s="37">
        <v>1171.3</v>
      </c>
      <c r="EX25" s="37">
        <v>1189.0999999999999</v>
      </c>
      <c r="EY25" s="37">
        <v>1214.5</v>
      </c>
      <c r="EZ25" s="37">
        <v>1230.3</v>
      </c>
      <c r="FA25" s="37">
        <v>1246.3</v>
      </c>
      <c r="FB25" s="37">
        <v>1262.8</v>
      </c>
      <c r="FC25" s="37">
        <v>1292.8</v>
      </c>
      <c r="FD25" s="37">
        <v>1304.5999999999999</v>
      </c>
      <c r="FE25" s="37">
        <v>1324</v>
      </c>
      <c r="FF25" s="37">
        <v>1338.8</v>
      </c>
      <c r="FG25" s="37">
        <v>1356.4</v>
      </c>
      <c r="FH25" s="37">
        <v>1350.2</v>
      </c>
      <c r="FI25" s="37">
        <v>1348</v>
      </c>
      <c r="FJ25" s="37">
        <v>1329</v>
      </c>
      <c r="FK25" s="37">
        <v>1323.9</v>
      </c>
      <c r="FL25" s="37">
        <v>1295.0999999999999</v>
      </c>
      <c r="FM25" s="37">
        <v>1299.9000000000001</v>
      </c>
      <c r="FN25" s="37">
        <v>1299.9000000000001</v>
      </c>
      <c r="FO25" s="37">
        <v>1289.5</v>
      </c>
      <c r="FP25" s="37">
        <v>1292.2</v>
      </c>
      <c r="FQ25" s="37">
        <v>1266.4000000000001</v>
      </c>
      <c r="FR25" s="37">
        <v>1237.4000000000001</v>
      </c>
      <c r="FS25" s="37">
        <v>1227.4000000000001</v>
      </c>
      <c r="FT25" s="37">
        <v>1209.5999999999999</v>
      </c>
      <c r="FU25" s="37">
        <v>1188.9000000000001</v>
      </c>
      <c r="FV25" s="37">
        <v>1187.7</v>
      </c>
      <c r="FW25" s="37">
        <v>1180.7</v>
      </c>
      <c r="FX25" s="37">
        <v>1193.9000000000001</v>
      </c>
      <c r="FY25" s="37">
        <v>1176.5</v>
      </c>
      <c r="FZ25" s="37">
        <v>1181.3</v>
      </c>
      <c r="GA25" s="37">
        <v>1183.5</v>
      </c>
      <c r="GB25" s="37">
        <v>1182.3</v>
      </c>
      <c r="GC25" s="37">
        <v>1191.0999999999999</v>
      </c>
      <c r="GD25" s="37">
        <v>1194</v>
      </c>
      <c r="GE25" s="37">
        <v>1184.3</v>
      </c>
      <c r="GF25" s="37">
        <v>1191.5</v>
      </c>
      <c r="GG25" s="37">
        <v>1192.3</v>
      </c>
      <c r="GH25" s="37">
        <v>1188</v>
      </c>
      <c r="GI25" s="37">
        <v>1194.4000000000001</v>
      </c>
      <c r="GJ25" s="37">
        <v>1192.4000000000001</v>
      </c>
      <c r="GK25" s="37">
        <v>1207.4000000000001</v>
      </c>
      <c r="GL25" s="37">
        <v>1214.4000000000001</v>
      </c>
      <c r="GM25" s="37">
        <v>1224.2</v>
      </c>
      <c r="GN25" s="37">
        <v>1240.0999999999999</v>
      </c>
      <c r="GO25" s="37">
        <v>1246.5</v>
      </c>
      <c r="GP25" s="37">
        <v>1255.5999999999999</v>
      </c>
      <c r="GQ25" s="37">
        <v>1275</v>
      </c>
      <c r="GR25" s="37">
        <v>1290.4000000000001</v>
      </c>
      <c r="GS25" s="37">
        <v>1296.0999999999999</v>
      </c>
      <c r="GT25" s="37">
        <v>1307.9000000000001</v>
      </c>
      <c r="GU25" s="37">
        <v>1400.5</v>
      </c>
      <c r="GV25" s="37">
        <v>1360.6</v>
      </c>
      <c r="GW25" s="37">
        <v>1366.6</v>
      </c>
      <c r="GX25" s="37">
        <v>1422.1</v>
      </c>
      <c r="GY25" s="37">
        <v>1397.1</v>
      </c>
      <c r="GZ25" s="37">
        <v>1371.4</v>
      </c>
      <c r="HA25" s="37">
        <v>1371.5</v>
      </c>
      <c r="HB25" s="37">
        <v>1353</v>
      </c>
      <c r="HC25">
        <v>1341.3</v>
      </c>
      <c r="HD25">
        <v>1352.6</v>
      </c>
    </row>
    <row r="26" spans="1:212" x14ac:dyDescent="0.3">
      <c r="A26" s="37" t="s">
        <v>1784</v>
      </c>
      <c r="B26" s="37">
        <v>834.4</v>
      </c>
      <c r="C26" s="37">
        <v>838.9</v>
      </c>
      <c r="D26" s="37">
        <v>858.1</v>
      </c>
      <c r="E26" s="37">
        <v>862.4</v>
      </c>
      <c r="F26" s="37">
        <v>866</v>
      </c>
      <c r="G26" s="37">
        <v>872.4</v>
      </c>
      <c r="H26" s="37">
        <v>875.4</v>
      </c>
      <c r="I26" s="37">
        <v>886.4</v>
      </c>
      <c r="J26" s="37">
        <v>888.8</v>
      </c>
      <c r="K26" s="37">
        <v>887.3</v>
      </c>
      <c r="L26" s="37">
        <v>894.4</v>
      </c>
      <c r="M26" s="37">
        <v>906.7</v>
      </c>
      <c r="N26" s="37">
        <v>910.9</v>
      </c>
      <c r="O26" s="37">
        <v>912.4</v>
      </c>
      <c r="P26" s="37">
        <v>921.9</v>
      </c>
      <c r="Q26" s="37">
        <v>933.1</v>
      </c>
      <c r="R26" s="37">
        <v>944.9</v>
      </c>
      <c r="S26" s="37">
        <v>956.6</v>
      </c>
      <c r="T26" s="37">
        <v>954.8</v>
      </c>
      <c r="U26" s="37">
        <v>955.2</v>
      </c>
      <c r="V26" s="37">
        <v>983.4</v>
      </c>
      <c r="W26" s="37">
        <v>976.4</v>
      </c>
      <c r="X26" s="37">
        <v>988.9</v>
      </c>
      <c r="Y26" s="37">
        <v>1002.1</v>
      </c>
      <c r="Z26" s="37">
        <v>1013.3</v>
      </c>
      <c r="AA26" s="37">
        <v>995.6</v>
      </c>
      <c r="AB26" s="37">
        <v>989</v>
      </c>
      <c r="AC26" s="37">
        <v>986</v>
      </c>
      <c r="AD26" s="37">
        <v>995.8</v>
      </c>
      <c r="AE26" s="37">
        <v>1001.9</v>
      </c>
      <c r="AF26" s="37">
        <v>1000.8</v>
      </c>
      <c r="AG26" s="37">
        <v>1002.4</v>
      </c>
      <c r="AH26" s="37">
        <v>1002.2</v>
      </c>
      <c r="AI26" s="37">
        <v>1032.3</v>
      </c>
      <c r="AJ26" s="37">
        <v>1044.2</v>
      </c>
      <c r="AK26" s="37">
        <v>1054.0999999999999</v>
      </c>
      <c r="AL26" s="37">
        <v>1036.2</v>
      </c>
      <c r="AM26" s="37">
        <v>1046</v>
      </c>
      <c r="AN26" s="37">
        <v>1049.5999999999999</v>
      </c>
      <c r="AO26" s="37">
        <v>1061.4000000000001</v>
      </c>
      <c r="AP26" s="37">
        <v>1066.3</v>
      </c>
      <c r="AQ26" s="37">
        <v>1052.2</v>
      </c>
      <c r="AR26" s="37">
        <v>1035.9000000000001</v>
      </c>
      <c r="AS26" s="37">
        <v>1030.8</v>
      </c>
      <c r="AT26" s="37">
        <v>1038.9000000000001</v>
      </c>
      <c r="AU26" s="37">
        <v>1019</v>
      </c>
      <c r="AV26" s="37">
        <v>1016.1</v>
      </c>
      <c r="AW26" s="37">
        <v>1024</v>
      </c>
      <c r="AX26" s="37">
        <v>1021.2</v>
      </c>
      <c r="AY26" s="37">
        <v>1024.8</v>
      </c>
      <c r="AZ26" s="37">
        <v>1024.8</v>
      </c>
      <c r="BA26" s="37">
        <v>1032.5</v>
      </c>
      <c r="BB26" s="37">
        <v>1036.3</v>
      </c>
      <c r="BC26" s="37">
        <v>1034.2</v>
      </c>
      <c r="BD26" s="37">
        <v>1043.2</v>
      </c>
      <c r="BE26" s="37">
        <v>1043.9000000000001</v>
      </c>
      <c r="BF26" s="37">
        <v>1057.0999999999999</v>
      </c>
      <c r="BG26" s="37">
        <v>1071.2</v>
      </c>
      <c r="BH26" s="37">
        <v>1089.5</v>
      </c>
      <c r="BI26" s="37">
        <v>1100.5</v>
      </c>
      <c r="BJ26" s="37">
        <v>1114.4000000000001</v>
      </c>
      <c r="BK26" s="37">
        <v>1134.5999999999999</v>
      </c>
      <c r="BL26" s="37">
        <v>1152.7</v>
      </c>
      <c r="BM26" s="37">
        <v>1161.5</v>
      </c>
      <c r="BN26" s="37">
        <v>1182.9000000000001</v>
      </c>
      <c r="BO26" s="37">
        <v>1194.4000000000001</v>
      </c>
      <c r="BP26" s="37">
        <v>1205.5</v>
      </c>
      <c r="BQ26" s="37">
        <v>1209.5</v>
      </c>
      <c r="BR26" s="37">
        <v>1215.9000000000001</v>
      </c>
      <c r="BS26" s="37">
        <v>1218.5999999999999</v>
      </c>
      <c r="BT26" s="37">
        <v>1222.8</v>
      </c>
      <c r="BU26" s="37">
        <v>1238.9000000000001</v>
      </c>
      <c r="BV26" s="37">
        <v>1252.5999999999999</v>
      </c>
      <c r="BW26" s="37">
        <v>1268.4000000000001</v>
      </c>
      <c r="BX26" s="37">
        <v>1274.0999999999999</v>
      </c>
      <c r="BY26" s="37">
        <v>1289.4000000000001</v>
      </c>
      <c r="BZ26" s="37">
        <v>1299.8</v>
      </c>
      <c r="CA26" s="37">
        <v>1314.2</v>
      </c>
      <c r="CB26" s="37">
        <v>1326.9</v>
      </c>
      <c r="CC26" s="37">
        <v>1344.6</v>
      </c>
      <c r="CD26" s="37">
        <v>1365.4</v>
      </c>
      <c r="CE26" s="37">
        <v>1367.9</v>
      </c>
      <c r="CF26" s="37">
        <v>1377</v>
      </c>
      <c r="CG26" s="37">
        <v>1392.4</v>
      </c>
      <c r="CH26" s="37">
        <v>1394.5</v>
      </c>
      <c r="CI26" s="37">
        <v>1400.1</v>
      </c>
      <c r="CJ26" s="37">
        <v>1408.3</v>
      </c>
      <c r="CK26" s="37">
        <v>1418.2</v>
      </c>
      <c r="CL26" s="37">
        <v>1436.5</v>
      </c>
      <c r="CM26" s="37">
        <v>1434.4</v>
      </c>
      <c r="CN26" s="37">
        <v>1435</v>
      </c>
      <c r="CO26" s="37">
        <v>1433.9</v>
      </c>
      <c r="CP26" s="37">
        <v>1438.9</v>
      </c>
      <c r="CQ26" s="37">
        <v>1450.6</v>
      </c>
      <c r="CR26" s="37">
        <v>1458.2</v>
      </c>
      <c r="CS26" s="37">
        <v>1465.3</v>
      </c>
      <c r="CT26" s="37">
        <v>1471.3</v>
      </c>
      <c r="CU26" s="37">
        <v>1488.1</v>
      </c>
      <c r="CV26" s="37">
        <v>1505.6</v>
      </c>
      <c r="CW26" s="37">
        <v>1511.1</v>
      </c>
      <c r="CX26" s="37">
        <v>1522.9</v>
      </c>
      <c r="CY26" s="37">
        <v>1534.9</v>
      </c>
      <c r="CZ26" s="37">
        <v>1536.4</v>
      </c>
      <c r="DA26" s="37">
        <v>1544.4</v>
      </c>
      <c r="DB26" s="37">
        <v>1541.6</v>
      </c>
      <c r="DC26" s="37">
        <v>1563.8</v>
      </c>
      <c r="DD26" s="37">
        <v>1577.1</v>
      </c>
      <c r="DE26" s="37">
        <v>1599.6</v>
      </c>
      <c r="DF26" s="37">
        <v>1600.1</v>
      </c>
      <c r="DG26" s="37">
        <v>1611.9</v>
      </c>
      <c r="DH26" s="37">
        <v>1628.1</v>
      </c>
      <c r="DI26" s="37">
        <v>1642.8</v>
      </c>
      <c r="DJ26" s="37">
        <v>1657.8</v>
      </c>
      <c r="DK26" s="37">
        <v>1684.9</v>
      </c>
      <c r="DL26" s="37">
        <v>1708.6</v>
      </c>
      <c r="DM26" s="37">
        <v>1718.3</v>
      </c>
      <c r="DN26" s="37">
        <v>1737.3</v>
      </c>
      <c r="DO26" s="37">
        <v>1748.4</v>
      </c>
      <c r="DP26" s="37">
        <v>1766</v>
      </c>
      <c r="DQ26" s="37">
        <v>1788.9</v>
      </c>
      <c r="DR26" s="37">
        <v>1801.7</v>
      </c>
      <c r="DS26" s="37">
        <v>1799.2</v>
      </c>
      <c r="DT26" s="37">
        <v>1806.2</v>
      </c>
      <c r="DU26" s="37">
        <v>1820.6</v>
      </c>
      <c r="DV26" s="37">
        <v>1842.9</v>
      </c>
      <c r="DW26" s="37">
        <v>1877.7</v>
      </c>
      <c r="DX26" s="37">
        <v>1869</v>
      </c>
      <c r="DY26" s="37">
        <v>1904.3</v>
      </c>
      <c r="DZ26" s="37">
        <v>1923.7</v>
      </c>
      <c r="EA26" s="37">
        <v>1926.3</v>
      </c>
      <c r="EB26" s="37">
        <v>1931.3</v>
      </c>
      <c r="EC26" s="37">
        <v>1935.3</v>
      </c>
      <c r="ED26" s="37">
        <v>1925.3</v>
      </c>
      <c r="EE26" s="37">
        <v>1914.9</v>
      </c>
      <c r="EF26" s="37">
        <v>1921.9</v>
      </c>
      <c r="EG26" s="37">
        <v>1919.2</v>
      </c>
      <c r="EH26" s="37">
        <v>1920.6</v>
      </c>
      <c r="EI26" s="37">
        <v>1922.1</v>
      </c>
      <c r="EJ26" s="37">
        <v>1914.9</v>
      </c>
      <c r="EK26" s="37">
        <v>1915.3</v>
      </c>
      <c r="EL26" s="37">
        <v>1917.6</v>
      </c>
      <c r="EM26" s="37">
        <v>1917</v>
      </c>
      <c r="EN26" s="37">
        <v>1918.2</v>
      </c>
      <c r="EO26" s="37">
        <v>1920.2</v>
      </c>
      <c r="EP26" s="37">
        <v>1928.9</v>
      </c>
      <c r="EQ26" s="37">
        <v>1936.2</v>
      </c>
      <c r="ER26" s="37">
        <v>1942.4</v>
      </c>
      <c r="ES26" s="37">
        <v>1951</v>
      </c>
      <c r="ET26" s="37">
        <v>1962.4</v>
      </c>
      <c r="EU26" s="37">
        <v>1971.8</v>
      </c>
      <c r="EV26" s="37">
        <v>1975.8</v>
      </c>
      <c r="EW26" s="37">
        <v>1980.8</v>
      </c>
      <c r="EX26" s="37">
        <v>1970</v>
      </c>
      <c r="EY26" s="37">
        <v>1971.6</v>
      </c>
      <c r="EZ26" s="37">
        <v>1981.5</v>
      </c>
      <c r="FA26" s="37">
        <v>1987.3</v>
      </c>
      <c r="FB26" s="37">
        <v>2007.7</v>
      </c>
      <c r="FC26" s="37">
        <v>2025.2</v>
      </c>
      <c r="FD26" s="37">
        <v>2022.3</v>
      </c>
      <c r="FE26" s="37">
        <v>2008.4</v>
      </c>
      <c r="FF26" s="37">
        <v>1978.9</v>
      </c>
      <c r="FG26" s="37">
        <v>1971.3</v>
      </c>
      <c r="FH26" s="37">
        <v>1953.9</v>
      </c>
      <c r="FI26" s="37">
        <v>1934.9</v>
      </c>
      <c r="FJ26" s="37">
        <v>1913.8</v>
      </c>
      <c r="FK26" s="37">
        <v>1896.9</v>
      </c>
      <c r="FL26" s="37">
        <v>1879.8</v>
      </c>
      <c r="FM26" s="37">
        <v>1872.6</v>
      </c>
      <c r="FN26" s="37">
        <v>1859</v>
      </c>
      <c r="FO26" s="37">
        <v>1852.9</v>
      </c>
      <c r="FP26" s="37">
        <v>1845.5</v>
      </c>
      <c r="FQ26" s="37">
        <v>1840.5</v>
      </c>
      <c r="FR26" s="37">
        <v>1841.3</v>
      </c>
      <c r="FS26" s="37">
        <v>1846</v>
      </c>
      <c r="FT26" s="37">
        <v>1847</v>
      </c>
      <c r="FU26" s="37">
        <v>1843.4</v>
      </c>
      <c r="FV26" s="37">
        <v>1832.2</v>
      </c>
      <c r="FW26" s="37">
        <v>1842.7</v>
      </c>
      <c r="FX26" s="37">
        <v>1849.9</v>
      </c>
      <c r="FY26" s="37">
        <v>1865.4</v>
      </c>
      <c r="FZ26" s="37">
        <v>1876.3</v>
      </c>
      <c r="GA26" s="37">
        <v>1900</v>
      </c>
      <c r="GB26" s="37">
        <v>1915.1</v>
      </c>
      <c r="GC26" s="37">
        <v>1917.5</v>
      </c>
      <c r="GD26" s="37">
        <v>1946.9</v>
      </c>
      <c r="GE26" s="37">
        <v>1951.6</v>
      </c>
      <c r="GF26" s="37">
        <v>1960.4</v>
      </c>
      <c r="GG26" s="37">
        <v>1966.2</v>
      </c>
      <c r="GH26" s="37">
        <v>1962.2</v>
      </c>
      <c r="GI26" s="37">
        <v>1961.5</v>
      </c>
      <c r="GJ26" s="37">
        <v>1962.6</v>
      </c>
      <c r="GK26" s="37">
        <v>1972.7</v>
      </c>
      <c r="GL26" s="37">
        <v>1971.6</v>
      </c>
      <c r="GM26" s="37">
        <v>1984.1</v>
      </c>
      <c r="GN26" s="37">
        <v>1989.8</v>
      </c>
      <c r="GO26" s="37">
        <v>1984.6</v>
      </c>
      <c r="GP26" s="37">
        <v>2014</v>
      </c>
      <c r="GQ26" s="37">
        <v>2037.5</v>
      </c>
      <c r="GR26" s="37">
        <v>2049.6999999999998</v>
      </c>
      <c r="GS26" s="37">
        <v>2063.4</v>
      </c>
      <c r="GT26" s="37">
        <v>2078.6999999999998</v>
      </c>
      <c r="GU26" s="37">
        <v>2049.3000000000002</v>
      </c>
      <c r="GV26" s="37">
        <v>2036.2</v>
      </c>
      <c r="GW26" s="37">
        <v>2029.6</v>
      </c>
      <c r="GX26" s="37">
        <v>2030.2</v>
      </c>
      <c r="GY26" s="37">
        <v>2028</v>
      </c>
      <c r="GZ26" s="37">
        <v>2050.6999999999998</v>
      </c>
      <c r="HA26" s="37">
        <v>2042.7</v>
      </c>
      <c r="HB26" s="37">
        <v>2040.7</v>
      </c>
      <c r="HC26">
        <v>2037.8</v>
      </c>
      <c r="HD26">
        <v>2052.1</v>
      </c>
    </row>
    <row r="27" spans="1:212" x14ac:dyDescent="0.3">
      <c r="A27" s="37" t="s">
        <v>1785</v>
      </c>
      <c r="B27" s="37">
        <v>90.6</v>
      </c>
      <c r="C27" s="37">
        <v>91.4</v>
      </c>
      <c r="D27" s="37">
        <v>86.3</v>
      </c>
      <c r="E27" s="37">
        <v>87.2</v>
      </c>
      <c r="F27" s="37">
        <v>83.6</v>
      </c>
      <c r="G27" s="37">
        <v>85.1</v>
      </c>
      <c r="H27" s="37">
        <v>86.3</v>
      </c>
      <c r="I27" s="37">
        <v>88.2</v>
      </c>
      <c r="J27" s="37">
        <v>100.3</v>
      </c>
      <c r="K27" s="37">
        <v>102.4</v>
      </c>
      <c r="L27" s="37">
        <v>103.1</v>
      </c>
      <c r="M27" s="37">
        <v>105.3</v>
      </c>
      <c r="N27" s="37">
        <v>104.5</v>
      </c>
      <c r="O27" s="37">
        <v>106.9</v>
      </c>
      <c r="P27" s="37">
        <v>111</v>
      </c>
      <c r="Q27" s="37">
        <v>116</v>
      </c>
      <c r="R27" s="37">
        <v>119.5</v>
      </c>
      <c r="S27" s="37">
        <v>124.8</v>
      </c>
      <c r="T27" s="37">
        <v>129.69999999999999</v>
      </c>
      <c r="U27" s="37">
        <v>132</v>
      </c>
      <c r="V27" s="37">
        <v>132.30000000000001</v>
      </c>
      <c r="W27" s="37">
        <v>94.6</v>
      </c>
      <c r="X27" s="37">
        <v>125.7</v>
      </c>
      <c r="Y27" s="37">
        <v>130.4</v>
      </c>
      <c r="Z27" s="37">
        <v>133</v>
      </c>
      <c r="AA27" s="37">
        <v>138.69999999999999</v>
      </c>
      <c r="AB27" s="37">
        <v>144.5</v>
      </c>
      <c r="AC27" s="37">
        <v>150.1</v>
      </c>
      <c r="AD27" s="37">
        <v>155.30000000000001</v>
      </c>
      <c r="AE27" s="37">
        <v>161</v>
      </c>
      <c r="AF27" s="37">
        <v>162.6</v>
      </c>
      <c r="AG27" s="37">
        <v>171.2</v>
      </c>
      <c r="AH27" s="37">
        <v>173.4</v>
      </c>
      <c r="AI27" s="37">
        <v>182.9</v>
      </c>
      <c r="AJ27" s="37">
        <v>195.4</v>
      </c>
      <c r="AK27" s="37">
        <v>205.1</v>
      </c>
      <c r="AL27" s="37">
        <v>211.6</v>
      </c>
      <c r="AM27" s="37">
        <v>219.9</v>
      </c>
      <c r="AN27" s="37">
        <v>229.4</v>
      </c>
      <c r="AO27" s="37">
        <v>238.6</v>
      </c>
      <c r="AP27" s="37">
        <v>238.3</v>
      </c>
      <c r="AQ27" s="37">
        <v>244.2</v>
      </c>
      <c r="AR27" s="37">
        <v>252.8</v>
      </c>
      <c r="AS27" s="37">
        <v>267.2</v>
      </c>
      <c r="AT27" s="37">
        <v>278.39999999999998</v>
      </c>
      <c r="AU27" s="37">
        <v>289</v>
      </c>
      <c r="AV27" s="37">
        <v>301.39999999999998</v>
      </c>
      <c r="AW27" s="37">
        <v>295.89999999999998</v>
      </c>
      <c r="AX27" s="37">
        <v>295.2</v>
      </c>
      <c r="AY27" s="37">
        <v>301.7</v>
      </c>
      <c r="AZ27" s="37">
        <v>289.7</v>
      </c>
      <c r="BA27" s="37">
        <v>295.8</v>
      </c>
      <c r="BB27" s="37">
        <v>289.5</v>
      </c>
      <c r="BC27" s="37">
        <v>295.3</v>
      </c>
      <c r="BD27" s="37">
        <v>277.3</v>
      </c>
      <c r="BE27" s="37">
        <v>284.89999999999998</v>
      </c>
      <c r="BF27" s="37">
        <v>287.89999999999998</v>
      </c>
      <c r="BG27" s="37">
        <v>294.60000000000002</v>
      </c>
      <c r="BH27" s="37">
        <v>307.3</v>
      </c>
      <c r="BI27" s="37">
        <v>317.7</v>
      </c>
      <c r="BJ27" s="37">
        <v>353</v>
      </c>
      <c r="BK27" s="37">
        <v>307.60000000000002</v>
      </c>
      <c r="BL27" s="37">
        <v>340</v>
      </c>
      <c r="BM27" s="37">
        <v>345.2</v>
      </c>
      <c r="BN27" s="37">
        <v>341.8</v>
      </c>
      <c r="BO27" s="37">
        <v>344.4</v>
      </c>
      <c r="BP27" s="37">
        <v>352</v>
      </c>
      <c r="BQ27" s="37">
        <v>364.2</v>
      </c>
      <c r="BR27" s="37">
        <v>358.3</v>
      </c>
      <c r="BS27" s="37">
        <v>410.2</v>
      </c>
      <c r="BT27" s="37">
        <v>394.9</v>
      </c>
      <c r="BU27" s="37">
        <v>408.5</v>
      </c>
      <c r="BV27" s="37">
        <v>402.6</v>
      </c>
      <c r="BW27" s="37">
        <v>400.6</v>
      </c>
      <c r="BX27" s="37">
        <v>402.5</v>
      </c>
      <c r="BY27" s="37">
        <v>409.6</v>
      </c>
      <c r="BZ27" s="37">
        <v>439.5</v>
      </c>
      <c r="CA27" s="37">
        <v>448.4</v>
      </c>
      <c r="CB27" s="37">
        <v>457.1</v>
      </c>
      <c r="CC27" s="37">
        <v>467.4</v>
      </c>
      <c r="CD27" s="37">
        <v>463.2</v>
      </c>
      <c r="CE27" s="37">
        <v>472</v>
      </c>
      <c r="CF27" s="37">
        <v>477</v>
      </c>
      <c r="CG27" s="37">
        <v>476.2</v>
      </c>
      <c r="CH27" s="37">
        <v>459.6</v>
      </c>
      <c r="CI27" s="37">
        <v>461.4</v>
      </c>
      <c r="CJ27" s="37">
        <v>464.1</v>
      </c>
      <c r="CK27" s="37">
        <v>469.2</v>
      </c>
      <c r="CL27" s="37">
        <v>461.3</v>
      </c>
      <c r="CM27" s="37">
        <v>470.2</v>
      </c>
      <c r="CN27" s="37">
        <v>479.4</v>
      </c>
      <c r="CO27" s="37">
        <v>499</v>
      </c>
      <c r="CP27" s="37">
        <v>480.3</v>
      </c>
      <c r="CQ27" s="37">
        <v>505.3</v>
      </c>
      <c r="CR27" s="37">
        <v>515.6</v>
      </c>
      <c r="CS27" s="37">
        <v>529.5</v>
      </c>
      <c r="CT27" s="37">
        <v>526.70000000000005</v>
      </c>
      <c r="CU27" s="37">
        <v>555.9</v>
      </c>
      <c r="CV27" s="37">
        <v>544.20000000000005</v>
      </c>
      <c r="CW27" s="37">
        <v>553.4</v>
      </c>
      <c r="CX27" s="37">
        <v>567.70000000000005</v>
      </c>
      <c r="CY27" s="37">
        <v>594.4</v>
      </c>
      <c r="CZ27" s="37">
        <v>591.5</v>
      </c>
      <c r="DA27" s="37">
        <v>607.6</v>
      </c>
      <c r="DB27" s="37">
        <v>636.4</v>
      </c>
      <c r="DC27" s="37">
        <v>673.6</v>
      </c>
      <c r="DD27" s="37">
        <v>674.2</v>
      </c>
      <c r="DE27" s="37">
        <v>689.4</v>
      </c>
      <c r="DF27" s="37">
        <v>724.3</v>
      </c>
      <c r="DG27" s="37">
        <v>739.3</v>
      </c>
      <c r="DH27" s="37">
        <v>757</v>
      </c>
      <c r="DI27" s="37">
        <v>778.6</v>
      </c>
      <c r="DJ27" s="37">
        <v>800.6</v>
      </c>
      <c r="DK27" s="37">
        <v>820.9</v>
      </c>
      <c r="DL27" s="37">
        <v>841.6</v>
      </c>
      <c r="DM27" s="37">
        <v>861.7</v>
      </c>
      <c r="DN27" s="37">
        <v>869.8</v>
      </c>
      <c r="DO27" s="37">
        <v>885.8</v>
      </c>
      <c r="DP27" s="37">
        <v>904.2</v>
      </c>
      <c r="DQ27" s="37">
        <v>930</v>
      </c>
      <c r="DR27" s="37">
        <v>976.6</v>
      </c>
      <c r="DS27" s="37">
        <v>986.9</v>
      </c>
      <c r="DT27" s="37">
        <v>1011.1</v>
      </c>
      <c r="DU27" s="37">
        <v>1023.9</v>
      </c>
      <c r="DV27" s="37">
        <v>1051</v>
      </c>
      <c r="DW27" s="37">
        <v>1049</v>
      </c>
      <c r="DX27" s="37">
        <v>881.7</v>
      </c>
      <c r="DY27" s="37">
        <v>1002.4</v>
      </c>
      <c r="DZ27" s="37">
        <v>847.8</v>
      </c>
      <c r="EA27" s="37">
        <v>836.7</v>
      </c>
      <c r="EB27" s="37">
        <v>825.3</v>
      </c>
      <c r="EC27" s="37">
        <v>819.6</v>
      </c>
      <c r="ED27" s="37">
        <v>803.5</v>
      </c>
      <c r="EE27" s="37">
        <v>812.9</v>
      </c>
      <c r="EF27" s="37">
        <v>716.5</v>
      </c>
      <c r="EG27" s="37">
        <v>781.6</v>
      </c>
      <c r="EH27" s="37">
        <v>773.2</v>
      </c>
      <c r="EI27" s="37">
        <v>792.4</v>
      </c>
      <c r="EJ27" s="37">
        <v>816.7</v>
      </c>
      <c r="EK27" s="37">
        <v>829.8</v>
      </c>
      <c r="EL27" s="37">
        <v>902.9</v>
      </c>
      <c r="EM27" s="37">
        <v>925.8</v>
      </c>
      <c r="EN27" s="37">
        <v>949.5</v>
      </c>
      <c r="EO27" s="37">
        <v>970.6</v>
      </c>
      <c r="EP27" s="37">
        <v>1025.5</v>
      </c>
      <c r="EQ27" s="37">
        <v>1041.2</v>
      </c>
      <c r="ER27" s="37">
        <v>1060.9000000000001</v>
      </c>
      <c r="ES27" s="37">
        <v>1095.8</v>
      </c>
      <c r="ET27" s="37">
        <v>1146</v>
      </c>
      <c r="EU27" s="37">
        <v>1163.9000000000001</v>
      </c>
      <c r="EV27" s="37">
        <v>1179.3</v>
      </c>
      <c r="EW27" s="37">
        <v>1194.4000000000001</v>
      </c>
      <c r="EX27" s="37">
        <v>1201.7</v>
      </c>
      <c r="EY27" s="37">
        <v>1191.3</v>
      </c>
      <c r="EZ27" s="37">
        <v>1173.7</v>
      </c>
      <c r="FA27" s="37">
        <v>1139.8</v>
      </c>
      <c r="FB27" s="37">
        <v>921.2</v>
      </c>
      <c r="FC27" s="37">
        <v>855.5</v>
      </c>
      <c r="FD27" s="37">
        <v>842</v>
      </c>
      <c r="FE27" s="37">
        <v>847.5</v>
      </c>
      <c r="FF27" s="37">
        <v>903.4</v>
      </c>
      <c r="FG27" s="37">
        <v>935.2</v>
      </c>
      <c r="FH27" s="37">
        <v>958.5</v>
      </c>
      <c r="FI27" s="37">
        <v>977.2</v>
      </c>
      <c r="FJ27" s="37">
        <v>1111.4000000000001</v>
      </c>
      <c r="FK27" s="37">
        <v>1126.5</v>
      </c>
      <c r="FL27" s="37">
        <v>1144.2</v>
      </c>
      <c r="FM27" s="37">
        <v>1141</v>
      </c>
      <c r="FN27" s="37">
        <v>1138.3</v>
      </c>
      <c r="FO27" s="37">
        <v>1150.5999999999999</v>
      </c>
      <c r="FP27" s="37">
        <v>1163.8</v>
      </c>
      <c r="FQ27" s="37">
        <v>1212.9000000000001</v>
      </c>
      <c r="FR27" s="37">
        <v>1273.5</v>
      </c>
      <c r="FS27" s="37">
        <v>1296.4000000000001</v>
      </c>
      <c r="FT27" s="37">
        <v>1308.3</v>
      </c>
      <c r="FU27" s="37">
        <v>1333.2</v>
      </c>
      <c r="FV27" s="37">
        <v>1369.1</v>
      </c>
      <c r="FW27" s="37">
        <v>1389</v>
      </c>
      <c r="FX27" s="37">
        <v>1413.3</v>
      </c>
      <c r="FY27" s="37">
        <v>1443.5</v>
      </c>
      <c r="FZ27" s="37">
        <v>1509.1</v>
      </c>
      <c r="GA27" s="37">
        <v>1527.7</v>
      </c>
      <c r="GB27" s="37">
        <v>1540.9</v>
      </c>
      <c r="GC27" s="37">
        <v>1552.6</v>
      </c>
      <c r="GD27" s="37">
        <v>1526.8</v>
      </c>
      <c r="GE27" s="37">
        <v>1536.7</v>
      </c>
      <c r="GF27" s="37">
        <v>1553.8</v>
      </c>
      <c r="GG27" s="37">
        <v>1574.5</v>
      </c>
      <c r="GH27" s="37">
        <v>1580</v>
      </c>
      <c r="GI27" s="37">
        <v>1600.1</v>
      </c>
      <c r="GJ27" s="37">
        <v>1623.2</v>
      </c>
      <c r="GK27" s="37">
        <v>1649.1</v>
      </c>
      <c r="GL27" s="37">
        <v>1597.1</v>
      </c>
      <c r="GM27" s="37">
        <v>1607</v>
      </c>
      <c r="GN27" s="37">
        <v>1625.5</v>
      </c>
      <c r="GO27" s="37">
        <v>1630.1</v>
      </c>
      <c r="GP27" s="37">
        <v>1687.7</v>
      </c>
      <c r="GQ27" s="37">
        <v>1692.6</v>
      </c>
      <c r="GR27" s="37">
        <v>1700.6</v>
      </c>
      <c r="GS27" s="37">
        <v>1726.4</v>
      </c>
      <c r="GT27" s="37">
        <v>1751.6</v>
      </c>
      <c r="GU27" s="37">
        <v>1610.2</v>
      </c>
      <c r="GV27" s="37">
        <v>1722.1</v>
      </c>
      <c r="GW27" s="37">
        <v>1837.8</v>
      </c>
      <c r="GX27" s="37">
        <v>1965.4</v>
      </c>
      <c r="GY27" s="37">
        <v>2071.9</v>
      </c>
      <c r="GZ27" s="37">
        <v>2158.8000000000002</v>
      </c>
      <c r="HA27" s="37">
        <v>2235.1999999999998</v>
      </c>
      <c r="HB27" s="37">
        <v>2564.1</v>
      </c>
      <c r="HC27">
        <v>2598.6</v>
      </c>
      <c r="HD27">
        <v>2638.6</v>
      </c>
    </row>
    <row r="28" spans="1:212" x14ac:dyDescent="0.3">
      <c r="A28" s="37" t="s">
        <v>1786</v>
      </c>
      <c r="B28" s="37">
        <v>17.899999999999999</v>
      </c>
      <c r="C28" s="37">
        <v>18.100000000000001</v>
      </c>
      <c r="D28" s="37">
        <v>18.2</v>
      </c>
      <c r="E28" s="37">
        <v>18.2</v>
      </c>
      <c r="F28" s="37">
        <v>19.399999999999999</v>
      </c>
      <c r="G28" s="37">
        <v>18.7</v>
      </c>
      <c r="H28" s="37">
        <v>18.899999999999999</v>
      </c>
      <c r="I28" s="37">
        <v>19</v>
      </c>
      <c r="J28" s="37">
        <v>18.2</v>
      </c>
      <c r="K28" s="37">
        <v>18.3</v>
      </c>
      <c r="L28" s="37">
        <v>18.5</v>
      </c>
      <c r="M28" s="37">
        <v>19</v>
      </c>
      <c r="N28" s="37">
        <v>19.5</v>
      </c>
      <c r="O28" s="37">
        <v>19.899999999999999</v>
      </c>
      <c r="P28" s="37">
        <v>19.7</v>
      </c>
      <c r="Q28" s="37">
        <v>20.100000000000001</v>
      </c>
      <c r="R28" s="37">
        <v>19.8</v>
      </c>
      <c r="S28" s="37">
        <v>20.100000000000001</v>
      </c>
      <c r="T28" s="37">
        <v>20.2</v>
      </c>
      <c r="U28" s="37">
        <v>20.2</v>
      </c>
      <c r="V28" s="37">
        <v>19.8</v>
      </c>
      <c r="W28" s="37">
        <v>21.3</v>
      </c>
      <c r="X28" s="37">
        <v>23.3</v>
      </c>
      <c r="Y28" s="37">
        <v>23.9</v>
      </c>
      <c r="Z28" s="37">
        <v>20.8</v>
      </c>
      <c r="AA28" s="37">
        <v>21.3</v>
      </c>
      <c r="AB28" s="37">
        <v>21.7</v>
      </c>
      <c r="AC28" s="37">
        <v>21.7</v>
      </c>
      <c r="AD28" s="37">
        <v>22</v>
      </c>
      <c r="AE28" s="37">
        <v>22.5</v>
      </c>
      <c r="AF28" s="37">
        <v>23.2</v>
      </c>
      <c r="AG28" s="37">
        <v>23.2</v>
      </c>
      <c r="AH28" s="37">
        <v>24</v>
      </c>
      <c r="AI28" s="37">
        <v>25.4</v>
      </c>
      <c r="AJ28" s="37">
        <v>25.5</v>
      </c>
      <c r="AK28" s="37">
        <v>26.3</v>
      </c>
      <c r="AL28" s="37">
        <v>25.9</v>
      </c>
      <c r="AM28" s="37">
        <v>25.9</v>
      </c>
      <c r="AN28" s="37">
        <v>25.3</v>
      </c>
      <c r="AO28" s="37">
        <v>25.6</v>
      </c>
      <c r="AP28" s="37">
        <v>27.6</v>
      </c>
      <c r="AQ28" s="37">
        <v>33.6</v>
      </c>
      <c r="AR28" s="37">
        <v>36.1</v>
      </c>
      <c r="AS28" s="37">
        <v>37.299999999999997</v>
      </c>
      <c r="AT28" s="37">
        <v>50.7</v>
      </c>
      <c r="AU28" s="37">
        <v>51.8</v>
      </c>
      <c r="AV28" s="37">
        <v>49.1</v>
      </c>
      <c r="AW28" s="37">
        <v>48.1</v>
      </c>
      <c r="AX28" s="37">
        <v>43.5</v>
      </c>
      <c r="AY28" s="37">
        <v>40</v>
      </c>
      <c r="AZ28" s="37">
        <v>40.1</v>
      </c>
      <c r="BA28" s="37">
        <v>40.299999999999997</v>
      </c>
      <c r="BB28" s="37">
        <v>41.1</v>
      </c>
      <c r="BC28" s="37">
        <v>45.3</v>
      </c>
      <c r="BD28" s="37">
        <v>45.5</v>
      </c>
      <c r="BE28" s="37">
        <v>45.8</v>
      </c>
      <c r="BF28" s="37">
        <v>47</v>
      </c>
      <c r="BG28" s="37">
        <v>47.5</v>
      </c>
      <c r="BH28" s="37">
        <v>47.4</v>
      </c>
      <c r="BI28" s="37">
        <v>47.3</v>
      </c>
      <c r="BJ28" s="37">
        <v>46.4</v>
      </c>
      <c r="BK28" s="37">
        <v>45.7</v>
      </c>
      <c r="BL28" s="37">
        <v>46.8</v>
      </c>
      <c r="BM28" s="37">
        <v>45.4</v>
      </c>
      <c r="BN28" s="37">
        <v>44.5</v>
      </c>
      <c r="BO28" s="37">
        <v>42.9</v>
      </c>
      <c r="BP28" s="37">
        <v>43.8</v>
      </c>
      <c r="BQ28" s="37">
        <v>43.6</v>
      </c>
      <c r="BR28" s="37">
        <v>44.1</v>
      </c>
      <c r="BS28" s="37">
        <v>45.8</v>
      </c>
      <c r="BT28" s="37">
        <v>46.4</v>
      </c>
      <c r="BU28" s="37">
        <v>47.4</v>
      </c>
      <c r="BV28" s="37">
        <v>49.6</v>
      </c>
      <c r="BW28" s="37">
        <v>49.3</v>
      </c>
      <c r="BX28" s="37">
        <v>50.2</v>
      </c>
      <c r="BY28" s="37">
        <v>50.2</v>
      </c>
      <c r="BZ28" s="37">
        <v>50.8</v>
      </c>
      <c r="CA28" s="37">
        <v>49.2</v>
      </c>
      <c r="CB28" s="37">
        <v>50</v>
      </c>
      <c r="CC28" s="37">
        <v>48.9</v>
      </c>
      <c r="CD28" s="37">
        <v>50.3</v>
      </c>
      <c r="CE28" s="37">
        <v>50.8</v>
      </c>
      <c r="CF28" s="37">
        <v>51.1</v>
      </c>
      <c r="CG28" s="37">
        <v>51.5</v>
      </c>
      <c r="CH28" s="37">
        <v>59.7</v>
      </c>
      <c r="CI28" s="37">
        <v>61.3</v>
      </c>
      <c r="CJ28" s="37">
        <v>61.8</v>
      </c>
      <c r="CK28" s="37">
        <v>64.2</v>
      </c>
      <c r="CL28" s="37">
        <v>63.6</v>
      </c>
      <c r="CM28" s="37">
        <v>63.1</v>
      </c>
      <c r="CN28" s="37">
        <v>61.9</v>
      </c>
      <c r="CO28" s="37">
        <v>64.599999999999994</v>
      </c>
      <c r="CP28" s="37">
        <v>62.2</v>
      </c>
      <c r="CQ28" s="37">
        <v>64.8</v>
      </c>
      <c r="CR28" s="37">
        <v>65.400000000000006</v>
      </c>
      <c r="CS28" s="37">
        <v>73.099999999999994</v>
      </c>
      <c r="CT28" s="37">
        <v>75.5</v>
      </c>
      <c r="CU28" s="37">
        <v>78.599999999999994</v>
      </c>
      <c r="CV28" s="37">
        <v>80.5</v>
      </c>
      <c r="CW28" s="37">
        <v>81.400000000000006</v>
      </c>
      <c r="CX28" s="37">
        <v>76.599999999999994</v>
      </c>
      <c r="CY28" s="37">
        <v>75.7</v>
      </c>
      <c r="CZ28" s="37">
        <v>75.400000000000006</v>
      </c>
      <c r="DA28" s="37">
        <v>74.5</v>
      </c>
      <c r="DB28" s="37">
        <v>72.599999999999994</v>
      </c>
      <c r="DC28" s="37">
        <v>71.2</v>
      </c>
      <c r="DD28" s="37">
        <v>71.7</v>
      </c>
      <c r="DE28" s="37">
        <v>75.900000000000006</v>
      </c>
      <c r="DF28" s="37">
        <v>72</v>
      </c>
      <c r="DG28" s="37">
        <v>79.7</v>
      </c>
      <c r="DH28" s="37">
        <v>79.900000000000006</v>
      </c>
      <c r="DI28" s="37">
        <v>79.7</v>
      </c>
      <c r="DJ28" s="37">
        <v>79.5</v>
      </c>
      <c r="DK28" s="37">
        <v>80.099999999999994</v>
      </c>
      <c r="DL28" s="37">
        <v>81.5</v>
      </c>
      <c r="DM28" s="37">
        <v>81.7</v>
      </c>
      <c r="DN28" s="37">
        <v>81.3</v>
      </c>
      <c r="DO28" s="37">
        <v>81.599999999999994</v>
      </c>
      <c r="DP28" s="37">
        <v>83.8</v>
      </c>
      <c r="DQ28" s="37">
        <v>87</v>
      </c>
      <c r="DR28" s="37">
        <v>86.1</v>
      </c>
      <c r="DS28" s="37">
        <v>88.4</v>
      </c>
      <c r="DT28" s="37">
        <v>87.5</v>
      </c>
      <c r="DU28" s="37">
        <v>87</v>
      </c>
      <c r="DV28" s="37">
        <v>87.1</v>
      </c>
      <c r="DW28" s="37">
        <v>86.3</v>
      </c>
      <c r="DX28" s="37">
        <v>83.6</v>
      </c>
      <c r="DY28" s="37">
        <v>84.1</v>
      </c>
      <c r="DZ28" s="37">
        <v>84.7</v>
      </c>
      <c r="EA28" s="37">
        <v>87.3</v>
      </c>
      <c r="EB28" s="37">
        <v>88</v>
      </c>
      <c r="EC28" s="37">
        <v>87.3</v>
      </c>
      <c r="ED28" s="37">
        <v>90.1</v>
      </c>
      <c r="EE28" s="37">
        <v>90</v>
      </c>
      <c r="EF28" s="37">
        <v>89.6</v>
      </c>
      <c r="EG28" s="37">
        <v>91.1</v>
      </c>
      <c r="EH28" s="37">
        <v>94.1</v>
      </c>
      <c r="EI28" s="37">
        <v>94.8</v>
      </c>
      <c r="EJ28" s="37">
        <v>95.9</v>
      </c>
      <c r="EK28" s="37">
        <v>96.2</v>
      </c>
      <c r="EL28" s="37">
        <v>97.2</v>
      </c>
      <c r="EM28" s="37">
        <v>101.4</v>
      </c>
      <c r="EN28" s="37">
        <v>100.3</v>
      </c>
      <c r="EO28" s="37">
        <v>98.7</v>
      </c>
      <c r="EP28" s="37">
        <v>99.1</v>
      </c>
      <c r="EQ28" s="37">
        <v>99.5</v>
      </c>
      <c r="ER28" s="37">
        <v>100.2</v>
      </c>
      <c r="ES28" s="37">
        <v>98.1</v>
      </c>
      <c r="ET28" s="37">
        <v>93.9</v>
      </c>
      <c r="EU28" s="37">
        <v>93.7</v>
      </c>
      <c r="EV28" s="37">
        <v>95.4</v>
      </c>
      <c r="EW28" s="37">
        <v>95.5</v>
      </c>
      <c r="EX28" s="37">
        <v>93.2</v>
      </c>
      <c r="EY28" s="37">
        <v>95.3</v>
      </c>
      <c r="EZ28" s="37">
        <v>93.7</v>
      </c>
      <c r="FA28" s="37">
        <v>93.7</v>
      </c>
      <c r="FB28" s="37">
        <v>86.7</v>
      </c>
      <c r="FC28" s="37">
        <v>94.3</v>
      </c>
      <c r="FD28" s="37">
        <v>91.4</v>
      </c>
      <c r="FE28" s="37">
        <v>93.2</v>
      </c>
      <c r="FF28" s="37">
        <v>93.1</v>
      </c>
      <c r="FG28" s="37">
        <v>96.4</v>
      </c>
      <c r="FH28" s="37">
        <v>98.9</v>
      </c>
      <c r="FI28" s="37">
        <v>98.7</v>
      </c>
      <c r="FJ28" s="37">
        <v>104.7</v>
      </c>
      <c r="FK28" s="37">
        <v>109.1</v>
      </c>
      <c r="FL28" s="37">
        <v>109.4</v>
      </c>
      <c r="FM28" s="37">
        <v>111.4</v>
      </c>
      <c r="FN28" s="37">
        <v>113.9</v>
      </c>
      <c r="FO28" s="37">
        <v>114.4</v>
      </c>
      <c r="FP28" s="37">
        <v>114.7</v>
      </c>
      <c r="FQ28" s="37">
        <v>117.6</v>
      </c>
      <c r="FR28" s="37">
        <v>122.3</v>
      </c>
      <c r="FS28" s="37">
        <v>124.4</v>
      </c>
      <c r="FT28" s="37">
        <v>126.4</v>
      </c>
      <c r="FU28" s="37">
        <v>128.80000000000001</v>
      </c>
      <c r="FV28" s="37">
        <v>136.6</v>
      </c>
      <c r="FW28" s="37">
        <v>135.30000000000001</v>
      </c>
      <c r="FX28" s="37">
        <v>136.9</v>
      </c>
      <c r="FY28" s="37">
        <v>136.4</v>
      </c>
      <c r="FZ28" s="37">
        <v>139.9</v>
      </c>
      <c r="GA28" s="37">
        <v>143.5</v>
      </c>
      <c r="GB28" s="37">
        <v>136.1</v>
      </c>
      <c r="GC28" s="37">
        <v>141.69999999999999</v>
      </c>
      <c r="GD28" s="37">
        <v>138.19999999999999</v>
      </c>
      <c r="GE28" s="37">
        <v>135.69999999999999</v>
      </c>
      <c r="GF28" s="37">
        <v>136</v>
      </c>
      <c r="GG28" s="37">
        <v>136.1</v>
      </c>
      <c r="GH28" s="37">
        <v>127.5</v>
      </c>
      <c r="GI28" s="37">
        <v>131.69999999999999</v>
      </c>
      <c r="GJ28" s="37">
        <v>131.9</v>
      </c>
      <c r="GK28" s="37">
        <v>134.9</v>
      </c>
      <c r="GL28" s="37">
        <v>150.5</v>
      </c>
      <c r="GM28" s="37">
        <v>156.1</v>
      </c>
      <c r="GN28" s="37">
        <v>163.30000000000001</v>
      </c>
      <c r="GO28" s="37">
        <v>185.4</v>
      </c>
      <c r="GP28" s="37">
        <v>174.6</v>
      </c>
      <c r="GQ28" s="37">
        <v>171.3</v>
      </c>
      <c r="GR28" s="37">
        <v>176.3</v>
      </c>
      <c r="GS28" s="37">
        <v>176.9</v>
      </c>
      <c r="GT28" s="37">
        <v>186.6</v>
      </c>
      <c r="GU28" s="37">
        <v>132.6</v>
      </c>
      <c r="GV28" s="37">
        <v>149.1</v>
      </c>
      <c r="GW28" s="37">
        <v>155</v>
      </c>
      <c r="GX28" s="37">
        <v>156.6</v>
      </c>
      <c r="GY28" s="37">
        <v>177.3</v>
      </c>
      <c r="GZ28" s="37">
        <v>176.8</v>
      </c>
      <c r="HA28" s="37">
        <v>187.6</v>
      </c>
      <c r="HB28" s="37">
        <v>202.4</v>
      </c>
      <c r="HC28">
        <v>209.4</v>
      </c>
      <c r="HD28">
        <v>202.6</v>
      </c>
    </row>
    <row r="29" spans="1:212" x14ac:dyDescent="0.3">
      <c r="A29" s="37" t="s">
        <v>1787</v>
      </c>
      <c r="B29" s="37">
        <v>27</v>
      </c>
      <c r="C29" s="37">
        <v>27</v>
      </c>
      <c r="D29" s="37">
        <v>27.9</v>
      </c>
      <c r="E29" s="37">
        <v>26.6</v>
      </c>
      <c r="F29" s="37">
        <v>29.9</v>
      </c>
      <c r="G29" s="37">
        <v>30.7</v>
      </c>
      <c r="H29" s="37">
        <v>29.8</v>
      </c>
      <c r="I29" s="37">
        <v>30.1</v>
      </c>
      <c r="J29" s="37">
        <v>31.8</v>
      </c>
      <c r="K29" s="37">
        <v>32</v>
      </c>
      <c r="L29" s="37">
        <v>33.1</v>
      </c>
      <c r="M29" s="37">
        <v>36.6</v>
      </c>
      <c r="N29" s="37">
        <v>39.299999999999997</v>
      </c>
      <c r="O29" s="37">
        <v>39.4</v>
      </c>
      <c r="P29" s="37">
        <v>37.6</v>
      </c>
      <c r="Q29" s="37">
        <v>39.4</v>
      </c>
      <c r="R29" s="37">
        <v>37.4</v>
      </c>
      <c r="S29" s="37">
        <v>39.299999999999997</v>
      </c>
      <c r="T29" s="37">
        <v>43.5</v>
      </c>
      <c r="U29" s="37">
        <v>38.1</v>
      </c>
      <c r="V29" s="37">
        <v>31.5</v>
      </c>
      <c r="W29" s="37">
        <v>34.200000000000003</v>
      </c>
      <c r="X29" s="37">
        <v>43.2</v>
      </c>
      <c r="Y29" s="37">
        <v>43.9</v>
      </c>
      <c r="Z29" s="37">
        <v>49.9</v>
      </c>
      <c r="AA29" s="37">
        <v>49</v>
      </c>
      <c r="AB29" s="37">
        <v>48.5</v>
      </c>
      <c r="AC29" s="37">
        <v>47.5</v>
      </c>
      <c r="AD29" s="37">
        <v>51</v>
      </c>
      <c r="AE29" s="37">
        <v>55.7</v>
      </c>
      <c r="AF29" s="37">
        <v>57.9</v>
      </c>
      <c r="AG29" s="37">
        <v>58.1</v>
      </c>
      <c r="AH29" s="37">
        <v>54.4</v>
      </c>
      <c r="AI29" s="37">
        <v>66.2</v>
      </c>
      <c r="AJ29" s="37">
        <v>66.7</v>
      </c>
      <c r="AK29" s="37">
        <v>70.3</v>
      </c>
      <c r="AL29" s="37">
        <v>66.599999999999994</v>
      </c>
      <c r="AM29" s="37">
        <v>66.5</v>
      </c>
      <c r="AN29" s="37">
        <v>65.3</v>
      </c>
      <c r="AO29" s="37">
        <v>62.1</v>
      </c>
      <c r="AP29" s="37">
        <v>67</v>
      </c>
      <c r="AQ29" s="37">
        <v>49.8</v>
      </c>
      <c r="AR29" s="37">
        <v>56</v>
      </c>
      <c r="AS29" s="37">
        <v>61.7</v>
      </c>
      <c r="AT29" s="37">
        <v>58.5</v>
      </c>
      <c r="AU29" s="37">
        <v>50.7</v>
      </c>
      <c r="AV29" s="37">
        <v>52.7</v>
      </c>
      <c r="AW29" s="37">
        <v>44.8</v>
      </c>
      <c r="AX29" s="37">
        <v>33.5</v>
      </c>
      <c r="AY29" s="37">
        <v>34.700000000000003</v>
      </c>
      <c r="AZ29" s="37">
        <v>35.4</v>
      </c>
      <c r="BA29" s="37">
        <v>31.7</v>
      </c>
      <c r="BB29" s="37">
        <v>34.299999999999997</v>
      </c>
      <c r="BC29" s="37">
        <v>46.3</v>
      </c>
      <c r="BD29" s="37">
        <v>53.3</v>
      </c>
      <c r="BE29" s="37">
        <v>54.6</v>
      </c>
      <c r="BF29" s="37">
        <v>64.8</v>
      </c>
      <c r="BG29" s="37">
        <v>63.8</v>
      </c>
      <c r="BH29" s="37">
        <v>53.8</v>
      </c>
      <c r="BI29" s="37">
        <v>54.3</v>
      </c>
      <c r="BJ29" s="37">
        <v>57.7</v>
      </c>
      <c r="BK29" s="37">
        <v>56.3</v>
      </c>
      <c r="BL29" s="37">
        <v>60.8</v>
      </c>
      <c r="BM29" s="37">
        <v>59</v>
      </c>
      <c r="BN29" s="37">
        <v>63</v>
      </c>
      <c r="BO29" s="37">
        <v>63.4</v>
      </c>
      <c r="BP29" s="37">
        <v>64.599999999999994</v>
      </c>
      <c r="BQ29" s="37">
        <v>73.099999999999994</v>
      </c>
      <c r="BR29" s="37">
        <v>76</v>
      </c>
      <c r="BS29" s="37">
        <v>87.3</v>
      </c>
      <c r="BT29" s="37">
        <v>91.3</v>
      </c>
      <c r="BU29" s="37">
        <v>87.1</v>
      </c>
      <c r="BV29" s="37">
        <v>84.5</v>
      </c>
      <c r="BW29" s="37">
        <v>90</v>
      </c>
      <c r="BX29" s="37">
        <v>97.8</v>
      </c>
      <c r="BY29" s="37">
        <v>102.7</v>
      </c>
      <c r="BZ29" s="37">
        <v>104.9</v>
      </c>
      <c r="CA29" s="37">
        <v>94.4</v>
      </c>
      <c r="CB29" s="37">
        <v>91.6</v>
      </c>
      <c r="CC29" s="37">
        <v>91.4</v>
      </c>
      <c r="CD29" s="37">
        <v>91.1</v>
      </c>
      <c r="CE29" s="37">
        <v>94.7</v>
      </c>
      <c r="CF29" s="37">
        <v>97</v>
      </c>
      <c r="CG29" s="37">
        <v>95.4</v>
      </c>
      <c r="CH29" s="37">
        <v>91.5</v>
      </c>
      <c r="CI29" s="37">
        <v>87.5</v>
      </c>
      <c r="CJ29" s="37">
        <v>88.2</v>
      </c>
      <c r="CK29" s="37">
        <v>89.5</v>
      </c>
      <c r="CL29" s="37">
        <v>99.8</v>
      </c>
      <c r="CM29" s="37">
        <v>102</v>
      </c>
      <c r="CN29" s="37">
        <v>98.9</v>
      </c>
      <c r="CO29" s="37">
        <v>107.2</v>
      </c>
      <c r="CP29" s="37">
        <v>111.5</v>
      </c>
      <c r="CQ29" s="37">
        <v>121.9</v>
      </c>
      <c r="CR29" s="37">
        <v>115.5</v>
      </c>
      <c r="CS29" s="37">
        <v>141</v>
      </c>
      <c r="CT29" s="37">
        <v>122.4</v>
      </c>
      <c r="CU29" s="37">
        <v>129.30000000000001</v>
      </c>
      <c r="CV29" s="37">
        <v>142.4</v>
      </c>
      <c r="CW29" s="37">
        <v>150.9</v>
      </c>
      <c r="CX29" s="37">
        <v>155.30000000000001</v>
      </c>
      <c r="CY29" s="37">
        <v>153.1</v>
      </c>
      <c r="CZ29" s="37">
        <v>159.1</v>
      </c>
      <c r="DA29" s="37">
        <v>156.19999999999999</v>
      </c>
      <c r="DB29" s="37">
        <v>162.4</v>
      </c>
      <c r="DC29" s="37">
        <v>171.9</v>
      </c>
      <c r="DD29" s="37">
        <v>172.6</v>
      </c>
      <c r="DE29" s="37">
        <v>175.3</v>
      </c>
      <c r="DF29" s="37">
        <v>176.9</v>
      </c>
      <c r="DG29" s="37">
        <v>180.5</v>
      </c>
      <c r="DH29" s="37">
        <v>190.5</v>
      </c>
      <c r="DI29" s="37">
        <v>181.5</v>
      </c>
      <c r="DJ29" s="37">
        <v>178.8</v>
      </c>
      <c r="DK29" s="37">
        <v>175.4</v>
      </c>
      <c r="DL29" s="37">
        <v>180.1</v>
      </c>
      <c r="DM29" s="37">
        <v>176.4</v>
      </c>
      <c r="DN29" s="37">
        <v>186</v>
      </c>
      <c r="DO29" s="37">
        <v>184.4</v>
      </c>
      <c r="DP29" s="37">
        <v>187.7</v>
      </c>
      <c r="DQ29" s="37">
        <v>192.1</v>
      </c>
      <c r="DR29" s="37">
        <v>202.2</v>
      </c>
      <c r="DS29" s="37">
        <v>201.1</v>
      </c>
      <c r="DT29" s="37">
        <v>185.6</v>
      </c>
      <c r="DU29" s="37">
        <v>187.6</v>
      </c>
      <c r="DV29" s="37">
        <v>154.9</v>
      </c>
      <c r="DW29" s="37">
        <v>148.69999999999999</v>
      </c>
      <c r="DX29" s="37">
        <v>130.9</v>
      </c>
      <c r="DY29" s="37">
        <v>115.8</v>
      </c>
      <c r="DZ29" s="37">
        <v>115.5</v>
      </c>
      <c r="EA29" s="37">
        <v>119.9</v>
      </c>
      <c r="EB29" s="37">
        <v>126.5</v>
      </c>
      <c r="EC29" s="37">
        <v>142</v>
      </c>
      <c r="ED29" s="37">
        <v>161.5</v>
      </c>
      <c r="EE29" s="37">
        <v>160.9</v>
      </c>
      <c r="EF29" s="37">
        <v>180.3</v>
      </c>
      <c r="EG29" s="37">
        <v>200.4</v>
      </c>
      <c r="EH29" s="37">
        <v>209.2</v>
      </c>
      <c r="EI29" s="37">
        <v>226</v>
      </c>
      <c r="EJ29" s="37">
        <v>244.5</v>
      </c>
      <c r="EK29" s="37">
        <v>249.2</v>
      </c>
      <c r="EL29" s="37">
        <v>315.3</v>
      </c>
      <c r="EM29" s="37">
        <v>306.10000000000002</v>
      </c>
      <c r="EN29" s="37">
        <v>311.89999999999998</v>
      </c>
      <c r="EO29" s="37">
        <v>344.7</v>
      </c>
      <c r="EP29" s="37">
        <v>357.2</v>
      </c>
      <c r="EQ29" s="37">
        <v>367.3</v>
      </c>
      <c r="ER29" s="37">
        <v>384.8</v>
      </c>
      <c r="ES29" s="37">
        <v>354.6</v>
      </c>
      <c r="ET29" s="37">
        <v>354.5</v>
      </c>
      <c r="EU29" s="37">
        <v>347.7</v>
      </c>
      <c r="EV29" s="37">
        <v>314.60000000000002</v>
      </c>
      <c r="EW29" s="37">
        <v>296.2</v>
      </c>
      <c r="EX29" s="37">
        <v>241.7</v>
      </c>
      <c r="EY29" s="37">
        <v>227.1</v>
      </c>
      <c r="EZ29" s="37">
        <v>211.5</v>
      </c>
      <c r="FA29" s="37">
        <v>127.5</v>
      </c>
      <c r="FB29" s="37">
        <v>122.7</v>
      </c>
      <c r="FC29" s="37">
        <v>138.9</v>
      </c>
      <c r="FD29" s="37">
        <v>159.4</v>
      </c>
      <c r="FE29" s="37">
        <v>190.8</v>
      </c>
      <c r="FF29" s="37">
        <v>204.7</v>
      </c>
      <c r="FG29" s="37">
        <v>212.2</v>
      </c>
      <c r="FH29" s="37">
        <v>227.1</v>
      </c>
      <c r="FI29" s="37">
        <v>233.6</v>
      </c>
      <c r="FJ29" s="37">
        <v>228.9</v>
      </c>
      <c r="FK29" s="37">
        <v>227.2</v>
      </c>
      <c r="FL29" s="37">
        <v>201.7</v>
      </c>
      <c r="FM29" s="37">
        <v>238</v>
      </c>
      <c r="FN29" s="37">
        <v>261.5</v>
      </c>
      <c r="FO29" s="37">
        <v>275.5</v>
      </c>
      <c r="FP29" s="37">
        <v>280.8</v>
      </c>
      <c r="FQ29" s="37">
        <v>280.89999999999998</v>
      </c>
      <c r="FR29" s="37">
        <v>297</v>
      </c>
      <c r="FS29" s="37">
        <v>293.2</v>
      </c>
      <c r="FT29" s="37">
        <v>301.2</v>
      </c>
      <c r="FU29" s="37">
        <v>302.3</v>
      </c>
      <c r="FV29" s="37">
        <v>336.4</v>
      </c>
      <c r="FW29" s="37">
        <v>360</v>
      </c>
      <c r="FX29" s="37">
        <v>330.1</v>
      </c>
      <c r="FY29" s="37">
        <v>332.1</v>
      </c>
      <c r="FZ29" s="37">
        <v>345.9</v>
      </c>
      <c r="GA29" s="37">
        <v>351</v>
      </c>
      <c r="GB29" s="37">
        <v>323.8</v>
      </c>
      <c r="GC29" s="37">
        <v>295.60000000000002</v>
      </c>
      <c r="GD29" s="37">
        <v>310.60000000000002</v>
      </c>
      <c r="GE29" s="37">
        <v>315.2</v>
      </c>
      <c r="GF29" s="37">
        <v>322</v>
      </c>
      <c r="GG29" s="37">
        <v>299.60000000000002</v>
      </c>
      <c r="GH29" s="37">
        <v>211.7</v>
      </c>
      <c r="GI29" s="37">
        <v>225.4</v>
      </c>
      <c r="GJ29" s="37">
        <v>241.3</v>
      </c>
      <c r="GK29" s="37">
        <v>243</v>
      </c>
      <c r="GL29" s="37">
        <v>206.5</v>
      </c>
      <c r="GM29" s="37">
        <v>227.2</v>
      </c>
      <c r="GN29" s="37">
        <v>229</v>
      </c>
      <c r="GO29" s="37">
        <v>237.2</v>
      </c>
      <c r="GP29" s="37">
        <v>202.8</v>
      </c>
      <c r="GQ29" s="37">
        <v>215.9</v>
      </c>
      <c r="GR29" s="37">
        <v>196.9</v>
      </c>
      <c r="GS29" s="37">
        <v>226.2</v>
      </c>
      <c r="GT29" s="37">
        <v>183.1</v>
      </c>
      <c r="GU29" s="37">
        <v>177.8</v>
      </c>
      <c r="GV29" s="37">
        <v>218.4</v>
      </c>
      <c r="GW29" s="37">
        <v>226.5</v>
      </c>
      <c r="GX29" s="37">
        <v>249.6</v>
      </c>
      <c r="GY29" s="37">
        <v>281.39999999999998</v>
      </c>
      <c r="GZ29" s="37">
        <v>278.39999999999998</v>
      </c>
      <c r="HA29" s="37">
        <v>304.8</v>
      </c>
      <c r="HB29">
        <v>313.8</v>
      </c>
      <c r="HC29">
        <v>353.2</v>
      </c>
      <c r="HD29">
        <v>334.6</v>
      </c>
    </row>
    <row r="30" spans="1:212" x14ac:dyDescent="0.3">
      <c r="A30" s="37" t="s">
        <v>1788</v>
      </c>
      <c r="B30" s="37">
        <v>45.1</v>
      </c>
      <c r="C30" s="37">
        <v>45.4</v>
      </c>
      <c r="D30" s="37">
        <v>45.9</v>
      </c>
      <c r="E30" s="37">
        <v>45.6</v>
      </c>
      <c r="F30" s="37">
        <v>49.6</v>
      </c>
      <c r="G30" s="37">
        <v>50.2</v>
      </c>
      <c r="H30" s="37">
        <v>50.5</v>
      </c>
      <c r="I30" s="37">
        <v>51</v>
      </c>
      <c r="J30" s="37">
        <v>57.3</v>
      </c>
      <c r="K30" s="37">
        <v>57.9</v>
      </c>
      <c r="L30" s="37">
        <v>58.5</v>
      </c>
      <c r="M30" s="37">
        <v>59.4</v>
      </c>
      <c r="N30" s="37">
        <v>72.7</v>
      </c>
      <c r="O30" s="37">
        <v>73.8</v>
      </c>
      <c r="P30" s="37">
        <v>75.099999999999994</v>
      </c>
      <c r="Q30" s="37">
        <v>76.599999999999994</v>
      </c>
      <c r="R30" s="37">
        <v>82.1</v>
      </c>
      <c r="S30" s="37">
        <v>83.6</v>
      </c>
      <c r="T30" s="37">
        <v>85.2</v>
      </c>
      <c r="U30" s="37">
        <v>85.4</v>
      </c>
      <c r="V30" s="37">
        <v>86.5</v>
      </c>
      <c r="W30" s="37">
        <v>86.8</v>
      </c>
      <c r="X30" s="37">
        <v>88.5</v>
      </c>
      <c r="Y30" s="37">
        <v>90.5</v>
      </c>
      <c r="Z30" s="37">
        <v>97.5</v>
      </c>
      <c r="AA30" s="37">
        <v>98.9</v>
      </c>
      <c r="AB30" s="37">
        <v>100.6</v>
      </c>
      <c r="AC30" s="37">
        <v>102.1</v>
      </c>
      <c r="AD30" s="37">
        <v>107.5</v>
      </c>
      <c r="AE30" s="37">
        <v>110.1</v>
      </c>
      <c r="AF30" s="37">
        <v>112.2</v>
      </c>
      <c r="AG30" s="37">
        <v>114.4</v>
      </c>
      <c r="AH30" s="37">
        <v>121.6</v>
      </c>
      <c r="AI30" s="37">
        <v>126.5</v>
      </c>
      <c r="AJ30" s="37">
        <v>130.80000000000001</v>
      </c>
      <c r="AK30" s="37">
        <v>136</v>
      </c>
      <c r="AL30" s="37">
        <v>143.1</v>
      </c>
      <c r="AM30" s="37">
        <v>147.4</v>
      </c>
      <c r="AN30" s="37">
        <v>152.4</v>
      </c>
      <c r="AO30" s="37">
        <v>156.30000000000001</v>
      </c>
      <c r="AP30" s="37">
        <v>159.30000000000001</v>
      </c>
      <c r="AQ30" s="37">
        <v>161</v>
      </c>
      <c r="AR30" s="37">
        <v>164.2</v>
      </c>
      <c r="AS30" s="37">
        <v>170.1</v>
      </c>
      <c r="AT30" s="37">
        <v>187.3</v>
      </c>
      <c r="AU30" s="37">
        <v>190.9</v>
      </c>
      <c r="AV30" s="37">
        <v>195.6</v>
      </c>
      <c r="AW30" s="37">
        <v>198.2</v>
      </c>
      <c r="AX30" s="37">
        <v>203.2</v>
      </c>
      <c r="AY30" s="37">
        <v>205.2</v>
      </c>
      <c r="AZ30" s="37">
        <v>207.5</v>
      </c>
      <c r="BA30" s="37">
        <v>208.3</v>
      </c>
      <c r="BB30" s="37">
        <v>216.1</v>
      </c>
      <c r="BC30" s="37">
        <v>220.2</v>
      </c>
      <c r="BD30" s="37">
        <v>224.8</v>
      </c>
      <c r="BE30" s="37">
        <v>231.2</v>
      </c>
      <c r="BF30" s="37">
        <v>246.3</v>
      </c>
      <c r="BG30" s="37">
        <v>252.1</v>
      </c>
      <c r="BH30" s="37">
        <v>257.10000000000002</v>
      </c>
      <c r="BI30" s="37">
        <v>261.10000000000002</v>
      </c>
      <c r="BJ30" s="37">
        <v>271</v>
      </c>
      <c r="BK30" s="37">
        <v>275</v>
      </c>
      <c r="BL30" s="37">
        <v>279.7</v>
      </c>
      <c r="BM30" s="37">
        <v>285.89999999999998</v>
      </c>
      <c r="BN30" s="37">
        <v>292.7</v>
      </c>
      <c r="BO30" s="37">
        <v>296.10000000000002</v>
      </c>
      <c r="BP30" s="37">
        <v>300.8</v>
      </c>
      <c r="BQ30" s="37">
        <v>306.2</v>
      </c>
      <c r="BR30" s="37">
        <v>310.7</v>
      </c>
      <c r="BS30" s="37">
        <v>314.5</v>
      </c>
      <c r="BT30" s="37">
        <v>319</v>
      </c>
      <c r="BU30" s="37">
        <v>325.60000000000002</v>
      </c>
      <c r="BV30" s="37">
        <v>344.7</v>
      </c>
      <c r="BW30" s="37">
        <v>351.7</v>
      </c>
      <c r="BX30" s="37">
        <v>357.7</v>
      </c>
      <c r="BY30" s="37">
        <v>365</v>
      </c>
      <c r="BZ30" s="37">
        <v>370.9</v>
      </c>
      <c r="CA30" s="37">
        <v>375.4</v>
      </c>
      <c r="CB30" s="37">
        <v>379.8</v>
      </c>
      <c r="CC30" s="37">
        <v>385.6</v>
      </c>
      <c r="CD30" s="37">
        <v>394</v>
      </c>
      <c r="CE30" s="37">
        <v>399</v>
      </c>
      <c r="CF30" s="37">
        <v>406.4</v>
      </c>
      <c r="CG30" s="37">
        <v>408.9</v>
      </c>
      <c r="CH30" s="37">
        <v>412</v>
      </c>
      <c r="CI30" s="37">
        <v>418.3</v>
      </c>
      <c r="CJ30" s="37">
        <v>423.7</v>
      </c>
      <c r="CK30" s="37">
        <v>428.4</v>
      </c>
      <c r="CL30" s="37">
        <v>439.9</v>
      </c>
      <c r="CM30" s="37">
        <v>445.1</v>
      </c>
      <c r="CN30" s="37">
        <v>447.9</v>
      </c>
      <c r="CO30" s="37">
        <v>442.9</v>
      </c>
      <c r="CP30" s="37">
        <v>462.1</v>
      </c>
      <c r="CQ30" s="37">
        <v>462.4</v>
      </c>
      <c r="CR30" s="37">
        <v>466.8</v>
      </c>
      <c r="CS30" s="37">
        <v>470.8</v>
      </c>
      <c r="CT30" s="37">
        <v>485.8</v>
      </c>
      <c r="CU30" s="37">
        <v>493</v>
      </c>
      <c r="CV30" s="37">
        <v>499</v>
      </c>
      <c r="CW30" s="37">
        <v>506.8</v>
      </c>
      <c r="CX30" s="37">
        <v>514.20000000000005</v>
      </c>
      <c r="CY30" s="37">
        <v>519</v>
      </c>
      <c r="CZ30" s="37">
        <v>524.6</v>
      </c>
      <c r="DA30" s="37">
        <v>529.9</v>
      </c>
      <c r="DB30" s="37">
        <v>532.9</v>
      </c>
      <c r="DC30" s="37">
        <v>541.70000000000005</v>
      </c>
      <c r="DD30" s="37">
        <v>549.5</v>
      </c>
      <c r="DE30" s="37">
        <v>557.5</v>
      </c>
      <c r="DF30" s="37">
        <v>566</v>
      </c>
      <c r="DG30" s="37">
        <v>574</v>
      </c>
      <c r="DH30" s="37">
        <v>582.9</v>
      </c>
      <c r="DI30" s="37">
        <v>594.79999999999995</v>
      </c>
      <c r="DJ30" s="37">
        <v>602.79999999999995</v>
      </c>
      <c r="DK30" s="37">
        <v>612.29999999999995</v>
      </c>
      <c r="DL30" s="37">
        <v>622.20000000000005</v>
      </c>
      <c r="DM30" s="37">
        <v>632.20000000000005</v>
      </c>
      <c r="DN30" s="37">
        <v>643.5</v>
      </c>
      <c r="DO30" s="37">
        <v>649.29999999999995</v>
      </c>
      <c r="DP30" s="37">
        <v>656.7</v>
      </c>
      <c r="DQ30" s="37">
        <v>669.8</v>
      </c>
      <c r="DR30" s="37">
        <v>689.4</v>
      </c>
      <c r="DS30" s="37">
        <v>691.5</v>
      </c>
      <c r="DT30" s="37">
        <v>704.2</v>
      </c>
      <c r="DU30" s="37">
        <v>709.2</v>
      </c>
      <c r="DV30" s="37">
        <v>723.4</v>
      </c>
      <c r="DW30" s="37">
        <v>723.4</v>
      </c>
      <c r="DX30" s="37">
        <v>722</v>
      </c>
      <c r="DY30" s="37">
        <v>724.2</v>
      </c>
      <c r="DZ30" s="37">
        <v>732</v>
      </c>
      <c r="EA30" s="37">
        <v>739.9</v>
      </c>
      <c r="EB30" s="37">
        <v>742</v>
      </c>
      <c r="EC30" s="37">
        <v>743.8</v>
      </c>
      <c r="ED30" s="37">
        <v>749.1</v>
      </c>
      <c r="EE30" s="37">
        <v>758.6</v>
      </c>
      <c r="EF30" s="37">
        <v>767.2</v>
      </c>
      <c r="EG30" s="37">
        <v>778.2</v>
      </c>
      <c r="EH30" s="37">
        <v>790</v>
      </c>
      <c r="EI30" s="37">
        <v>803.5</v>
      </c>
      <c r="EJ30" s="37">
        <v>818.4</v>
      </c>
      <c r="EK30" s="37">
        <v>824</v>
      </c>
      <c r="EL30" s="37">
        <v>837.4</v>
      </c>
      <c r="EM30" s="37">
        <v>846</v>
      </c>
      <c r="EN30" s="37">
        <v>859.8</v>
      </c>
      <c r="EO30" s="37">
        <v>870.4</v>
      </c>
      <c r="EP30" s="37">
        <v>895.1</v>
      </c>
      <c r="EQ30" s="37">
        <v>900.8</v>
      </c>
      <c r="ER30" s="37">
        <v>906.2</v>
      </c>
      <c r="ES30" s="37">
        <v>920.6</v>
      </c>
      <c r="ET30" s="37">
        <v>940.9</v>
      </c>
      <c r="EU30" s="37">
        <v>943.1</v>
      </c>
      <c r="EV30" s="37">
        <v>946.7</v>
      </c>
      <c r="EW30" s="37">
        <v>958.4</v>
      </c>
      <c r="EX30" s="37">
        <v>970.2</v>
      </c>
      <c r="EY30" s="37">
        <v>972.3</v>
      </c>
      <c r="EZ30" s="37">
        <v>977.6</v>
      </c>
      <c r="FA30" s="37">
        <v>977.8</v>
      </c>
      <c r="FB30" s="37">
        <v>946</v>
      </c>
      <c r="FC30" s="37">
        <v>952.6</v>
      </c>
      <c r="FD30" s="37">
        <v>950.3</v>
      </c>
      <c r="FE30" s="37">
        <v>953.9</v>
      </c>
      <c r="FF30" s="37">
        <v>960.6</v>
      </c>
      <c r="FG30" s="37">
        <v>971.7</v>
      </c>
      <c r="FH30" s="37">
        <v>974.6</v>
      </c>
      <c r="FI30" s="37">
        <v>976.6</v>
      </c>
      <c r="FJ30" s="37">
        <v>898.3</v>
      </c>
      <c r="FK30" s="37">
        <v>900.9</v>
      </c>
      <c r="FL30" s="37">
        <v>909.4</v>
      </c>
      <c r="FM30" s="37">
        <v>904.2</v>
      </c>
      <c r="FN30" s="37">
        <v>927.5</v>
      </c>
      <c r="FO30" s="37">
        <v>932.2</v>
      </c>
      <c r="FP30" s="37">
        <v>935.2</v>
      </c>
      <c r="FQ30" s="37">
        <v>957</v>
      </c>
      <c r="FR30" s="37">
        <v>1078.5999999999999</v>
      </c>
      <c r="FS30" s="37">
        <v>1090.7</v>
      </c>
      <c r="FT30" s="37">
        <v>1093.5999999999999</v>
      </c>
      <c r="FU30" s="37">
        <v>1104.2</v>
      </c>
      <c r="FV30" s="37">
        <v>1126.5999999999999</v>
      </c>
      <c r="FW30" s="37">
        <v>1131</v>
      </c>
      <c r="FX30" s="37">
        <v>1142.5</v>
      </c>
      <c r="FY30" s="37">
        <v>1160.0999999999999</v>
      </c>
      <c r="FZ30" s="37">
        <v>1175.2</v>
      </c>
      <c r="GA30" s="37">
        <v>1187</v>
      </c>
      <c r="GB30" s="37">
        <v>1196.8</v>
      </c>
      <c r="GC30" s="37">
        <v>1204.0999999999999</v>
      </c>
      <c r="GD30" s="37">
        <v>1211</v>
      </c>
      <c r="GE30" s="37">
        <v>1217</v>
      </c>
      <c r="GF30" s="37">
        <v>1228</v>
      </c>
      <c r="GG30" s="37">
        <v>1241.5</v>
      </c>
      <c r="GH30" s="37">
        <v>1262.7</v>
      </c>
      <c r="GI30" s="37">
        <v>1275.0999999999999</v>
      </c>
      <c r="GJ30" s="37">
        <v>1290.3</v>
      </c>
      <c r="GK30" s="37">
        <v>1309.0999999999999</v>
      </c>
      <c r="GL30" s="37">
        <v>1328.9</v>
      </c>
      <c r="GM30" s="37">
        <v>1338.6</v>
      </c>
      <c r="GN30" s="37">
        <v>1355.1</v>
      </c>
      <c r="GO30" s="37">
        <v>1363.4</v>
      </c>
      <c r="GP30" s="37">
        <v>1395.2</v>
      </c>
      <c r="GQ30" s="37">
        <v>1402.6</v>
      </c>
      <c r="GR30" s="37">
        <v>1410</v>
      </c>
      <c r="GS30" s="37">
        <v>1429</v>
      </c>
      <c r="GT30" s="37">
        <v>1455.1</v>
      </c>
      <c r="GU30" s="37">
        <v>1385.3</v>
      </c>
      <c r="GV30" s="37">
        <v>1432.2</v>
      </c>
      <c r="GW30" s="37">
        <v>1465</v>
      </c>
      <c r="GX30" s="37">
        <v>1474.8</v>
      </c>
      <c r="GY30" s="37">
        <v>1504.3</v>
      </c>
      <c r="GZ30" s="37">
        <v>1536.3</v>
      </c>
      <c r="HA30" s="37">
        <v>1578.1</v>
      </c>
      <c r="HB30" s="37">
        <v>1617.1</v>
      </c>
      <c r="HC30">
        <v>1636.8</v>
      </c>
      <c r="HD30">
        <v>1664</v>
      </c>
    </row>
    <row r="31" spans="1:212" x14ac:dyDescent="0.3">
      <c r="A31" s="37" t="s">
        <v>1789</v>
      </c>
      <c r="B31" s="37">
        <v>48.3</v>
      </c>
      <c r="C31" s="37">
        <v>57.5</v>
      </c>
      <c r="D31" s="37">
        <v>56.9</v>
      </c>
      <c r="E31" s="37">
        <v>59.8</v>
      </c>
      <c r="F31" s="37">
        <v>61</v>
      </c>
      <c r="G31" s="37">
        <v>67.900000000000006</v>
      </c>
      <c r="H31" s="37">
        <v>67.2</v>
      </c>
      <c r="I31" s="37">
        <v>68.2</v>
      </c>
      <c r="J31" s="37">
        <v>70.2</v>
      </c>
      <c r="K31" s="37">
        <v>70.2</v>
      </c>
      <c r="L31" s="37">
        <v>70.3</v>
      </c>
      <c r="M31" s="37">
        <v>80.599999999999994</v>
      </c>
      <c r="N31" s="37">
        <v>82.2</v>
      </c>
      <c r="O31" s="37">
        <v>83.6</v>
      </c>
      <c r="P31" s="37">
        <v>85.1</v>
      </c>
      <c r="Q31" s="37">
        <v>87.3</v>
      </c>
      <c r="R31" s="37">
        <v>94.1</v>
      </c>
      <c r="S31" s="37">
        <v>100.7</v>
      </c>
      <c r="T31" s="37">
        <v>106.4</v>
      </c>
      <c r="U31" s="37">
        <v>112</v>
      </c>
      <c r="V31" s="37">
        <v>120.5</v>
      </c>
      <c r="W31" s="37">
        <v>134.19999999999999</v>
      </c>
      <c r="X31" s="37">
        <v>136.80000000000001</v>
      </c>
      <c r="Y31" s="37">
        <v>137.80000000000001</v>
      </c>
      <c r="Z31" s="37">
        <v>141.30000000000001</v>
      </c>
      <c r="AA31" s="37">
        <v>139.6</v>
      </c>
      <c r="AB31" s="37">
        <v>145.4</v>
      </c>
      <c r="AC31" s="37">
        <v>147.69999999999999</v>
      </c>
      <c r="AD31" s="37">
        <v>149.80000000000001</v>
      </c>
      <c r="AE31" s="37">
        <v>148.9</v>
      </c>
      <c r="AF31" s="37">
        <v>154.4</v>
      </c>
      <c r="AG31" s="37">
        <v>156.6</v>
      </c>
      <c r="AH31" s="37">
        <v>158.5</v>
      </c>
      <c r="AI31" s="37">
        <v>158</v>
      </c>
      <c r="AJ31" s="37">
        <v>165.9</v>
      </c>
      <c r="AK31" s="37">
        <v>168.3</v>
      </c>
      <c r="AL31" s="37">
        <v>172.5</v>
      </c>
      <c r="AM31" s="37">
        <v>175.7</v>
      </c>
      <c r="AN31" s="37">
        <v>190.1</v>
      </c>
      <c r="AO31" s="37">
        <v>193.8</v>
      </c>
      <c r="AP31" s="37">
        <v>202.1</v>
      </c>
      <c r="AQ31" s="37">
        <v>207.3</v>
      </c>
      <c r="AR31" s="37">
        <v>235.4</v>
      </c>
      <c r="AS31" s="37">
        <v>236.4</v>
      </c>
      <c r="AT31" s="37">
        <v>240.5</v>
      </c>
      <c r="AU31" s="37">
        <v>241.6</v>
      </c>
      <c r="AV31" s="37">
        <v>259.3</v>
      </c>
      <c r="AW31" s="37">
        <v>261.5</v>
      </c>
      <c r="AX31" s="37">
        <v>265.2</v>
      </c>
      <c r="AY31" s="37">
        <v>272.2</v>
      </c>
      <c r="AZ31" s="37">
        <v>287.5</v>
      </c>
      <c r="BA31" s="37">
        <v>302.60000000000002</v>
      </c>
      <c r="BB31" s="37">
        <v>302.2</v>
      </c>
      <c r="BC31" s="37">
        <v>307.39999999999998</v>
      </c>
      <c r="BD31" s="37">
        <v>301.3</v>
      </c>
      <c r="BE31" s="37">
        <v>303.5</v>
      </c>
      <c r="BF31" s="37">
        <v>306.39999999999998</v>
      </c>
      <c r="BG31" s="37">
        <v>308.39999999999998</v>
      </c>
      <c r="BH31" s="37">
        <v>309.10000000000002</v>
      </c>
      <c r="BI31" s="37">
        <v>315.10000000000002</v>
      </c>
      <c r="BJ31" s="37">
        <v>323.2</v>
      </c>
      <c r="BK31" s="37">
        <v>324.2</v>
      </c>
      <c r="BL31" s="37">
        <v>327.5</v>
      </c>
      <c r="BM31" s="37">
        <v>328.5</v>
      </c>
      <c r="BN31" s="37">
        <v>338.3</v>
      </c>
      <c r="BO31" s="37">
        <v>342</v>
      </c>
      <c r="BP31" s="37">
        <v>347.8</v>
      </c>
      <c r="BQ31" s="37">
        <v>348.9</v>
      </c>
      <c r="BR31" s="37">
        <v>353.6</v>
      </c>
      <c r="BS31" s="37">
        <v>357.6</v>
      </c>
      <c r="BT31" s="37">
        <v>357.9</v>
      </c>
      <c r="BU31" s="37">
        <v>359.7</v>
      </c>
      <c r="BV31" s="37">
        <v>375</v>
      </c>
      <c r="BW31" s="37">
        <v>376.1</v>
      </c>
      <c r="BX31" s="37">
        <v>379.3</v>
      </c>
      <c r="BY31" s="37">
        <v>383</v>
      </c>
      <c r="BZ31" s="37">
        <v>403.9</v>
      </c>
      <c r="CA31" s="37">
        <v>408.3</v>
      </c>
      <c r="CB31" s="37">
        <v>413.7</v>
      </c>
      <c r="CC31" s="37">
        <v>420.9</v>
      </c>
      <c r="CD31" s="37">
        <v>437.5</v>
      </c>
      <c r="CE31" s="37">
        <v>443.4</v>
      </c>
      <c r="CF31" s="37">
        <v>447.9</v>
      </c>
      <c r="CG31" s="37">
        <v>459.4</v>
      </c>
      <c r="CH31" s="37">
        <v>481</v>
      </c>
      <c r="CI31" s="37">
        <v>491.3</v>
      </c>
      <c r="CJ31" s="37">
        <v>495.1</v>
      </c>
      <c r="CK31" s="37">
        <v>508.5</v>
      </c>
      <c r="CL31" s="37">
        <v>540</v>
      </c>
      <c r="CM31" s="37">
        <v>550.5</v>
      </c>
      <c r="CN31" s="37">
        <v>555.5</v>
      </c>
      <c r="CO31" s="37">
        <v>561.1</v>
      </c>
      <c r="CP31" s="37">
        <v>577.6</v>
      </c>
      <c r="CQ31" s="37">
        <v>582</v>
      </c>
      <c r="CR31" s="37">
        <v>585.70000000000005</v>
      </c>
      <c r="CS31" s="37">
        <v>589.6</v>
      </c>
      <c r="CT31" s="37">
        <v>601.79999999999995</v>
      </c>
      <c r="CU31" s="37">
        <v>606.20000000000005</v>
      </c>
      <c r="CV31" s="37">
        <v>610</v>
      </c>
      <c r="CW31" s="37">
        <v>618.1</v>
      </c>
      <c r="CX31" s="37">
        <v>637.6</v>
      </c>
      <c r="CY31" s="37">
        <v>644.9</v>
      </c>
      <c r="CZ31" s="37">
        <v>650</v>
      </c>
      <c r="DA31" s="37">
        <v>655.8</v>
      </c>
      <c r="DB31" s="37">
        <v>675</v>
      </c>
      <c r="DC31" s="37">
        <v>680.7</v>
      </c>
      <c r="DD31" s="37">
        <v>683.7</v>
      </c>
      <c r="DE31" s="37">
        <v>688.9</v>
      </c>
      <c r="DF31" s="37">
        <v>704.5</v>
      </c>
      <c r="DG31" s="37">
        <v>707.5</v>
      </c>
      <c r="DH31" s="37">
        <v>709.2</v>
      </c>
      <c r="DI31" s="37">
        <v>710.2</v>
      </c>
      <c r="DJ31" s="37">
        <v>719.7</v>
      </c>
      <c r="DK31" s="37">
        <v>720.7</v>
      </c>
      <c r="DL31" s="37">
        <v>723.5</v>
      </c>
      <c r="DM31" s="37">
        <v>724.7</v>
      </c>
      <c r="DN31" s="37">
        <v>735.5</v>
      </c>
      <c r="DO31" s="37">
        <v>738.6</v>
      </c>
      <c r="DP31" s="37">
        <v>741.1</v>
      </c>
      <c r="DQ31" s="37">
        <v>744.2</v>
      </c>
      <c r="DR31" s="37">
        <v>756.8</v>
      </c>
      <c r="DS31" s="37">
        <v>772.9</v>
      </c>
      <c r="DT31" s="37">
        <v>777.5</v>
      </c>
      <c r="DU31" s="37">
        <v>786.5</v>
      </c>
      <c r="DV31" s="37">
        <v>817.3</v>
      </c>
      <c r="DW31" s="37">
        <v>831</v>
      </c>
      <c r="DX31" s="37">
        <v>849.4</v>
      </c>
      <c r="DY31" s="37">
        <v>865.2</v>
      </c>
      <c r="DZ31" s="37">
        <v>895</v>
      </c>
      <c r="EA31" s="37">
        <v>921</v>
      </c>
      <c r="EB31" s="37">
        <v>925.2</v>
      </c>
      <c r="EC31" s="37">
        <v>930.8</v>
      </c>
      <c r="ED31" s="37">
        <v>947.7</v>
      </c>
      <c r="EE31" s="37">
        <v>964.3</v>
      </c>
      <c r="EF31" s="37">
        <v>973.7</v>
      </c>
      <c r="EG31" s="37">
        <v>984.3</v>
      </c>
      <c r="EH31" s="37">
        <v>1003.6</v>
      </c>
      <c r="EI31" s="37">
        <v>1013.5</v>
      </c>
      <c r="EJ31" s="37">
        <v>1024.0999999999999</v>
      </c>
      <c r="EK31" s="37">
        <v>1036.9000000000001</v>
      </c>
      <c r="EL31" s="37">
        <v>1065.3</v>
      </c>
      <c r="EM31" s="37">
        <v>1076</v>
      </c>
      <c r="EN31" s="37">
        <v>1091.8</v>
      </c>
      <c r="EO31" s="37">
        <v>1104.4000000000001</v>
      </c>
      <c r="EP31" s="37">
        <v>1172.7</v>
      </c>
      <c r="EQ31" s="37">
        <v>1184</v>
      </c>
      <c r="ER31" s="37">
        <v>1194.0999999999999</v>
      </c>
      <c r="ES31" s="37">
        <v>1205.5999999999999</v>
      </c>
      <c r="ET31" s="37">
        <v>1240.0999999999999</v>
      </c>
      <c r="EU31" s="37">
        <v>1256.7</v>
      </c>
      <c r="EV31" s="37">
        <v>1270.2</v>
      </c>
      <c r="EW31" s="37">
        <v>1286.3</v>
      </c>
      <c r="EX31" s="37">
        <v>1321.9</v>
      </c>
      <c r="EY31" s="37">
        <v>1657</v>
      </c>
      <c r="EZ31" s="37">
        <v>1445.3</v>
      </c>
      <c r="FA31" s="37">
        <v>1428.7</v>
      </c>
      <c r="FB31" s="37">
        <v>1521.8</v>
      </c>
      <c r="FC31" s="37">
        <v>1648</v>
      </c>
      <c r="FD31" s="37">
        <v>1634.5</v>
      </c>
      <c r="FE31" s="37">
        <v>1653.9</v>
      </c>
      <c r="FF31" s="37">
        <v>1753.5</v>
      </c>
      <c r="FG31" s="37">
        <v>1755.7</v>
      </c>
      <c r="FH31" s="37">
        <v>1758.8</v>
      </c>
      <c r="FI31" s="37">
        <v>1761.9</v>
      </c>
      <c r="FJ31" s="37">
        <v>1768.6</v>
      </c>
      <c r="FK31" s="37">
        <v>1777.4</v>
      </c>
      <c r="FL31" s="37">
        <v>1782.4</v>
      </c>
      <c r="FM31" s="37">
        <v>1789.3</v>
      </c>
      <c r="FN31" s="37">
        <v>1772.9</v>
      </c>
      <c r="FO31" s="37">
        <v>1777.5</v>
      </c>
      <c r="FP31" s="37">
        <v>1783.6</v>
      </c>
      <c r="FQ31" s="37">
        <v>1793.4</v>
      </c>
      <c r="FR31" s="37">
        <v>1817.3</v>
      </c>
      <c r="FS31" s="37">
        <v>1815.5</v>
      </c>
      <c r="FT31" s="37">
        <v>1823.2</v>
      </c>
      <c r="FU31" s="37">
        <v>1830.1</v>
      </c>
      <c r="FV31" s="37">
        <v>1848.1</v>
      </c>
      <c r="FW31" s="37">
        <v>1876.8</v>
      </c>
      <c r="FX31" s="37">
        <v>1890.5</v>
      </c>
      <c r="FY31" s="37">
        <v>1909</v>
      </c>
      <c r="FZ31" s="37">
        <v>1945.5</v>
      </c>
      <c r="GA31" s="37">
        <v>1966.6</v>
      </c>
      <c r="GB31" s="37">
        <v>1977.6</v>
      </c>
      <c r="GC31" s="37">
        <v>1989.7</v>
      </c>
      <c r="GD31" s="37">
        <v>2006.2</v>
      </c>
      <c r="GE31" s="37">
        <v>2018</v>
      </c>
      <c r="GF31" s="37">
        <v>2029.1</v>
      </c>
      <c r="GG31" s="37">
        <v>2043.5</v>
      </c>
      <c r="GH31" s="37">
        <v>2074</v>
      </c>
      <c r="GI31" s="37">
        <v>2087.4</v>
      </c>
      <c r="GJ31" s="37">
        <v>2105.5</v>
      </c>
      <c r="GK31" s="37">
        <v>2124.1999999999998</v>
      </c>
      <c r="GL31" s="37">
        <v>2170.8000000000002</v>
      </c>
      <c r="GM31" s="37">
        <v>2183.4</v>
      </c>
      <c r="GN31" s="37">
        <v>2201.3000000000002</v>
      </c>
      <c r="GO31" s="37">
        <v>2224.3000000000002</v>
      </c>
      <c r="GP31" s="37">
        <v>2303.4</v>
      </c>
      <c r="GQ31" s="37">
        <v>2319.4</v>
      </c>
      <c r="GR31" s="37">
        <v>2333.8000000000002</v>
      </c>
      <c r="GS31" s="37">
        <v>2346.4</v>
      </c>
      <c r="GT31" s="37">
        <v>2407.5</v>
      </c>
      <c r="GU31" s="37">
        <v>4698.7</v>
      </c>
      <c r="GV31" s="37">
        <v>3492.4</v>
      </c>
      <c r="GW31" s="37">
        <v>2881.6</v>
      </c>
      <c r="GX31" s="37">
        <v>5094.8</v>
      </c>
      <c r="GY31" s="37">
        <v>3395.6</v>
      </c>
      <c r="GZ31" s="37">
        <v>3146.3</v>
      </c>
      <c r="HA31" s="37">
        <v>2937.4</v>
      </c>
      <c r="HB31" s="37">
        <v>2863</v>
      </c>
      <c r="HC31">
        <v>2846.5</v>
      </c>
      <c r="HD31">
        <v>2841.4</v>
      </c>
    </row>
    <row r="32" spans="1:212" x14ac:dyDescent="0.3">
      <c r="A32" s="37" t="s">
        <v>1790</v>
      </c>
      <c r="B32" s="37">
        <v>16.600000000000001</v>
      </c>
      <c r="C32" s="37">
        <v>17.899999999999999</v>
      </c>
      <c r="D32" s="37">
        <v>19.2</v>
      </c>
      <c r="E32" s="37">
        <v>19.8</v>
      </c>
      <c r="F32" s="37">
        <v>20.5</v>
      </c>
      <c r="G32" s="37">
        <v>22.1</v>
      </c>
      <c r="H32" s="37">
        <v>22.4</v>
      </c>
      <c r="I32" s="37">
        <v>23.7</v>
      </c>
      <c r="J32" s="37">
        <v>24.4</v>
      </c>
      <c r="K32" s="37">
        <v>32.700000000000003</v>
      </c>
      <c r="L32" s="37">
        <v>25.6</v>
      </c>
      <c r="M32" s="37">
        <v>39.299999999999997</v>
      </c>
      <c r="N32" s="37">
        <v>34.299999999999997</v>
      </c>
      <c r="O32" s="37">
        <v>33.4</v>
      </c>
      <c r="P32" s="37">
        <v>32.6</v>
      </c>
      <c r="Q32" s="37">
        <v>33.6</v>
      </c>
      <c r="R32" s="37">
        <v>33.299999999999997</v>
      </c>
      <c r="S32" s="37">
        <v>34.1</v>
      </c>
      <c r="T32" s="37">
        <v>35.4</v>
      </c>
      <c r="U32" s="37">
        <v>36.799999999999997</v>
      </c>
      <c r="V32" s="37">
        <v>39.299999999999997</v>
      </c>
      <c r="W32" s="37">
        <v>44.3</v>
      </c>
      <c r="X32" s="37">
        <v>45</v>
      </c>
      <c r="Y32" s="37">
        <v>45.9</v>
      </c>
      <c r="Z32" s="37">
        <v>47</v>
      </c>
      <c r="AA32" s="37">
        <v>47.8</v>
      </c>
      <c r="AB32" s="37">
        <v>48.7</v>
      </c>
      <c r="AC32" s="37">
        <v>52.7</v>
      </c>
      <c r="AD32" s="37">
        <v>50.7</v>
      </c>
      <c r="AE32" s="37">
        <v>53.7</v>
      </c>
      <c r="AF32" s="37">
        <v>57.3</v>
      </c>
      <c r="AG32" s="37">
        <v>57.3</v>
      </c>
      <c r="AH32" s="37">
        <v>61.5</v>
      </c>
      <c r="AI32" s="37">
        <v>64.099999999999994</v>
      </c>
      <c r="AJ32" s="37">
        <v>63.4</v>
      </c>
      <c r="AK32" s="37">
        <v>64.900000000000006</v>
      </c>
      <c r="AL32" s="37">
        <v>62.1</v>
      </c>
      <c r="AM32" s="37">
        <v>62.6</v>
      </c>
      <c r="AN32" s="37">
        <v>65.2</v>
      </c>
      <c r="AO32" s="37">
        <v>65.900000000000006</v>
      </c>
      <c r="AP32" s="37">
        <v>66.7</v>
      </c>
      <c r="AQ32" s="37">
        <v>68.2</v>
      </c>
      <c r="AR32" s="37">
        <v>70.7</v>
      </c>
      <c r="AS32" s="37">
        <v>73.099999999999994</v>
      </c>
      <c r="AT32" s="37">
        <v>71.5</v>
      </c>
      <c r="AU32" s="37">
        <v>71.400000000000006</v>
      </c>
      <c r="AV32" s="37">
        <v>68.8</v>
      </c>
      <c r="AW32" s="37">
        <v>66</v>
      </c>
      <c r="AX32" s="37">
        <v>65.8</v>
      </c>
      <c r="AY32" s="37">
        <v>67.3</v>
      </c>
      <c r="AZ32" s="37">
        <v>65.599999999999994</v>
      </c>
      <c r="BA32" s="37">
        <v>66.3</v>
      </c>
      <c r="BB32" s="37">
        <v>67.2</v>
      </c>
      <c r="BC32" s="37">
        <v>69.2</v>
      </c>
      <c r="BD32" s="37">
        <v>68.400000000000006</v>
      </c>
      <c r="BE32" s="37">
        <v>67</v>
      </c>
      <c r="BF32" s="37">
        <v>71.3</v>
      </c>
      <c r="BG32" s="37">
        <v>73.099999999999994</v>
      </c>
      <c r="BH32" s="37">
        <v>70.7</v>
      </c>
      <c r="BI32" s="37">
        <v>74.3</v>
      </c>
      <c r="BJ32" s="37">
        <v>74.8</v>
      </c>
      <c r="BK32" s="37">
        <v>75.3</v>
      </c>
      <c r="BL32" s="37">
        <v>76.400000000000006</v>
      </c>
      <c r="BM32" s="37">
        <v>78.099999999999994</v>
      </c>
      <c r="BN32" s="37">
        <v>79.7</v>
      </c>
      <c r="BO32" s="37">
        <v>83.8</v>
      </c>
      <c r="BP32" s="37">
        <v>86.7</v>
      </c>
      <c r="BQ32" s="37">
        <v>79.5</v>
      </c>
      <c r="BR32" s="37">
        <v>76.900000000000006</v>
      </c>
      <c r="BS32" s="37">
        <v>80.2</v>
      </c>
      <c r="BT32" s="37">
        <v>78.2</v>
      </c>
      <c r="BU32" s="37">
        <v>78.2</v>
      </c>
      <c r="BV32" s="37">
        <v>84.1</v>
      </c>
      <c r="BW32" s="37">
        <v>84.1</v>
      </c>
      <c r="BX32" s="37">
        <v>87</v>
      </c>
      <c r="BY32" s="37">
        <v>87.7</v>
      </c>
      <c r="BZ32" s="37">
        <v>88.7</v>
      </c>
      <c r="CA32" s="37">
        <v>89.1</v>
      </c>
      <c r="CB32" s="37">
        <v>95</v>
      </c>
      <c r="CC32" s="37">
        <v>94.5</v>
      </c>
      <c r="CD32" s="37">
        <v>99.9</v>
      </c>
      <c r="CE32" s="37">
        <v>103.2</v>
      </c>
      <c r="CF32" s="37">
        <v>105.5</v>
      </c>
      <c r="CG32" s="37">
        <v>108.8</v>
      </c>
      <c r="CH32" s="37">
        <v>115.6</v>
      </c>
      <c r="CI32" s="37">
        <v>120.5</v>
      </c>
      <c r="CJ32" s="37">
        <v>127</v>
      </c>
      <c r="CK32" s="37">
        <v>132.9</v>
      </c>
      <c r="CL32" s="37">
        <v>136.19999999999999</v>
      </c>
      <c r="CM32" s="37">
        <v>139</v>
      </c>
      <c r="CN32" s="37">
        <v>145</v>
      </c>
      <c r="CO32" s="37">
        <v>146.5</v>
      </c>
      <c r="CP32" s="37">
        <v>148.80000000000001</v>
      </c>
      <c r="CQ32" s="37">
        <v>151.4</v>
      </c>
      <c r="CR32" s="37">
        <v>157.19999999999999</v>
      </c>
      <c r="CS32" s="37">
        <v>165.5</v>
      </c>
      <c r="CT32" s="37">
        <v>162.4</v>
      </c>
      <c r="CU32" s="37">
        <v>164.9</v>
      </c>
      <c r="CV32" s="37">
        <v>167.3</v>
      </c>
      <c r="CW32" s="37">
        <v>172.8</v>
      </c>
      <c r="CX32" s="37">
        <v>175.6</v>
      </c>
      <c r="CY32" s="37">
        <v>174.8</v>
      </c>
      <c r="CZ32" s="37">
        <v>175.8</v>
      </c>
      <c r="DA32" s="37">
        <v>171.7</v>
      </c>
      <c r="DB32" s="37">
        <v>177.1</v>
      </c>
      <c r="DC32" s="37">
        <v>185.5</v>
      </c>
      <c r="DD32" s="37">
        <v>182.9</v>
      </c>
      <c r="DE32" s="37">
        <v>180.3</v>
      </c>
      <c r="DF32" s="37">
        <v>184.6</v>
      </c>
      <c r="DG32" s="37">
        <v>184.2</v>
      </c>
      <c r="DH32" s="37">
        <v>187.5</v>
      </c>
      <c r="DI32" s="37">
        <v>196.3</v>
      </c>
      <c r="DJ32" s="37">
        <v>197.3</v>
      </c>
      <c r="DK32" s="37">
        <v>197</v>
      </c>
      <c r="DL32" s="37">
        <v>201.8</v>
      </c>
      <c r="DM32" s="37">
        <v>207</v>
      </c>
      <c r="DN32" s="37">
        <v>214.7</v>
      </c>
      <c r="DO32" s="37">
        <v>211.8</v>
      </c>
      <c r="DP32" s="37">
        <v>223.1</v>
      </c>
      <c r="DQ32" s="37">
        <v>227</v>
      </c>
      <c r="DR32" s="37">
        <v>224.5</v>
      </c>
      <c r="DS32" s="37">
        <v>227.4</v>
      </c>
      <c r="DT32" s="37">
        <v>239.5</v>
      </c>
      <c r="DU32" s="37">
        <v>241.1</v>
      </c>
      <c r="DV32" s="37">
        <v>254</v>
      </c>
      <c r="DW32" s="37">
        <v>262.2</v>
      </c>
      <c r="DX32" s="37">
        <v>258.5</v>
      </c>
      <c r="DY32" s="37">
        <v>270.39999999999998</v>
      </c>
      <c r="DZ32" s="37">
        <v>277.3</v>
      </c>
      <c r="EA32" s="37">
        <v>285.7</v>
      </c>
      <c r="EB32" s="37">
        <v>294.3</v>
      </c>
      <c r="EC32" s="37">
        <v>297.39999999999998</v>
      </c>
      <c r="ED32" s="37">
        <v>299.60000000000002</v>
      </c>
      <c r="EE32" s="37">
        <v>323.3</v>
      </c>
      <c r="EF32" s="37">
        <v>329.6</v>
      </c>
      <c r="EG32" s="37">
        <v>334.3</v>
      </c>
      <c r="EH32" s="37">
        <v>328</v>
      </c>
      <c r="EI32" s="37">
        <v>332.8</v>
      </c>
      <c r="EJ32" s="37">
        <v>328.4</v>
      </c>
      <c r="EK32" s="37">
        <v>340</v>
      </c>
      <c r="EL32" s="37">
        <v>341.6</v>
      </c>
      <c r="EM32" s="37">
        <v>344.8</v>
      </c>
      <c r="EN32" s="37">
        <v>342.5</v>
      </c>
      <c r="EO32" s="37">
        <v>345.1</v>
      </c>
      <c r="EP32" s="37">
        <v>340</v>
      </c>
      <c r="EQ32" s="37">
        <v>341.5</v>
      </c>
      <c r="ER32" s="37">
        <v>347.9</v>
      </c>
      <c r="ES32" s="37">
        <v>334.7</v>
      </c>
      <c r="ET32" s="37">
        <v>358.4</v>
      </c>
      <c r="EU32" s="37">
        <v>359.4</v>
      </c>
      <c r="EV32" s="37">
        <v>359.8</v>
      </c>
      <c r="EW32" s="37">
        <v>358.9</v>
      </c>
      <c r="EX32" s="37">
        <v>365.7</v>
      </c>
      <c r="EY32" s="37">
        <v>371.5</v>
      </c>
      <c r="EZ32" s="37">
        <v>368.8</v>
      </c>
      <c r="FA32" s="37">
        <v>378.6</v>
      </c>
      <c r="FB32" s="37">
        <v>421.1</v>
      </c>
      <c r="FC32" s="37">
        <v>473.9</v>
      </c>
      <c r="FD32" s="37">
        <v>465.4</v>
      </c>
      <c r="FE32" s="37">
        <v>472.1</v>
      </c>
      <c r="FF32" s="37">
        <v>496.2</v>
      </c>
      <c r="FG32" s="37">
        <v>492.6</v>
      </c>
      <c r="FH32" s="37">
        <v>517.79999999999995</v>
      </c>
      <c r="FI32" s="37">
        <v>514.4</v>
      </c>
      <c r="FJ32" s="37">
        <v>500.5</v>
      </c>
      <c r="FK32" s="37">
        <v>503.4</v>
      </c>
      <c r="FL32" s="37">
        <v>448.3</v>
      </c>
      <c r="FM32" s="37">
        <v>437.7</v>
      </c>
      <c r="FN32" s="37">
        <v>441.7</v>
      </c>
      <c r="FO32" s="37">
        <v>447.9</v>
      </c>
      <c r="FP32" s="37">
        <v>440</v>
      </c>
      <c r="FQ32" s="37">
        <v>448.2</v>
      </c>
      <c r="FR32" s="37">
        <v>440</v>
      </c>
      <c r="FS32" s="37">
        <v>459.2</v>
      </c>
      <c r="FT32" s="37">
        <v>454</v>
      </c>
      <c r="FU32" s="37">
        <v>447.3</v>
      </c>
      <c r="FV32" s="37">
        <v>467.8</v>
      </c>
      <c r="FW32" s="37">
        <v>492.5</v>
      </c>
      <c r="FX32" s="37">
        <v>511.1</v>
      </c>
      <c r="FY32" s="37">
        <v>508.8</v>
      </c>
      <c r="FZ32" s="37">
        <v>524.79999999999995</v>
      </c>
      <c r="GA32" s="37">
        <v>528.9</v>
      </c>
      <c r="GB32" s="37">
        <v>530.4</v>
      </c>
      <c r="GC32" s="37">
        <v>548.20000000000005</v>
      </c>
      <c r="GD32" s="37">
        <v>544.4</v>
      </c>
      <c r="GE32" s="37">
        <v>546.6</v>
      </c>
      <c r="GF32" s="37">
        <v>562.79999999999995</v>
      </c>
      <c r="GG32" s="37">
        <v>573.1</v>
      </c>
      <c r="GH32" s="37">
        <v>562.79999999999995</v>
      </c>
      <c r="GI32" s="37">
        <v>542.4</v>
      </c>
      <c r="GJ32" s="37">
        <v>562.9</v>
      </c>
      <c r="GK32" s="37">
        <v>573.6</v>
      </c>
      <c r="GL32" s="37">
        <v>581.20000000000005</v>
      </c>
      <c r="GM32" s="37">
        <v>579.5</v>
      </c>
      <c r="GN32" s="37">
        <v>581.70000000000005</v>
      </c>
      <c r="GO32" s="37">
        <v>587.79999999999995</v>
      </c>
      <c r="GP32" s="37">
        <v>592.4</v>
      </c>
      <c r="GQ32" s="37">
        <v>615.5</v>
      </c>
      <c r="GR32" s="37">
        <v>610.4</v>
      </c>
      <c r="GS32" s="37">
        <v>617.5</v>
      </c>
      <c r="GT32" s="37">
        <v>638.6</v>
      </c>
      <c r="GU32" s="37">
        <v>1395</v>
      </c>
      <c r="GV32" s="37">
        <v>737.1</v>
      </c>
      <c r="GW32" s="37">
        <v>744.8</v>
      </c>
      <c r="GX32" s="37">
        <v>785.1</v>
      </c>
      <c r="GY32" s="37">
        <v>1653.7</v>
      </c>
      <c r="GZ32" s="37">
        <v>1085</v>
      </c>
      <c r="HA32" s="37">
        <v>924.7</v>
      </c>
      <c r="HB32" s="37">
        <v>940</v>
      </c>
      <c r="HC32">
        <v>960.5</v>
      </c>
      <c r="HD32">
        <v>953.4</v>
      </c>
    </row>
    <row r="33" spans="1:212" x14ac:dyDescent="0.3">
      <c r="A33" s="37" t="s">
        <v>1791</v>
      </c>
      <c r="B33" s="37">
        <v>14</v>
      </c>
      <c r="C33" s="37">
        <v>14.1</v>
      </c>
      <c r="D33" s="37">
        <v>14.3</v>
      </c>
      <c r="E33" s="37">
        <v>14.4</v>
      </c>
      <c r="F33" s="37">
        <v>14.7</v>
      </c>
      <c r="G33" s="37">
        <v>15.6</v>
      </c>
      <c r="H33" s="37">
        <v>16</v>
      </c>
      <c r="I33" s="37">
        <v>17.3</v>
      </c>
      <c r="J33" s="37">
        <v>19.5</v>
      </c>
      <c r="K33" s="37">
        <v>21</v>
      </c>
      <c r="L33" s="37">
        <v>21.2</v>
      </c>
      <c r="M33" s="37">
        <v>21.8</v>
      </c>
      <c r="N33" s="37">
        <v>21.9</v>
      </c>
      <c r="O33" s="37">
        <v>22.3</v>
      </c>
      <c r="P33" s="37">
        <v>23.1</v>
      </c>
      <c r="Q33" s="37">
        <v>24</v>
      </c>
      <c r="R33" s="37">
        <v>23.3</v>
      </c>
      <c r="S33" s="37">
        <v>24.1</v>
      </c>
      <c r="T33" s="37">
        <v>25.2</v>
      </c>
      <c r="U33" s="37">
        <v>25.6</v>
      </c>
      <c r="V33" s="37">
        <v>25.7</v>
      </c>
      <c r="W33" s="37">
        <v>26.5</v>
      </c>
      <c r="X33" s="37">
        <v>27.2</v>
      </c>
      <c r="Y33" s="37">
        <v>28.2</v>
      </c>
      <c r="Z33" s="37">
        <v>29.5</v>
      </c>
      <c r="AA33" s="37">
        <v>30.6</v>
      </c>
      <c r="AB33" s="37">
        <v>31.6</v>
      </c>
      <c r="AC33" s="37">
        <v>32.6</v>
      </c>
      <c r="AD33" s="37">
        <v>33.5</v>
      </c>
      <c r="AE33" s="37">
        <v>34.700000000000003</v>
      </c>
      <c r="AF33" s="37">
        <v>35.9</v>
      </c>
      <c r="AG33" s="37">
        <v>37.299999999999997</v>
      </c>
      <c r="AH33" s="37">
        <v>38.6</v>
      </c>
      <c r="AI33" s="37">
        <v>40.1</v>
      </c>
      <c r="AJ33" s="37">
        <v>40.9</v>
      </c>
      <c r="AK33" s="37">
        <v>42.1</v>
      </c>
      <c r="AL33" s="37">
        <v>42</v>
      </c>
      <c r="AM33" s="37">
        <v>42.1</v>
      </c>
      <c r="AN33" s="37">
        <v>45.4</v>
      </c>
      <c r="AO33" s="37">
        <v>46.6</v>
      </c>
      <c r="AP33" s="37">
        <v>46.6</v>
      </c>
      <c r="AQ33" s="37">
        <v>48</v>
      </c>
      <c r="AR33" s="37">
        <v>49.4</v>
      </c>
      <c r="AS33" s="37">
        <v>51.6</v>
      </c>
      <c r="AT33" s="37">
        <v>52.5</v>
      </c>
      <c r="AU33" s="37">
        <v>53.7</v>
      </c>
      <c r="AV33" s="37">
        <v>55.5</v>
      </c>
      <c r="AW33" s="37">
        <v>56.8</v>
      </c>
      <c r="AX33" s="37">
        <v>57.3</v>
      </c>
      <c r="AY33" s="37">
        <v>58.1</v>
      </c>
      <c r="AZ33" s="37">
        <v>60.4</v>
      </c>
      <c r="BA33" s="37">
        <v>60.8</v>
      </c>
      <c r="BB33" s="37">
        <v>61.3</v>
      </c>
      <c r="BC33" s="37">
        <v>64.3</v>
      </c>
      <c r="BD33" s="37">
        <v>68.099999999999994</v>
      </c>
      <c r="BE33" s="37">
        <v>70.7</v>
      </c>
      <c r="BF33" s="37">
        <v>73.3</v>
      </c>
      <c r="BG33" s="37">
        <v>75.8</v>
      </c>
      <c r="BH33" s="37">
        <v>76.8</v>
      </c>
      <c r="BI33" s="37">
        <v>78.2</v>
      </c>
      <c r="BJ33" s="37">
        <v>79.3</v>
      </c>
      <c r="BK33" s="37">
        <v>80.900000000000006</v>
      </c>
      <c r="BL33" s="37">
        <v>81.5</v>
      </c>
      <c r="BM33" s="37">
        <v>83.7</v>
      </c>
      <c r="BN33" s="37">
        <v>84.5</v>
      </c>
      <c r="BO33" s="37">
        <v>85</v>
      </c>
      <c r="BP33" s="37">
        <v>87.5</v>
      </c>
      <c r="BQ33" s="37">
        <v>91.8</v>
      </c>
      <c r="BR33" s="37">
        <v>92.4</v>
      </c>
      <c r="BS33" s="37">
        <v>101.5</v>
      </c>
      <c r="BT33" s="37">
        <v>94.1</v>
      </c>
      <c r="BU33" s="37">
        <v>98.4</v>
      </c>
      <c r="BV33" s="37">
        <v>99.4</v>
      </c>
      <c r="BW33" s="37">
        <v>97.2</v>
      </c>
      <c r="BX33" s="37">
        <v>104.1</v>
      </c>
      <c r="BY33" s="37">
        <v>107.6</v>
      </c>
      <c r="BZ33" s="37">
        <v>113.4</v>
      </c>
      <c r="CA33" s="37">
        <v>118.3</v>
      </c>
      <c r="CB33" s="37">
        <v>114.5</v>
      </c>
      <c r="CC33" s="37">
        <v>112.4</v>
      </c>
      <c r="CD33" s="37">
        <v>119.4</v>
      </c>
      <c r="CE33" s="37">
        <v>122.6</v>
      </c>
      <c r="CF33" s="37">
        <v>123.7</v>
      </c>
      <c r="CG33" s="37">
        <v>124.6</v>
      </c>
      <c r="CH33" s="37">
        <v>121.2</v>
      </c>
      <c r="CI33" s="37">
        <v>124.5</v>
      </c>
      <c r="CJ33" s="37">
        <v>126.1</v>
      </c>
      <c r="CK33" s="37">
        <v>129.5</v>
      </c>
      <c r="CL33" s="37">
        <v>127.6</v>
      </c>
      <c r="CM33" s="37">
        <v>136.9</v>
      </c>
      <c r="CN33" s="37">
        <v>136.80000000000001</v>
      </c>
      <c r="CO33" s="37">
        <v>140</v>
      </c>
      <c r="CP33" s="37">
        <v>136.69999999999999</v>
      </c>
      <c r="CQ33" s="37">
        <v>138.30000000000001</v>
      </c>
      <c r="CR33" s="37">
        <v>143.6</v>
      </c>
      <c r="CS33" s="37">
        <v>145.80000000000001</v>
      </c>
      <c r="CT33" s="37">
        <v>146.9</v>
      </c>
      <c r="CU33" s="37">
        <v>141.9</v>
      </c>
      <c r="CV33" s="37">
        <v>151.19999999999999</v>
      </c>
      <c r="CW33" s="37">
        <v>152</v>
      </c>
      <c r="CX33" s="37">
        <v>156.9</v>
      </c>
      <c r="CY33" s="37">
        <v>152.4</v>
      </c>
      <c r="CZ33" s="37">
        <v>160.69999999999999</v>
      </c>
      <c r="DA33" s="37">
        <v>162.4</v>
      </c>
      <c r="DB33" s="37">
        <v>165.3</v>
      </c>
      <c r="DC33" s="37">
        <v>165.9</v>
      </c>
      <c r="DD33" s="37">
        <v>169.3</v>
      </c>
      <c r="DE33" s="37">
        <v>174.1</v>
      </c>
      <c r="DF33" s="37">
        <v>177.8</v>
      </c>
      <c r="DG33" s="37">
        <v>176.9</v>
      </c>
      <c r="DH33" s="37">
        <v>184.1</v>
      </c>
      <c r="DI33" s="37">
        <v>189.2</v>
      </c>
      <c r="DJ33" s="37">
        <v>195.6</v>
      </c>
      <c r="DK33" s="37">
        <v>201.4</v>
      </c>
      <c r="DL33" s="37">
        <v>201.6</v>
      </c>
      <c r="DM33" s="37">
        <v>206.3</v>
      </c>
      <c r="DN33" s="37">
        <v>208.2</v>
      </c>
      <c r="DO33" s="37">
        <v>209.4</v>
      </c>
      <c r="DP33" s="37">
        <v>216.4</v>
      </c>
      <c r="DQ33" s="37">
        <v>224</v>
      </c>
      <c r="DR33" s="37">
        <v>232.2</v>
      </c>
      <c r="DS33" s="37">
        <v>243.3</v>
      </c>
      <c r="DT33" s="37">
        <v>236.6</v>
      </c>
      <c r="DU33" s="37">
        <v>234.8</v>
      </c>
      <c r="DV33" s="37">
        <v>250.9</v>
      </c>
      <c r="DW33" s="37">
        <v>259.89999999999998</v>
      </c>
      <c r="DX33" s="37">
        <v>231.9</v>
      </c>
      <c r="DY33" s="37">
        <v>229.3</v>
      </c>
      <c r="DZ33" s="37">
        <v>227.4</v>
      </c>
      <c r="EA33" s="37">
        <v>214.3</v>
      </c>
      <c r="EB33" s="37">
        <v>218.8</v>
      </c>
      <c r="EC33" s="37">
        <v>218.9</v>
      </c>
      <c r="ED33" s="37">
        <v>217.9</v>
      </c>
      <c r="EE33" s="37">
        <v>207.9</v>
      </c>
      <c r="EF33" s="37">
        <v>234.2</v>
      </c>
      <c r="EG33" s="37">
        <v>239.7</v>
      </c>
      <c r="EH33" s="37">
        <v>239</v>
      </c>
      <c r="EI33" s="37">
        <v>234.3</v>
      </c>
      <c r="EJ33" s="37">
        <v>247.7</v>
      </c>
      <c r="EK33" s="37">
        <v>261.8</v>
      </c>
      <c r="EL33" s="37">
        <v>269.39999999999998</v>
      </c>
      <c r="EM33" s="37">
        <v>270.39999999999998</v>
      </c>
      <c r="EN33" s="37">
        <v>276</v>
      </c>
      <c r="EO33" s="37">
        <v>285.2</v>
      </c>
      <c r="EP33" s="37">
        <v>294.89999999999998</v>
      </c>
      <c r="EQ33" s="37">
        <v>310.10000000000002</v>
      </c>
      <c r="ER33" s="37">
        <v>297.7</v>
      </c>
      <c r="ES33" s="37">
        <v>301.7</v>
      </c>
      <c r="ET33" s="37">
        <v>320.5</v>
      </c>
      <c r="EU33" s="37">
        <v>332</v>
      </c>
      <c r="EV33" s="37">
        <v>319.60000000000002</v>
      </c>
      <c r="EW33" s="37">
        <v>314.2</v>
      </c>
      <c r="EX33" s="37">
        <v>333.4</v>
      </c>
      <c r="EY33" s="37">
        <v>361.1</v>
      </c>
      <c r="EZ33" s="37">
        <v>323.8</v>
      </c>
      <c r="FA33" s="37">
        <v>305.10000000000002</v>
      </c>
      <c r="FB33" s="37">
        <v>281.10000000000002</v>
      </c>
      <c r="FC33" s="37">
        <v>275.60000000000002</v>
      </c>
      <c r="FD33" s="37">
        <v>293.3</v>
      </c>
      <c r="FE33" s="37">
        <v>293.3</v>
      </c>
      <c r="FF33" s="37">
        <v>288.39999999999998</v>
      </c>
      <c r="FG33" s="37">
        <v>278</v>
      </c>
      <c r="FH33" s="37">
        <v>297.8</v>
      </c>
      <c r="FI33" s="37">
        <v>311.89999999999998</v>
      </c>
      <c r="FJ33" s="37">
        <v>315.2</v>
      </c>
      <c r="FK33" s="37">
        <v>319.39999999999998</v>
      </c>
      <c r="FL33" s="37">
        <v>327.2</v>
      </c>
      <c r="FM33" s="37">
        <v>329.9</v>
      </c>
      <c r="FN33" s="37">
        <v>330.1</v>
      </c>
      <c r="FO33" s="37">
        <v>337</v>
      </c>
      <c r="FP33" s="37">
        <v>346.2</v>
      </c>
      <c r="FQ33" s="37">
        <v>359.2</v>
      </c>
      <c r="FR33" s="37">
        <v>376.5</v>
      </c>
      <c r="FS33" s="37">
        <v>386.1</v>
      </c>
      <c r="FT33" s="37">
        <v>366.6</v>
      </c>
      <c r="FU33" s="37">
        <v>364.9</v>
      </c>
      <c r="FV33" s="37">
        <v>375.7</v>
      </c>
      <c r="FW33" s="37">
        <v>369.4</v>
      </c>
      <c r="FX33" s="37">
        <v>385.3</v>
      </c>
      <c r="FY33" s="37">
        <v>393</v>
      </c>
      <c r="FZ33" s="37">
        <v>395.4</v>
      </c>
      <c r="GA33" s="37">
        <v>415.3</v>
      </c>
      <c r="GB33" s="37">
        <v>406.5</v>
      </c>
      <c r="GC33" s="37">
        <v>412.3</v>
      </c>
      <c r="GD33" s="37">
        <v>397.8</v>
      </c>
      <c r="GE33" s="37">
        <v>406.6</v>
      </c>
      <c r="GF33" s="37">
        <v>418.2</v>
      </c>
      <c r="GG33" s="37">
        <v>418.4</v>
      </c>
      <c r="GH33" s="37">
        <v>424.1</v>
      </c>
      <c r="GI33" s="37">
        <v>411.9</v>
      </c>
      <c r="GJ33" s="37">
        <v>431.6</v>
      </c>
      <c r="GK33" s="37">
        <v>474.5</v>
      </c>
      <c r="GL33" s="37">
        <v>475.7</v>
      </c>
      <c r="GM33" s="37">
        <v>450.7</v>
      </c>
      <c r="GN33" s="37">
        <v>460.5</v>
      </c>
      <c r="GO33" s="37">
        <v>452.9</v>
      </c>
      <c r="GP33" s="37">
        <v>472.5</v>
      </c>
      <c r="GQ33" s="37">
        <v>529</v>
      </c>
      <c r="GR33" s="37">
        <v>495.2</v>
      </c>
      <c r="GS33" s="37">
        <v>489.6</v>
      </c>
      <c r="GT33" s="37">
        <v>497.5</v>
      </c>
      <c r="GU33" s="37">
        <v>488</v>
      </c>
      <c r="GV33" s="37">
        <v>515.4</v>
      </c>
      <c r="GW33" s="37">
        <v>522.9</v>
      </c>
      <c r="GX33" s="37">
        <v>543.6</v>
      </c>
      <c r="GY33" s="37">
        <v>566.6</v>
      </c>
      <c r="GZ33" s="37">
        <v>534.4</v>
      </c>
      <c r="HA33" s="37">
        <v>570.79999999999995</v>
      </c>
      <c r="HB33" s="37">
        <v>581.29999999999995</v>
      </c>
      <c r="HC33">
        <v>589.79999999999995</v>
      </c>
      <c r="HD33">
        <v>605.4</v>
      </c>
    </row>
    <row r="34" spans="1:212" x14ac:dyDescent="0.3">
      <c r="A34" s="37" t="s">
        <v>1792</v>
      </c>
      <c r="B34" s="37">
        <v>70.599999999999994</v>
      </c>
      <c r="C34" s="37">
        <v>72.400000000000006</v>
      </c>
      <c r="D34" s="37">
        <v>74.3</v>
      </c>
      <c r="E34" s="37">
        <v>76</v>
      </c>
      <c r="F34" s="37">
        <v>78.3</v>
      </c>
      <c r="G34" s="37">
        <v>80.2</v>
      </c>
      <c r="H34" s="37">
        <v>82.8</v>
      </c>
      <c r="I34" s="37">
        <v>84.7</v>
      </c>
      <c r="J34" s="37">
        <v>86.4</v>
      </c>
      <c r="K34" s="37">
        <v>88.5</v>
      </c>
      <c r="L34" s="37">
        <v>90.4</v>
      </c>
      <c r="M34" s="37">
        <v>92.5</v>
      </c>
      <c r="N34" s="37">
        <v>95.1</v>
      </c>
      <c r="O34" s="37">
        <v>96.3</v>
      </c>
      <c r="P34" s="37">
        <v>98.7</v>
      </c>
      <c r="Q34" s="37">
        <v>99.6</v>
      </c>
      <c r="R34" s="37">
        <v>101</v>
      </c>
      <c r="S34" s="37">
        <v>104</v>
      </c>
      <c r="T34" s="37">
        <v>106.8</v>
      </c>
      <c r="U34" s="37">
        <v>107.5</v>
      </c>
      <c r="V34" s="37">
        <v>109</v>
      </c>
      <c r="W34" s="37">
        <v>111.7</v>
      </c>
      <c r="X34" s="37">
        <v>114.9</v>
      </c>
      <c r="Y34" s="37">
        <v>117.3</v>
      </c>
      <c r="Z34" s="37">
        <v>120.9</v>
      </c>
      <c r="AA34" s="37">
        <v>123.5</v>
      </c>
      <c r="AB34" s="37">
        <v>126</v>
      </c>
      <c r="AC34" s="37">
        <v>129.6</v>
      </c>
      <c r="AD34" s="37">
        <v>132.9</v>
      </c>
      <c r="AE34" s="37">
        <v>135.5</v>
      </c>
      <c r="AF34" s="37">
        <v>138.30000000000001</v>
      </c>
      <c r="AG34" s="37">
        <v>141.1</v>
      </c>
      <c r="AH34" s="37">
        <v>143</v>
      </c>
      <c r="AI34" s="37">
        <v>147.69999999999999</v>
      </c>
      <c r="AJ34" s="37">
        <v>144.19999999999999</v>
      </c>
      <c r="AK34" s="37">
        <v>147.6</v>
      </c>
      <c r="AL34" s="37">
        <v>150.6</v>
      </c>
      <c r="AM34" s="37">
        <v>152.6</v>
      </c>
      <c r="AN34" s="37">
        <v>155.6</v>
      </c>
      <c r="AO34" s="37">
        <v>159</v>
      </c>
      <c r="AP34" s="37">
        <v>161.9</v>
      </c>
      <c r="AQ34" s="37">
        <v>163.30000000000001</v>
      </c>
      <c r="AR34" s="37">
        <v>168.2</v>
      </c>
      <c r="AS34" s="37">
        <v>173.3</v>
      </c>
      <c r="AT34" s="37">
        <v>180.2</v>
      </c>
      <c r="AU34" s="37">
        <v>183.7</v>
      </c>
      <c r="AV34" s="37">
        <v>188.3</v>
      </c>
      <c r="AW34" s="37">
        <v>190.7</v>
      </c>
      <c r="AX34" s="37">
        <v>193.9</v>
      </c>
      <c r="AY34" s="37">
        <v>198.3</v>
      </c>
      <c r="AZ34" s="37">
        <v>201.7</v>
      </c>
      <c r="BA34" s="37">
        <v>206</v>
      </c>
      <c r="BB34" s="37">
        <v>209.6</v>
      </c>
      <c r="BC34" s="37">
        <v>216</v>
      </c>
      <c r="BD34" s="37">
        <v>222</v>
      </c>
      <c r="BE34" s="37">
        <v>228</v>
      </c>
      <c r="BF34" s="37">
        <v>234.7</v>
      </c>
      <c r="BG34" s="37">
        <v>240.3</v>
      </c>
      <c r="BH34" s="37">
        <v>244.7</v>
      </c>
      <c r="BI34" s="37">
        <v>250.2</v>
      </c>
      <c r="BJ34" s="37">
        <v>254.7</v>
      </c>
      <c r="BK34" s="37">
        <v>260</v>
      </c>
      <c r="BL34" s="37">
        <v>265.10000000000002</v>
      </c>
      <c r="BM34" s="37">
        <v>268.5</v>
      </c>
      <c r="BN34" s="37">
        <v>273</v>
      </c>
      <c r="BO34" s="37">
        <v>276.60000000000002</v>
      </c>
      <c r="BP34" s="37">
        <v>282.3</v>
      </c>
      <c r="BQ34" s="37">
        <v>286.8</v>
      </c>
      <c r="BR34" s="37">
        <v>291.89999999999998</v>
      </c>
      <c r="BS34" s="37">
        <v>298.5</v>
      </c>
      <c r="BT34" s="37">
        <v>306</v>
      </c>
      <c r="BU34" s="37">
        <v>310</v>
      </c>
      <c r="BV34" s="37">
        <v>315.7</v>
      </c>
      <c r="BW34" s="37">
        <v>323.2</v>
      </c>
      <c r="BX34" s="37">
        <v>327.3</v>
      </c>
      <c r="BY34" s="37">
        <v>332.4</v>
      </c>
      <c r="BZ34" s="37">
        <v>340.2</v>
      </c>
      <c r="CA34" s="37">
        <v>348.2</v>
      </c>
      <c r="CB34" s="37">
        <v>353.9</v>
      </c>
      <c r="CC34" s="37">
        <v>354.2</v>
      </c>
      <c r="CD34" s="37">
        <v>369.3</v>
      </c>
      <c r="CE34" s="37">
        <v>368.7</v>
      </c>
      <c r="CF34" s="37">
        <v>375.6</v>
      </c>
      <c r="CG34" s="37">
        <v>382.7</v>
      </c>
      <c r="CH34" s="37">
        <v>384.3</v>
      </c>
      <c r="CI34" s="37">
        <v>390.2</v>
      </c>
      <c r="CJ34" s="37">
        <v>399.4</v>
      </c>
      <c r="CK34" s="37">
        <v>407.3</v>
      </c>
      <c r="CL34" s="37">
        <v>412.8</v>
      </c>
      <c r="CM34" s="37">
        <v>418.2</v>
      </c>
      <c r="CN34" s="37">
        <v>424.1</v>
      </c>
      <c r="CO34" s="37">
        <v>425.3</v>
      </c>
      <c r="CP34" s="37">
        <v>427.5</v>
      </c>
      <c r="CQ34" s="37">
        <v>432.8</v>
      </c>
      <c r="CR34" s="37">
        <v>439.5</v>
      </c>
      <c r="CS34" s="37">
        <v>447.2</v>
      </c>
      <c r="CT34" s="37">
        <v>456</v>
      </c>
      <c r="CU34" s="37">
        <v>465.8</v>
      </c>
      <c r="CV34" s="37">
        <v>470</v>
      </c>
      <c r="CW34" s="37">
        <v>473.3</v>
      </c>
      <c r="CX34" s="37">
        <v>478.8</v>
      </c>
      <c r="CY34" s="37">
        <v>477.9</v>
      </c>
      <c r="CZ34" s="37">
        <v>483.5</v>
      </c>
      <c r="DA34" s="37">
        <v>489.3</v>
      </c>
      <c r="DB34" s="37">
        <v>497.8</v>
      </c>
      <c r="DC34" s="37">
        <v>506.5</v>
      </c>
      <c r="DD34" s="37">
        <v>510.1</v>
      </c>
      <c r="DE34" s="37">
        <v>517.29999999999995</v>
      </c>
      <c r="DF34" s="37">
        <v>523.79999999999995</v>
      </c>
      <c r="DG34" s="37">
        <v>530.70000000000005</v>
      </c>
      <c r="DH34" s="37">
        <v>536.6</v>
      </c>
      <c r="DI34" s="37">
        <v>544</v>
      </c>
      <c r="DJ34" s="37">
        <v>549.6</v>
      </c>
      <c r="DK34" s="37">
        <v>555.4</v>
      </c>
      <c r="DL34" s="37">
        <v>561.6</v>
      </c>
      <c r="DM34" s="37">
        <v>568.6</v>
      </c>
      <c r="DN34" s="37">
        <v>576.20000000000005</v>
      </c>
      <c r="DO34" s="37">
        <v>585.4</v>
      </c>
      <c r="DP34" s="37">
        <v>595.20000000000005</v>
      </c>
      <c r="DQ34" s="37">
        <v>603.70000000000005</v>
      </c>
      <c r="DR34" s="37">
        <v>612.4</v>
      </c>
      <c r="DS34" s="37">
        <v>618.9</v>
      </c>
      <c r="DT34" s="37">
        <v>623.70000000000005</v>
      </c>
      <c r="DU34" s="37">
        <v>630.1</v>
      </c>
      <c r="DV34" s="37">
        <v>637.1</v>
      </c>
      <c r="DW34" s="37">
        <v>637.79999999999995</v>
      </c>
      <c r="DX34" s="37">
        <v>641.70000000000005</v>
      </c>
      <c r="DY34" s="37">
        <v>653</v>
      </c>
      <c r="DZ34" s="37">
        <v>659.3</v>
      </c>
      <c r="EA34" s="37">
        <v>664</v>
      </c>
      <c r="EB34" s="37">
        <v>680.5</v>
      </c>
      <c r="EC34" s="37">
        <v>689</v>
      </c>
      <c r="ED34" s="37">
        <v>698.5</v>
      </c>
      <c r="EE34" s="37">
        <v>709.9</v>
      </c>
      <c r="EF34" s="37">
        <v>723.4</v>
      </c>
      <c r="EG34" s="37">
        <v>729.8</v>
      </c>
      <c r="EH34" s="37">
        <v>753.2</v>
      </c>
      <c r="EI34" s="37">
        <v>765.1</v>
      </c>
      <c r="EJ34" s="37">
        <v>775.4</v>
      </c>
      <c r="EK34" s="37">
        <v>797.6</v>
      </c>
      <c r="EL34" s="37">
        <v>817.9</v>
      </c>
      <c r="EM34" s="37">
        <v>835.9</v>
      </c>
      <c r="EN34" s="37">
        <v>851.8</v>
      </c>
      <c r="EO34" s="37">
        <v>866.6</v>
      </c>
      <c r="EP34" s="37">
        <v>882.7</v>
      </c>
      <c r="EQ34" s="37">
        <v>892.2</v>
      </c>
      <c r="ER34" s="37">
        <v>903.9</v>
      </c>
      <c r="ES34" s="37">
        <v>912.4</v>
      </c>
      <c r="ET34" s="37">
        <v>931.9</v>
      </c>
      <c r="EU34" s="37">
        <v>939.4</v>
      </c>
      <c r="EV34" s="37">
        <v>940.4</v>
      </c>
      <c r="EW34" s="37">
        <v>957.1</v>
      </c>
      <c r="EX34" s="37">
        <v>952.5</v>
      </c>
      <c r="EY34" s="37">
        <v>959.4</v>
      </c>
      <c r="EZ34" s="37">
        <v>964.8</v>
      </c>
      <c r="FA34" s="37">
        <v>946.3</v>
      </c>
      <c r="FB34" s="37">
        <v>929.2</v>
      </c>
      <c r="FC34" s="37">
        <v>923</v>
      </c>
      <c r="FD34" s="37">
        <v>937.4</v>
      </c>
      <c r="FE34" s="37">
        <v>952.1</v>
      </c>
      <c r="FF34" s="37">
        <v>951.6</v>
      </c>
      <c r="FG34" s="37">
        <v>965.7</v>
      </c>
      <c r="FH34" s="37">
        <v>970.1</v>
      </c>
      <c r="FI34" s="37">
        <v>977.7</v>
      </c>
      <c r="FJ34" s="37">
        <v>986.8</v>
      </c>
      <c r="FK34" s="37">
        <v>996.4</v>
      </c>
      <c r="FL34" s="37">
        <v>994.5</v>
      </c>
      <c r="FM34" s="37">
        <v>1002.7</v>
      </c>
      <c r="FN34" s="37">
        <v>1016.9</v>
      </c>
      <c r="FO34" s="37">
        <v>1019.5</v>
      </c>
      <c r="FP34" s="37">
        <v>1016.6</v>
      </c>
      <c r="FQ34" s="37">
        <v>1030.8</v>
      </c>
      <c r="FR34" s="37">
        <v>1052.3</v>
      </c>
      <c r="FS34" s="37">
        <v>1056.4000000000001</v>
      </c>
      <c r="FT34" s="37">
        <v>1068.7</v>
      </c>
      <c r="FU34" s="37">
        <v>1075.3</v>
      </c>
      <c r="FV34" s="37">
        <v>1083.9000000000001</v>
      </c>
      <c r="FW34" s="37">
        <v>1102.2</v>
      </c>
      <c r="FX34" s="37">
        <v>1111.4000000000001</v>
      </c>
      <c r="FY34" s="37">
        <v>1120.5999999999999</v>
      </c>
      <c r="FZ34" s="37">
        <v>1122.3</v>
      </c>
      <c r="GA34" s="37">
        <v>1129.5999999999999</v>
      </c>
      <c r="GB34" s="37">
        <v>1139.4000000000001</v>
      </c>
      <c r="GC34" s="37">
        <v>1148.2</v>
      </c>
      <c r="GD34" s="37">
        <v>1157.7</v>
      </c>
      <c r="GE34" s="37">
        <v>1165.3</v>
      </c>
      <c r="GF34" s="37">
        <v>1184.8</v>
      </c>
      <c r="GG34" s="37">
        <v>1192.8</v>
      </c>
      <c r="GH34" s="37">
        <v>1212.4000000000001</v>
      </c>
      <c r="GI34" s="37">
        <v>1224.9000000000001</v>
      </c>
      <c r="GJ34" s="37">
        <v>1244.3</v>
      </c>
      <c r="GK34" s="37">
        <v>1262.0999999999999</v>
      </c>
      <c r="GL34" s="37">
        <v>1277</v>
      </c>
      <c r="GM34" s="37">
        <v>1290.5999999999999</v>
      </c>
      <c r="GN34" s="37">
        <v>1306</v>
      </c>
      <c r="GO34" s="37">
        <v>1316.7</v>
      </c>
      <c r="GP34" s="37">
        <v>1330</v>
      </c>
      <c r="GQ34" s="37">
        <v>1344.8</v>
      </c>
      <c r="GR34" s="37">
        <v>1373.3</v>
      </c>
      <c r="GS34" s="37">
        <v>1372.7</v>
      </c>
      <c r="GT34" s="37">
        <v>1379.3</v>
      </c>
      <c r="GU34" s="37">
        <v>1293.8</v>
      </c>
      <c r="GV34" s="37">
        <v>1397.4</v>
      </c>
      <c r="GW34" s="37">
        <v>1411.4</v>
      </c>
      <c r="GX34" s="37">
        <v>1427</v>
      </c>
      <c r="GY34" s="37">
        <v>1499.4</v>
      </c>
      <c r="GZ34" s="37">
        <v>1503.2</v>
      </c>
      <c r="HA34" s="37">
        <v>1525.7</v>
      </c>
      <c r="HB34" s="37">
        <v>1547.7</v>
      </c>
      <c r="HC34">
        <v>1566.1</v>
      </c>
      <c r="HD34">
        <v>1589.1</v>
      </c>
    </row>
    <row r="35" spans="1:212" x14ac:dyDescent="0.3">
      <c r="A35" s="37" t="s">
        <v>1793</v>
      </c>
      <c r="B35" s="37">
        <v>3.8</v>
      </c>
      <c r="C35" s="37">
        <v>3.7</v>
      </c>
      <c r="D35" s="37">
        <v>3.8</v>
      </c>
      <c r="E35" s="37">
        <v>3.6</v>
      </c>
      <c r="F35" s="37">
        <v>4.0999999999999996</v>
      </c>
      <c r="G35" s="37">
        <v>4.2</v>
      </c>
      <c r="H35" s="37">
        <v>4.4000000000000004</v>
      </c>
      <c r="I35" s="37">
        <v>4.5</v>
      </c>
      <c r="J35" s="37">
        <v>5</v>
      </c>
      <c r="K35" s="37">
        <v>5</v>
      </c>
      <c r="L35" s="37">
        <v>5.2</v>
      </c>
      <c r="M35" s="37">
        <v>5.7</v>
      </c>
      <c r="N35" s="37">
        <v>6</v>
      </c>
      <c r="O35" s="37">
        <v>6.1</v>
      </c>
      <c r="P35" s="37">
        <v>5.9</v>
      </c>
      <c r="Q35" s="37">
        <v>6.1</v>
      </c>
      <c r="R35" s="37">
        <v>6.3</v>
      </c>
      <c r="S35" s="37">
        <v>6.6</v>
      </c>
      <c r="T35" s="37">
        <v>7.3</v>
      </c>
      <c r="U35" s="37">
        <v>6.5</v>
      </c>
      <c r="V35" s="37">
        <v>6.1</v>
      </c>
      <c r="W35" s="37">
        <v>6.6</v>
      </c>
      <c r="X35" s="37">
        <v>8.1999999999999993</v>
      </c>
      <c r="Y35" s="37">
        <v>8.4</v>
      </c>
      <c r="Z35" s="37">
        <v>9.6999999999999993</v>
      </c>
      <c r="AA35" s="37">
        <v>9.6</v>
      </c>
      <c r="AB35" s="37">
        <v>9.6999999999999993</v>
      </c>
      <c r="AC35" s="37">
        <v>9.6</v>
      </c>
      <c r="AD35" s="37">
        <v>10.5</v>
      </c>
      <c r="AE35" s="37">
        <v>11.4</v>
      </c>
      <c r="AF35" s="37">
        <v>11.8</v>
      </c>
      <c r="AG35" s="37">
        <v>12</v>
      </c>
      <c r="AH35" s="37">
        <v>10.5</v>
      </c>
      <c r="AI35" s="37">
        <v>12.4</v>
      </c>
      <c r="AJ35" s="37">
        <v>12.5</v>
      </c>
      <c r="AK35" s="37">
        <v>13.1</v>
      </c>
      <c r="AL35" s="37">
        <v>13.7</v>
      </c>
      <c r="AM35" s="37">
        <v>13.8</v>
      </c>
      <c r="AN35" s="37">
        <v>13.6</v>
      </c>
      <c r="AO35" s="37">
        <v>13.2</v>
      </c>
      <c r="AP35" s="37">
        <v>16.100000000000001</v>
      </c>
      <c r="AQ35" s="37">
        <v>12.8</v>
      </c>
      <c r="AR35" s="37">
        <v>14</v>
      </c>
      <c r="AS35" s="37">
        <v>15.1</v>
      </c>
      <c r="AT35" s="37">
        <v>16.8</v>
      </c>
      <c r="AU35" s="37">
        <v>15.2</v>
      </c>
      <c r="AV35" s="37">
        <v>15.7</v>
      </c>
      <c r="AW35" s="37">
        <v>14.1</v>
      </c>
      <c r="AX35" s="37">
        <v>14.1</v>
      </c>
      <c r="AY35" s="37">
        <v>14.3</v>
      </c>
      <c r="AZ35" s="37">
        <v>14.4</v>
      </c>
      <c r="BA35" s="37">
        <v>13.3</v>
      </c>
      <c r="BB35" s="37">
        <v>12.8</v>
      </c>
      <c r="BC35" s="37">
        <v>15.7</v>
      </c>
      <c r="BD35" s="37">
        <v>17.399999999999999</v>
      </c>
      <c r="BE35" s="37">
        <v>17.7</v>
      </c>
      <c r="BF35" s="37">
        <v>20.100000000000001</v>
      </c>
      <c r="BG35" s="37">
        <v>19.899999999999999</v>
      </c>
      <c r="BH35" s="37">
        <v>17.5</v>
      </c>
      <c r="BI35" s="37">
        <v>17.7</v>
      </c>
      <c r="BJ35" s="37">
        <v>20</v>
      </c>
      <c r="BK35" s="37">
        <v>19.600000000000001</v>
      </c>
      <c r="BL35" s="37">
        <v>20.9</v>
      </c>
      <c r="BM35" s="37">
        <v>20.5</v>
      </c>
      <c r="BN35" s="37">
        <v>21.4</v>
      </c>
      <c r="BO35" s="37">
        <v>22</v>
      </c>
      <c r="BP35" s="37">
        <v>22.4</v>
      </c>
      <c r="BQ35" s="37">
        <v>24.8</v>
      </c>
      <c r="BR35" s="37">
        <v>22.7</v>
      </c>
      <c r="BS35" s="37">
        <v>24.5</v>
      </c>
      <c r="BT35" s="37">
        <v>24.8</v>
      </c>
      <c r="BU35" s="37">
        <v>23.6</v>
      </c>
      <c r="BV35" s="37">
        <v>23.4</v>
      </c>
      <c r="BW35" s="37">
        <v>25.2</v>
      </c>
      <c r="BX35" s="37">
        <v>27.3</v>
      </c>
      <c r="BY35" s="37">
        <v>28.2</v>
      </c>
      <c r="BZ35" s="37">
        <v>27.8</v>
      </c>
      <c r="CA35" s="37">
        <v>24.2</v>
      </c>
      <c r="CB35" s="37">
        <v>22.8</v>
      </c>
      <c r="CC35" s="37">
        <v>22.1</v>
      </c>
      <c r="CD35" s="37">
        <v>21.4</v>
      </c>
      <c r="CE35" s="37">
        <v>22.1</v>
      </c>
      <c r="CF35" s="37">
        <v>23</v>
      </c>
      <c r="CG35" s="37">
        <v>23.4</v>
      </c>
      <c r="CH35" s="37">
        <v>23.8</v>
      </c>
      <c r="CI35" s="37">
        <v>23.4</v>
      </c>
      <c r="CJ35" s="37">
        <v>23.7</v>
      </c>
      <c r="CK35" s="37">
        <v>23.6</v>
      </c>
      <c r="CL35" s="37">
        <v>25.2</v>
      </c>
      <c r="CM35" s="37">
        <v>24.7</v>
      </c>
      <c r="CN35" s="37">
        <v>23.2</v>
      </c>
      <c r="CO35" s="37">
        <v>24.4</v>
      </c>
      <c r="CP35" s="37">
        <v>24.8</v>
      </c>
      <c r="CQ35" s="37">
        <v>26.8</v>
      </c>
      <c r="CR35" s="37">
        <v>25.2</v>
      </c>
      <c r="CS35" s="37">
        <v>30.8</v>
      </c>
      <c r="CT35" s="37">
        <v>27.1</v>
      </c>
      <c r="CU35" s="37">
        <v>28.7</v>
      </c>
      <c r="CV35" s="37">
        <v>31.4</v>
      </c>
      <c r="CW35" s="37">
        <v>32.700000000000003</v>
      </c>
      <c r="CX35" s="37">
        <v>32.5</v>
      </c>
      <c r="CY35" s="37">
        <v>31.3</v>
      </c>
      <c r="CZ35" s="37">
        <v>31.9</v>
      </c>
      <c r="DA35" s="37">
        <v>30.9</v>
      </c>
      <c r="DB35" s="37">
        <v>31.9</v>
      </c>
      <c r="DC35" s="37">
        <v>33.5</v>
      </c>
      <c r="DD35" s="37">
        <v>33.299999999999997</v>
      </c>
      <c r="DE35" s="37">
        <v>33.4</v>
      </c>
      <c r="DF35" s="37">
        <v>33.1</v>
      </c>
      <c r="DG35" s="37">
        <v>33.6</v>
      </c>
      <c r="DH35" s="37">
        <v>35.5</v>
      </c>
      <c r="DI35" s="37">
        <v>34.4</v>
      </c>
      <c r="DJ35" s="37">
        <v>34.700000000000003</v>
      </c>
      <c r="DK35" s="37">
        <v>34.5</v>
      </c>
      <c r="DL35" s="37">
        <v>35.700000000000003</v>
      </c>
      <c r="DM35" s="37">
        <v>34.799999999999997</v>
      </c>
      <c r="DN35" s="37">
        <v>36.299999999999997</v>
      </c>
      <c r="DO35" s="37">
        <v>35.5</v>
      </c>
      <c r="DP35" s="37">
        <v>35.6</v>
      </c>
      <c r="DQ35" s="37">
        <v>35.9</v>
      </c>
      <c r="DR35" s="37">
        <v>37.200000000000003</v>
      </c>
      <c r="DS35" s="37">
        <v>36.5</v>
      </c>
      <c r="DT35" s="37">
        <v>33.5</v>
      </c>
      <c r="DU35" s="37">
        <v>33.700000000000003</v>
      </c>
      <c r="DV35" s="37">
        <v>30.1</v>
      </c>
      <c r="DW35" s="37">
        <v>30.4</v>
      </c>
      <c r="DX35" s="37">
        <v>28.3</v>
      </c>
      <c r="DY35" s="37">
        <v>26.6</v>
      </c>
      <c r="DZ35" s="37">
        <v>28.3</v>
      </c>
      <c r="EA35" s="37">
        <v>30.2</v>
      </c>
      <c r="EB35" s="37">
        <v>31.5</v>
      </c>
      <c r="EC35" s="37">
        <v>33.5</v>
      </c>
      <c r="ED35" s="37">
        <v>34.5</v>
      </c>
      <c r="EE35" s="37">
        <v>31.7</v>
      </c>
      <c r="EF35" s="37">
        <v>33.6</v>
      </c>
      <c r="EG35" s="37">
        <v>36.200000000000003</v>
      </c>
      <c r="EH35" s="37">
        <v>37.799999999999997</v>
      </c>
      <c r="EI35" s="37">
        <v>40.799999999999997</v>
      </c>
      <c r="EJ35" s="37">
        <v>43.9</v>
      </c>
      <c r="EK35" s="37">
        <v>44.3</v>
      </c>
      <c r="EL35" s="37">
        <v>55.3</v>
      </c>
      <c r="EM35" s="37">
        <v>53</v>
      </c>
      <c r="EN35" s="37">
        <v>53.3</v>
      </c>
      <c r="EO35" s="37">
        <v>58.2</v>
      </c>
      <c r="EP35" s="37">
        <v>59.6</v>
      </c>
      <c r="EQ35" s="37">
        <v>60.3</v>
      </c>
      <c r="ER35" s="37">
        <v>61.8</v>
      </c>
      <c r="ES35" s="37">
        <v>55.2</v>
      </c>
      <c r="ET35" s="37">
        <v>59.2</v>
      </c>
      <c r="EU35" s="37">
        <v>59.4</v>
      </c>
      <c r="EV35" s="37">
        <v>56.3</v>
      </c>
      <c r="EW35" s="37">
        <v>56.6</v>
      </c>
      <c r="EX35" s="37">
        <v>50.2</v>
      </c>
      <c r="EY35" s="37">
        <v>51.6</v>
      </c>
      <c r="EZ35" s="37">
        <v>52.8</v>
      </c>
      <c r="FA35" s="37">
        <v>35.1</v>
      </c>
      <c r="FB35" s="37">
        <v>43.7</v>
      </c>
      <c r="FC35" s="37">
        <v>49.6</v>
      </c>
      <c r="FD35" s="37">
        <v>41.3</v>
      </c>
      <c r="FE35" s="37">
        <v>43.4</v>
      </c>
      <c r="FF35" s="37">
        <v>45.1</v>
      </c>
      <c r="FG35" s="37">
        <v>43.4</v>
      </c>
      <c r="FH35" s="37">
        <v>45.5</v>
      </c>
      <c r="FI35" s="37">
        <v>50.4</v>
      </c>
      <c r="FJ35" s="37">
        <v>48.4</v>
      </c>
      <c r="FK35" s="37">
        <v>49.8</v>
      </c>
      <c r="FL35" s="37">
        <v>46.4</v>
      </c>
      <c r="FM35" s="37">
        <v>49</v>
      </c>
      <c r="FN35" s="37">
        <v>49.2</v>
      </c>
      <c r="FO35" s="37">
        <v>49.5</v>
      </c>
      <c r="FP35" s="37">
        <v>52.1</v>
      </c>
      <c r="FQ35" s="37">
        <v>51.9</v>
      </c>
      <c r="FR35" s="37">
        <v>53.8</v>
      </c>
      <c r="FS35" s="37">
        <v>54.1</v>
      </c>
      <c r="FT35" s="37">
        <v>53.1</v>
      </c>
      <c r="FU35" s="37">
        <v>54.6</v>
      </c>
      <c r="FV35" s="37">
        <v>56.4</v>
      </c>
      <c r="FW35" s="37">
        <v>55.1</v>
      </c>
      <c r="FX35" s="37">
        <v>57</v>
      </c>
      <c r="FY35" s="37">
        <v>57.7</v>
      </c>
      <c r="FZ35" s="37">
        <v>57.6</v>
      </c>
      <c r="GA35" s="37">
        <v>57.5</v>
      </c>
      <c r="GB35" s="37">
        <v>55.8</v>
      </c>
      <c r="GC35" s="37">
        <v>54.1</v>
      </c>
      <c r="GD35" s="37">
        <v>54</v>
      </c>
      <c r="GE35" s="37">
        <v>52.4</v>
      </c>
      <c r="GF35" s="37">
        <v>52.8</v>
      </c>
      <c r="GG35" s="37">
        <v>54.2</v>
      </c>
      <c r="GH35" s="37">
        <v>55.7</v>
      </c>
      <c r="GI35" s="37">
        <v>54.6</v>
      </c>
      <c r="GJ35" s="37">
        <v>54.1</v>
      </c>
      <c r="GK35" s="37">
        <v>54.1</v>
      </c>
      <c r="GL35" s="37">
        <v>55.8</v>
      </c>
      <c r="GM35" s="37">
        <v>61.1</v>
      </c>
      <c r="GN35" s="37">
        <v>61.3</v>
      </c>
      <c r="GO35" s="37">
        <v>63.3</v>
      </c>
      <c r="GP35" s="37">
        <v>73.599999999999994</v>
      </c>
      <c r="GQ35" s="37">
        <v>74.5</v>
      </c>
      <c r="GR35" s="37">
        <v>73.400000000000006</v>
      </c>
      <c r="GS35" s="37">
        <v>72.099999999999994</v>
      </c>
      <c r="GT35" s="37">
        <v>67.7</v>
      </c>
      <c r="GU35" s="37">
        <v>65</v>
      </c>
      <c r="GV35" s="37">
        <v>80.900000000000006</v>
      </c>
      <c r="GW35" s="37">
        <v>84.8</v>
      </c>
      <c r="GX35" s="37">
        <v>88</v>
      </c>
      <c r="GY35" s="37">
        <v>90.3</v>
      </c>
      <c r="GZ35" s="37">
        <v>94.4</v>
      </c>
      <c r="HA35" s="37">
        <v>110.5</v>
      </c>
      <c r="HB35">
        <v>165.9</v>
      </c>
      <c r="HC35">
        <v>109.8</v>
      </c>
      <c r="HD35">
        <v>101.6</v>
      </c>
    </row>
    <row r="36" spans="1:212" x14ac:dyDescent="0.3">
      <c r="A36" s="37" t="s">
        <v>1794</v>
      </c>
      <c r="B36" s="37">
        <v>1.1000000000000001</v>
      </c>
      <c r="C36" s="37">
        <v>1.1000000000000001</v>
      </c>
      <c r="D36" s="37">
        <v>1.1000000000000001</v>
      </c>
      <c r="E36" s="37">
        <v>1.1000000000000001</v>
      </c>
      <c r="F36" s="37">
        <v>1.1000000000000001</v>
      </c>
      <c r="G36" s="37">
        <v>1.2</v>
      </c>
      <c r="H36" s="37">
        <v>1.2</v>
      </c>
      <c r="I36" s="37">
        <v>1.2</v>
      </c>
      <c r="J36" s="37">
        <v>1.3</v>
      </c>
      <c r="K36" s="37">
        <v>1.3</v>
      </c>
      <c r="L36" s="37">
        <v>1.3</v>
      </c>
      <c r="M36" s="37">
        <v>1.4</v>
      </c>
      <c r="N36" s="37">
        <v>1.4</v>
      </c>
      <c r="O36" s="37">
        <v>1.5</v>
      </c>
      <c r="P36" s="37">
        <v>1.5</v>
      </c>
      <c r="Q36" s="37">
        <v>1.6</v>
      </c>
      <c r="R36" s="37">
        <v>1.6</v>
      </c>
      <c r="S36" s="37">
        <v>1.6</v>
      </c>
      <c r="T36" s="37">
        <v>1.7</v>
      </c>
      <c r="U36" s="37">
        <v>1.7</v>
      </c>
      <c r="V36" s="37">
        <v>1.8</v>
      </c>
      <c r="W36" s="37">
        <v>1.8</v>
      </c>
      <c r="X36" s="37">
        <v>1.9</v>
      </c>
      <c r="Y36" s="37">
        <v>2</v>
      </c>
      <c r="Z36" s="37">
        <v>2</v>
      </c>
      <c r="AA36" s="37">
        <v>2.1</v>
      </c>
      <c r="AB36" s="37">
        <v>2.2000000000000002</v>
      </c>
      <c r="AC36" s="37">
        <v>2.2999999999999998</v>
      </c>
      <c r="AD36" s="37">
        <v>2.5</v>
      </c>
      <c r="AE36" s="37">
        <v>2.7</v>
      </c>
      <c r="AF36" s="37">
        <v>2.9</v>
      </c>
      <c r="AG36" s="37">
        <v>3</v>
      </c>
      <c r="AH36" s="37">
        <v>3.2</v>
      </c>
      <c r="AI36" s="37">
        <v>3.3</v>
      </c>
      <c r="AJ36" s="37">
        <v>3.5</v>
      </c>
      <c r="AK36" s="37">
        <v>3.6</v>
      </c>
      <c r="AL36" s="37">
        <v>3.8</v>
      </c>
      <c r="AM36" s="37">
        <v>3.9</v>
      </c>
      <c r="AN36" s="37">
        <v>3.9</v>
      </c>
      <c r="AO36" s="37">
        <v>4</v>
      </c>
      <c r="AP36" s="37">
        <v>3.6</v>
      </c>
      <c r="AQ36" s="37">
        <v>2.9</v>
      </c>
      <c r="AR36" s="37">
        <v>3.8</v>
      </c>
      <c r="AS36" s="37">
        <v>4</v>
      </c>
      <c r="AT36" s="37">
        <v>3.7</v>
      </c>
      <c r="AU36" s="37">
        <v>3.8</v>
      </c>
      <c r="AV36" s="37">
        <v>3.9</v>
      </c>
      <c r="AW36" s="37">
        <v>4</v>
      </c>
      <c r="AX36" s="37">
        <v>4</v>
      </c>
      <c r="AY36" s="37">
        <v>4</v>
      </c>
      <c r="AZ36" s="37">
        <v>4.0999999999999996</v>
      </c>
      <c r="BA36" s="37">
        <v>4.0999999999999996</v>
      </c>
      <c r="BB36" s="37">
        <v>4</v>
      </c>
      <c r="BC36" s="37">
        <v>4.0999999999999996</v>
      </c>
      <c r="BD36" s="37">
        <v>4.0999999999999996</v>
      </c>
      <c r="BE36" s="37">
        <v>4.3</v>
      </c>
      <c r="BF36" s="37">
        <v>4.5</v>
      </c>
      <c r="BG36" s="37">
        <v>4.7</v>
      </c>
      <c r="BH36" s="37">
        <v>4.8</v>
      </c>
      <c r="BI36" s="37">
        <v>4.8</v>
      </c>
      <c r="BJ36" s="37">
        <v>4.7</v>
      </c>
      <c r="BK36" s="37">
        <v>4.8</v>
      </c>
      <c r="BL36" s="37">
        <v>4.9000000000000004</v>
      </c>
      <c r="BM36" s="37">
        <v>5.2</v>
      </c>
      <c r="BN36" s="37">
        <v>5.5</v>
      </c>
      <c r="BO36" s="37">
        <v>5.8</v>
      </c>
      <c r="BP36" s="37">
        <v>6.1</v>
      </c>
      <c r="BQ36" s="37">
        <v>6.4</v>
      </c>
      <c r="BR36" s="37">
        <v>6.7</v>
      </c>
      <c r="BS36" s="37">
        <v>7</v>
      </c>
      <c r="BT36" s="37">
        <v>7.3</v>
      </c>
      <c r="BU36" s="37">
        <v>7.7</v>
      </c>
      <c r="BV36" s="37">
        <v>8</v>
      </c>
      <c r="BW36" s="37">
        <v>8.3000000000000007</v>
      </c>
      <c r="BX36" s="37">
        <v>8.5</v>
      </c>
      <c r="BY36" s="37">
        <v>8.6999999999999993</v>
      </c>
      <c r="BZ36" s="37">
        <v>8.8000000000000007</v>
      </c>
      <c r="CA36" s="37">
        <v>8.9</v>
      </c>
      <c r="CB36" s="37">
        <v>9</v>
      </c>
      <c r="CC36" s="37">
        <v>9.3000000000000007</v>
      </c>
      <c r="CD36" s="37">
        <v>9.5</v>
      </c>
      <c r="CE36" s="37">
        <v>9.9</v>
      </c>
      <c r="CF36" s="37">
        <v>10.199999999999999</v>
      </c>
      <c r="CG36" s="37">
        <v>10.5</v>
      </c>
      <c r="CH36" s="37">
        <v>11</v>
      </c>
      <c r="CI36" s="37">
        <v>11.4</v>
      </c>
      <c r="CJ36" s="37">
        <v>11.8</v>
      </c>
      <c r="CK36" s="37">
        <v>12.2</v>
      </c>
      <c r="CL36" s="37">
        <v>12.6</v>
      </c>
      <c r="CM36" s="37">
        <v>13</v>
      </c>
      <c r="CN36" s="37">
        <v>13.3</v>
      </c>
      <c r="CO36" s="37">
        <v>13.6</v>
      </c>
      <c r="CP36" s="37">
        <v>13.8</v>
      </c>
      <c r="CQ36" s="37">
        <v>14.1</v>
      </c>
      <c r="CR36" s="37">
        <v>14.2</v>
      </c>
      <c r="CS36" s="37">
        <v>14.4</v>
      </c>
      <c r="CT36" s="37">
        <v>14.6</v>
      </c>
      <c r="CU36" s="37">
        <v>14.6</v>
      </c>
      <c r="CV36" s="37">
        <v>14.5</v>
      </c>
      <c r="CW36" s="37">
        <v>14.4</v>
      </c>
      <c r="CX36" s="37">
        <v>14</v>
      </c>
      <c r="CY36" s="37">
        <v>13.7</v>
      </c>
      <c r="CZ36" s="37">
        <v>13.5</v>
      </c>
      <c r="DA36" s="37">
        <v>13.2</v>
      </c>
      <c r="DB36" s="37">
        <v>13</v>
      </c>
      <c r="DC36" s="37">
        <v>12.7</v>
      </c>
      <c r="DD36" s="37">
        <v>12.3</v>
      </c>
      <c r="DE36" s="37">
        <v>11.9</v>
      </c>
      <c r="DF36" s="37">
        <v>11.3</v>
      </c>
      <c r="DG36" s="37">
        <v>10.9</v>
      </c>
      <c r="DH36" s="37">
        <v>10.6</v>
      </c>
      <c r="DI36" s="37">
        <v>10.5</v>
      </c>
      <c r="DJ36" s="37">
        <v>10.5</v>
      </c>
      <c r="DK36" s="37">
        <v>10.5</v>
      </c>
      <c r="DL36" s="37">
        <v>10.3</v>
      </c>
      <c r="DM36" s="37">
        <v>10.1</v>
      </c>
      <c r="DN36" s="37">
        <v>9.9</v>
      </c>
      <c r="DO36" s="37">
        <v>9.6999999999999993</v>
      </c>
      <c r="DP36" s="37">
        <v>9.6999999999999993</v>
      </c>
      <c r="DQ36" s="37">
        <v>9.8000000000000007</v>
      </c>
      <c r="DR36" s="37">
        <v>10</v>
      </c>
      <c r="DS36" s="37">
        <v>10.4</v>
      </c>
      <c r="DT36" s="37">
        <v>11</v>
      </c>
      <c r="DU36" s="37">
        <v>11.8</v>
      </c>
      <c r="DV36" s="37">
        <v>12.7</v>
      </c>
      <c r="DW36" s="37">
        <v>13.5</v>
      </c>
      <c r="DX36" s="37">
        <v>14.1</v>
      </c>
      <c r="DY36" s="37">
        <v>14.5</v>
      </c>
      <c r="DZ36" s="37">
        <v>14.9</v>
      </c>
      <c r="EA36" s="37">
        <v>15.4</v>
      </c>
      <c r="EB36" s="37">
        <v>16.100000000000001</v>
      </c>
      <c r="EC36" s="37">
        <v>17</v>
      </c>
      <c r="ED36" s="37">
        <v>18</v>
      </c>
      <c r="EE36" s="37">
        <v>19.2</v>
      </c>
      <c r="EF36" s="37">
        <v>20.5</v>
      </c>
      <c r="EG36" s="37">
        <v>22</v>
      </c>
      <c r="EH36" s="37">
        <v>23.4</v>
      </c>
      <c r="EI36" s="37">
        <v>24.5</v>
      </c>
      <c r="EJ36" s="37">
        <v>25.2</v>
      </c>
      <c r="EK36" s="37">
        <v>25.5</v>
      </c>
      <c r="EL36" s="37">
        <v>25.3</v>
      </c>
      <c r="EM36" s="37">
        <v>25</v>
      </c>
      <c r="EN36" s="37">
        <v>24.4</v>
      </c>
      <c r="EO36" s="37">
        <v>23.7</v>
      </c>
      <c r="EP36" s="37">
        <v>22.8</v>
      </c>
      <c r="EQ36" s="37">
        <v>21.9</v>
      </c>
      <c r="ER36" s="37">
        <v>21</v>
      </c>
      <c r="ES36" s="37">
        <v>20.2</v>
      </c>
      <c r="ET36" s="37">
        <v>19.399999999999999</v>
      </c>
      <c r="EU36" s="37">
        <v>18.899999999999999</v>
      </c>
      <c r="EV36" s="37">
        <v>18.5</v>
      </c>
      <c r="EW36" s="37">
        <v>18.5</v>
      </c>
      <c r="EX36" s="37">
        <v>18.600000000000001</v>
      </c>
      <c r="EY36" s="37">
        <v>18.7</v>
      </c>
      <c r="EZ36" s="37">
        <v>18.7</v>
      </c>
      <c r="FA36" s="37">
        <v>18.8</v>
      </c>
      <c r="FB36" s="37">
        <v>18.8</v>
      </c>
      <c r="FC36" s="37">
        <v>18.7</v>
      </c>
      <c r="FD36" s="37">
        <v>18.5</v>
      </c>
      <c r="FE36" s="37">
        <v>18.3</v>
      </c>
      <c r="FF36" s="37">
        <v>18</v>
      </c>
      <c r="FG36" s="37">
        <v>17.7</v>
      </c>
      <c r="FH36" s="37">
        <v>17.7</v>
      </c>
      <c r="FI36" s="37">
        <v>17.7</v>
      </c>
      <c r="FJ36" s="37">
        <v>17.899999999999999</v>
      </c>
      <c r="FK36" s="37">
        <v>18</v>
      </c>
      <c r="FL36" s="37">
        <v>17.899999999999999</v>
      </c>
      <c r="FM36" s="37">
        <v>17.7</v>
      </c>
      <c r="FN36" s="37">
        <v>17.399999999999999</v>
      </c>
      <c r="FO36" s="37">
        <v>17.2</v>
      </c>
      <c r="FP36" s="37">
        <v>17.100000000000001</v>
      </c>
      <c r="FQ36" s="37">
        <v>17.100000000000001</v>
      </c>
      <c r="FR36" s="37">
        <v>17.3</v>
      </c>
      <c r="FS36" s="37">
        <v>17.5</v>
      </c>
      <c r="FT36" s="37">
        <v>17.8</v>
      </c>
      <c r="FU36" s="37">
        <v>18.100000000000001</v>
      </c>
      <c r="FV36" s="37">
        <v>18.399999999999999</v>
      </c>
      <c r="FW36" s="37">
        <v>18.7</v>
      </c>
      <c r="FX36" s="37">
        <v>18.899999999999999</v>
      </c>
      <c r="FY36" s="37">
        <v>19</v>
      </c>
      <c r="FZ36" s="37">
        <v>19</v>
      </c>
      <c r="GA36" s="37">
        <v>19.100000000000001</v>
      </c>
      <c r="GB36" s="37">
        <v>19.3</v>
      </c>
      <c r="GC36" s="37">
        <v>19.5</v>
      </c>
      <c r="GD36" s="37">
        <v>19.8</v>
      </c>
      <c r="GE36" s="37">
        <v>20</v>
      </c>
      <c r="GF36" s="37">
        <v>20</v>
      </c>
      <c r="GG36" s="37">
        <v>20</v>
      </c>
      <c r="GH36" s="37">
        <v>19.8</v>
      </c>
      <c r="GI36" s="37">
        <v>19.8</v>
      </c>
      <c r="GJ36" s="37">
        <v>19.8</v>
      </c>
      <c r="GK36" s="37">
        <v>20</v>
      </c>
      <c r="GL36" s="37">
        <v>20.2</v>
      </c>
      <c r="GM36" s="37">
        <v>20.399999999999999</v>
      </c>
      <c r="GN36" s="37">
        <v>20.6</v>
      </c>
      <c r="GO36" s="37">
        <v>20.6</v>
      </c>
      <c r="GP36" s="37">
        <v>20.8</v>
      </c>
      <c r="GQ36" s="37">
        <v>20.8</v>
      </c>
      <c r="GR36" s="37">
        <v>20.7</v>
      </c>
      <c r="GS36" s="37">
        <v>20.7</v>
      </c>
      <c r="GT36" s="37">
        <v>20.7</v>
      </c>
      <c r="GU36" s="37">
        <v>19.8</v>
      </c>
      <c r="GV36" s="37">
        <v>20.5</v>
      </c>
      <c r="GW36" s="37">
        <v>21.3</v>
      </c>
      <c r="GX36" s="37">
        <v>22</v>
      </c>
      <c r="GY36" s="37">
        <v>22.7</v>
      </c>
      <c r="GZ36" s="37">
        <v>23.2</v>
      </c>
      <c r="HA36" s="37">
        <v>23.4</v>
      </c>
      <c r="HB36" s="37">
        <v>23.4</v>
      </c>
      <c r="HC36">
        <v>23.6</v>
      </c>
      <c r="HD36">
        <v>24</v>
      </c>
    </row>
    <row r="37" spans="1:212" x14ac:dyDescent="0.3">
      <c r="A37" s="37" t="s">
        <v>1795</v>
      </c>
      <c r="B37" s="37">
        <v>14.7</v>
      </c>
      <c r="C37" s="37">
        <v>15.6</v>
      </c>
      <c r="D37" s="37">
        <v>16.600000000000001</v>
      </c>
      <c r="E37" s="37">
        <v>17.5</v>
      </c>
      <c r="F37" s="37">
        <v>18.3</v>
      </c>
      <c r="G37" s="37">
        <v>19.100000000000001</v>
      </c>
      <c r="H37" s="37">
        <v>19.600000000000001</v>
      </c>
      <c r="I37" s="37">
        <v>20.3</v>
      </c>
      <c r="J37" s="37">
        <v>21.2</v>
      </c>
      <c r="K37" s="37">
        <v>21.6</v>
      </c>
      <c r="L37" s="37">
        <v>22.5</v>
      </c>
      <c r="M37" s="37">
        <v>22.5</v>
      </c>
      <c r="N37" s="37">
        <v>23.2</v>
      </c>
      <c r="O37" s="37">
        <v>24</v>
      </c>
      <c r="P37" s="37">
        <v>24.2</v>
      </c>
      <c r="Q37" s="37">
        <v>25</v>
      </c>
      <c r="R37" s="37">
        <v>23.4</v>
      </c>
      <c r="S37" s="37">
        <v>24.7</v>
      </c>
      <c r="T37" s="37">
        <v>25.9</v>
      </c>
      <c r="U37" s="37">
        <v>27.1</v>
      </c>
      <c r="V37" s="37">
        <v>29.2</v>
      </c>
      <c r="W37" s="37">
        <v>30.5</v>
      </c>
      <c r="X37" s="37">
        <v>31</v>
      </c>
      <c r="Y37" s="37">
        <v>32.6</v>
      </c>
      <c r="Z37" s="37">
        <v>33.4</v>
      </c>
      <c r="AA37" s="37">
        <v>33.4</v>
      </c>
      <c r="AB37" s="37">
        <v>34.700000000000003</v>
      </c>
      <c r="AC37" s="37">
        <v>35</v>
      </c>
      <c r="AD37" s="37">
        <v>35.700000000000003</v>
      </c>
      <c r="AE37" s="37">
        <v>37.5</v>
      </c>
      <c r="AF37" s="37">
        <v>37.299999999999997</v>
      </c>
      <c r="AG37" s="37">
        <v>37.700000000000003</v>
      </c>
      <c r="AH37" s="37">
        <v>39.200000000000003</v>
      </c>
      <c r="AI37" s="37">
        <v>41</v>
      </c>
      <c r="AJ37" s="37">
        <v>41.3</v>
      </c>
      <c r="AK37" s="37">
        <v>41.7</v>
      </c>
      <c r="AL37" s="37">
        <v>42.4</v>
      </c>
      <c r="AM37" s="37">
        <v>43.5</v>
      </c>
      <c r="AN37" s="37">
        <v>44.5</v>
      </c>
      <c r="AO37" s="37">
        <v>46.9</v>
      </c>
      <c r="AP37" s="37">
        <v>49.1</v>
      </c>
      <c r="AQ37" s="37">
        <v>49</v>
      </c>
      <c r="AR37" s="37">
        <v>52.4</v>
      </c>
      <c r="AS37" s="37">
        <v>54.3</v>
      </c>
      <c r="AT37" s="37">
        <v>55.6</v>
      </c>
      <c r="AU37" s="37">
        <v>57.4</v>
      </c>
      <c r="AV37" s="37">
        <v>57.7</v>
      </c>
      <c r="AW37" s="37">
        <v>57.7</v>
      </c>
      <c r="AX37" s="37">
        <v>59</v>
      </c>
      <c r="AY37" s="37">
        <v>61</v>
      </c>
      <c r="AZ37" s="37">
        <v>62.1</v>
      </c>
      <c r="BA37" s="37">
        <v>62.6</v>
      </c>
      <c r="BB37" s="37">
        <v>65.8</v>
      </c>
      <c r="BC37" s="37">
        <v>66.3</v>
      </c>
      <c r="BD37" s="37">
        <v>67.2</v>
      </c>
      <c r="BE37" s="37">
        <v>68.3</v>
      </c>
      <c r="BF37" s="37">
        <v>69.900000000000006</v>
      </c>
      <c r="BG37" s="37">
        <v>70.599999999999994</v>
      </c>
      <c r="BH37" s="37">
        <v>71.3</v>
      </c>
      <c r="BI37" s="37">
        <v>72.8</v>
      </c>
      <c r="BJ37" s="37">
        <v>74.900000000000006</v>
      </c>
      <c r="BK37" s="37">
        <v>76.3</v>
      </c>
      <c r="BL37" s="37">
        <v>78.099999999999994</v>
      </c>
      <c r="BM37" s="37">
        <v>79.8</v>
      </c>
      <c r="BN37" s="37">
        <v>81.599999999999994</v>
      </c>
      <c r="BO37" s="37">
        <v>83.6</v>
      </c>
      <c r="BP37" s="37">
        <v>85.3</v>
      </c>
      <c r="BQ37" s="37">
        <v>86.9</v>
      </c>
      <c r="BR37" s="37">
        <v>88.3</v>
      </c>
      <c r="BS37" s="37">
        <v>89.9</v>
      </c>
      <c r="BT37" s="37">
        <v>91.6</v>
      </c>
      <c r="BU37" s="37">
        <v>93.1</v>
      </c>
      <c r="BV37" s="37">
        <v>95.3</v>
      </c>
      <c r="BW37" s="37">
        <v>97.3</v>
      </c>
      <c r="BX37" s="37">
        <v>99.5</v>
      </c>
      <c r="BY37" s="37">
        <v>101.9</v>
      </c>
      <c r="BZ37" s="37">
        <v>104.2</v>
      </c>
      <c r="CA37" s="37">
        <v>107.3</v>
      </c>
      <c r="CB37" s="37">
        <v>111</v>
      </c>
      <c r="CC37" s="37">
        <v>114.8</v>
      </c>
      <c r="CD37" s="37">
        <v>118.8</v>
      </c>
      <c r="CE37" s="37">
        <v>124.2</v>
      </c>
      <c r="CF37" s="37">
        <v>130.30000000000001</v>
      </c>
      <c r="CG37" s="37">
        <v>137.4</v>
      </c>
      <c r="CH37" s="37">
        <v>141.5</v>
      </c>
      <c r="CI37" s="37">
        <v>152.19999999999999</v>
      </c>
      <c r="CJ37" s="37">
        <v>158.6</v>
      </c>
      <c r="CK37" s="37">
        <v>173.8</v>
      </c>
      <c r="CL37" s="37">
        <v>170.5</v>
      </c>
      <c r="CM37" s="37">
        <v>178.6</v>
      </c>
      <c r="CN37" s="37">
        <v>185.8</v>
      </c>
      <c r="CO37" s="37">
        <v>185</v>
      </c>
      <c r="CP37" s="37">
        <v>188.9</v>
      </c>
      <c r="CQ37" s="37">
        <v>189.7</v>
      </c>
      <c r="CR37" s="37">
        <v>200.6</v>
      </c>
      <c r="CS37" s="37">
        <v>201.7</v>
      </c>
      <c r="CT37" s="37">
        <v>203.6</v>
      </c>
      <c r="CU37" s="37">
        <v>203.9</v>
      </c>
      <c r="CV37" s="37">
        <v>203.7</v>
      </c>
      <c r="CW37" s="37">
        <v>215.7</v>
      </c>
      <c r="CX37" s="37">
        <v>220.4</v>
      </c>
      <c r="CY37" s="37">
        <v>220.7</v>
      </c>
      <c r="CZ37" s="37">
        <v>220.7</v>
      </c>
      <c r="DA37" s="37">
        <v>208.8</v>
      </c>
      <c r="DB37" s="37">
        <v>218.2</v>
      </c>
      <c r="DC37" s="37">
        <v>232.2</v>
      </c>
      <c r="DD37" s="37">
        <v>224.8</v>
      </c>
      <c r="DE37" s="37">
        <v>221.7</v>
      </c>
      <c r="DF37" s="37">
        <v>226</v>
      </c>
      <c r="DG37" s="37">
        <v>223.7</v>
      </c>
      <c r="DH37" s="37">
        <v>228</v>
      </c>
      <c r="DI37" s="37">
        <v>232.4</v>
      </c>
      <c r="DJ37" s="37">
        <v>232.1</v>
      </c>
      <c r="DK37" s="37">
        <v>235.3</v>
      </c>
      <c r="DL37" s="37">
        <v>233.9</v>
      </c>
      <c r="DM37" s="37">
        <v>241.7</v>
      </c>
      <c r="DN37" s="37">
        <v>247.8</v>
      </c>
      <c r="DO37" s="37">
        <v>246.4</v>
      </c>
      <c r="DP37" s="37">
        <v>255</v>
      </c>
      <c r="DQ37" s="37">
        <v>260.2</v>
      </c>
      <c r="DR37" s="37">
        <v>260.10000000000002</v>
      </c>
      <c r="DS37" s="37">
        <v>269.39999999999998</v>
      </c>
      <c r="DT37" s="37">
        <v>277.2</v>
      </c>
      <c r="DU37" s="37">
        <v>279.10000000000002</v>
      </c>
      <c r="DV37" s="37">
        <v>290.39999999999998</v>
      </c>
      <c r="DW37" s="37">
        <v>308</v>
      </c>
      <c r="DX37" s="37">
        <v>295.8</v>
      </c>
      <c r="DY37" s="37">
        <v>326</v>
      </c>
      <c r="DZ37" s="37">
        <v>326</v>
      </c>
      <c r="EA37" s="37">
        <v>326</v>
      </c>
      <c r="EB37" s="37">
        <v>334.7</v>
      </c>
      <c r="EC37" s="37">
        <v>345.4</v>
      </c>
      <c r="ED37" s="37">
        <v>347</v>
      </c>
      <c r="EE37" s="37">
        <v>348.3</v>
      </c>
      <c r="EF37" s="37">
        <v>361.8</v>
      </c>
      <c r="EG37" s="37">
        <v>357</v>
      </c>
      <c r="EH37" s="37">
        <v>376</v>
      </c>
      <c r="EI37" s="37">
        <v>387.1</v>
      </c>
      <c r="EJ37" s="37">
        <v>385.7</v>
      </c>
      <c r="EK37" s="37">
        <v>391</v>
      </c>
      <c r="EL37" s="37">
        <v>399.1</v>
      </c>
      <c r="EM37" s="37">
        <v>410</v>
      </c>
      <c r="EN37" s="37">
        <v>409.1</v>
      </c>
      <c r="EO37" s="37">
        <v>407.9</v>
      </c>
      <c r="EP37" s="37">
        <v>394</v>
      </c>
      <c r="EQ37" s="37">
        <v>399.2</v>
      </c>
      <c r="ER37" s="37">
        <v>414.4</v>
      </c>
      <c r="ES37" s="37">
        <v>408.1</v>
      </c>
      <c r="ET37" s="37">
        <v>440.1</v>
      </c>
      <c r="EU37" s="37">
        <v>423.7</v>
      </c>
      <c r="EV37" s="37">
        <v>429.9</v>
      </c>
      <c r="EW37" s="37">
        <v>442.3</v>
      </c>
      <c r="EX37" s="37">
        <v>446.3</v>
      </c>
      <c r="EY37" s="37">
        <v>456</v>
      </c>
      <c r="EZ37" s="37">
        <v>460</v>
      </c>
      <c r="FA37" s="37">
        <v>462.1</v>
      </c>
      <c r="FB37" s="37">
        <v>480.2</v>
      </c>
      <c r="FC37" s="37">
        <v>492</v>
      </c>
      <c r="FD37" s="37">
        <v>502.4</v>
      </c>
      <c r="FE37" s="37">
        <v>498.2</v>
      </c>
      <c r="FF37" s="37">
        <v>508.7</v>
      </c>
      <c r="FG37" s="37">
        <v>513</v>
      </c>
      <c r="FH37" s="37">
        <v>533.20000000000005</v>
      </c>
      <c r="FI37" s="37">
        <v>540.79999999999995</v>
      </c>
      <c r="FJ37" s="37">
        <v>544.4</v>
      </c>
      <c r="FK37" s="37">
        <v>534.70000000000005</v>
      </c>
      <c r="FL37" s="37">
        <v>520.70000000000005</v>
      </c>
      <c r="FM37" s="37">
        <v>522.9</v>
      </c>
      <c r="FN37" s="37">
        <v>523.9</v>
      </c>
      <c r="FO37" s="37">
        <v>544.4</v>
      </c>
      <c r="FP37" s="37">
        <v>542</v>
      </c>
      <c r="FQ37" s="37">
        <v>552.70000000000005</v>
      </c>
      <c r="FR37" s="37">
        <v>548.4</v>
      </c>
      <c r="FS37" s="37">
        <v>562.79999999999995</v>
      </c>
      <c r="FT37" s="37">
        <v>572.79999999999995</v>
      </c>
      <c r="FU37" s="37">
        <v>573.6</v>
      </c>
      <c r="FV37" s="37">
        <v>585.1</v>
      </c>
      <c r="FW37" s="37">
        <v>607.79999999999995</v>
      </c>
      <c r="FX37" s="37">
        <v>634.1</v>
      </c>
      <c r="FY37" s="37">
        <v>643.20000000000005</v>
      </c>
      <c r="FZ37" s="37">
        <v>652.20000000000005</v>
      </c>
      <c r="GA37" s="37">
        <v>667.3</v>
      </c>
      <c r="GB37" s="37">
        <v>670.2</v>
      </c>
      <c r="GC37" s="37">
        <v>671.5</v>
      </c>
      <c r="GD37" s="37">
        <v>679.9</v>
      </c>
      <c r="GE37" s="37">
        <v>688.5</v>
      </c>
      <c r="GF37" s="37">
        <v>697.2</v>
      </c>
      <c r="GG37" s="37">
        <v>706.6</v>
      </c>
      <c r="GH37" s="37">
        <v>705.1</v>
      </c>
      <c r="GI37" s="37">
        <v>702.3</v>
      </c>
      <c r="GJ37" s="37">
        <v>718</v>
      </c>
      <c r="GK37" s="37">
        <v>713.3</v>
      </c>
      <c r="GL37" s="37">
        <v>720.9</v>
      </c>
      <c r="GM37" s="37">
        <v>733.2</v>
      </c>
      <c r="GN37" s="37">
        <v>737.9</v>
      </c>
      <c r="GO37" s="37">
        <v>734.3</v>
      </c>
      <c r="GP37" s="37">
        <v>745.2</v>
      </c>
      <c r="GQ37" s="37">
        <v>763.2</v>
      </c>
      <c r="GR37" s="37">
        <v>773.5</v>
      </c>
      <c r="GS37" s="37">
        <v>773.8</v>
      </c>
      <c r="GT37" s="37">
        <v>762.4</v>
      </c>
      <c r="GU37" s="37">
        <v>813.3</v>
      </c>
      <c r="GV37" s="37">
        <v>851.9</v>
      </c>
      <c r="GW37" s="37">
        <v>840.6</v>
      </c>
      <c r="GX37" s="37">
        <v>868</v>
      </c>
      <c r="GY37" s="37">
        <v>910.1</v>
      </c>
      <c r="GZ37" s="37">
        <v>918.1</v>
      </c>
      <c r="HA37" s="37">
        <v>915.2</v>
      </c>
      <c r="HB37" s="37">
        <v>934.7</v>
      </c>
      <c r="HC37">
        <v>962.7</v>
      </c>
      <c r="HD37">
        <v>986.8</v>
      </c>
    </row>
    <row r="38" spans="1:212" x14ac:dyDescent="0.3">
      <c r="A38" s="37" t="s">
        <v>1796</v>
      </c>
      <c r="B38" s="37">
        <v>129.9</v>
      </c>
      <c r="C38" s="37">
        <v>134.1</v>
      </c>
      <c r="D38" s="37">
        <v>140.1</v>
      </c>
      <c r="E38" s="37">
        <v>144.30000000000001</v>
      </c>
      <c r="F38" s="37">
        <v>149.1</v>
      </c>
      <c r="G38" s="37">
        <v>153.6</v>
      </c>
      <c r="H38" s="37">
        <v>156.9</v>
      </c>
      <c r="I38" s="37">
        <v>161</v>
      </c>
      <c r="J38" s="37">
        <v>165.7</v>
      </c>
      <c r="K38" s="37">
        <v>167.9</v>
      </c>
      <c r="L38" s="37">
        <v>172.5</v>
      </c>
      <c r="M38" s="37">
        <v>176.8</v>
      </c>
      <c r="N38" s="37">
        <v>181.7</v>
      </c>
      <c r="O38" s="37">
        <v>185.7</v>
      </c>
      <c r="P38" s="37">
        <v>190</v>
      </c>
      <c r="Q38" s="37">
        <v>195.9</v>
      </c>
      <c r="R38" s="37">
        <v>201.1</v>
      </c>
      <c r="S38" s="37">
        <v>210.1</v>
      </c>
      <c r="T38" s="37">
        <v>217</v>
      </c>
      <c r="U38" s="37">
        <v>223.7</v>
      </c>
      <c r="V38" s="37">
        <v>235.9</v>
      </c>
      <c r="W38" s="37">
        <v>240.3</v>
      </c>
      <c r="X38" s="37">
        <v>246.6</v>
      </c>
      <c r="Y38" s="37">
        <v>254.2</v>
      </c>
      <c r="Z38" s="37">
        <v>260.3</v>
      </c>
      <c r="AA38" s="37">
        <v>259.39999999999998</v>
      </c>
      <c r="AB38" s="37">
        <v>261.3</v>
      </c>
      <c r="AC38" s="37">
        <v>263.89999999999998</v>
      </c>
      <c r="AD38" s="37">
        <v>271.10000000000002</v>
      </c>
      <c r="AE38" s="37">
        <v>278.60000000000002</v>
      </c>
      <c r="AF38" s="37">
        <v>282.3</v>
      </c>
      <c r="AG38" s="37">
        <v>287.5</v>
      </c>
      <c r="AH38" s="37">
        <v>292.5</v>
      </c>
      <c r="AI38" s="37">
        <v>306</v>
      </c>
      <c r="AJ38" s="37">
        <v>313.5</v>
      </c>
      <c r="AK38" s="37">
        <v>320.5</v>
      </c>
      <c r="AL38" s="37">
        <v>323.2</v>
      </c>
      <c r="AM38" s="37">
        <v>333.2</v>
      </c>
      <c r="AN38" s="37">
        <v>344.8</v>
      </c>
      <c r="AO38" s="37">
        <v>356.1</v>
      </c>
      <c r="AP38" s="37">
        <v>367.6</v>
      </c>
      <c r="AQ38" s="37">
        <v>371.7</v>
      </c>
      <c r="AR38" s="37">
        <v>379.1</v>
      </c>
      <c r="AS38" s="37">
        <v>388.1</v>
      </c>
      <c r="AT38" s="37">
        <v>402.6</v>
      </c>
      <c r="AU38" s="37">
        <v>405.3</v>
      </c>
      <c r="AV38" s="37">
        <v>409.8</v>
      </c>
      <c r="AW38" s="37">
        <v>418.5</v>
      </c>
      <c r="AX38" s="37">
        <v>425.5</v>
      </c>
      <c r="AY38" s="37">
        <v>435.4</v>
      </c>
      <c r="AZ38" s="37">
        <v>443.4</v>
      </c>
      <c r="BA38" s="37">
        <v>452.9</v>
      </c>
      <c r="BB38" s="37">
        <v>461.9</v>
      </c>
      <c r="BC38" s="37">
        <v>467.5</v>
      </c>
      <c r="BD38" s="37">
        <v>476.7</v>
      </c>
      <c r="BE38" s="37">
        <v>482.1</v>
      </c>
      <c r="BF38" s="37">
        <v>495.1</v>
      </c>
      <c r="BG38" s="37">
        <v>505.9</v>
      </c>
      <c r="BH38" s="37">
        <v>518.29999999999995</v>
      </c>
      <c r="BI38" s="37">
        <v>529.29999999999995</v>
      </c>
      <c r="BJ38" s="37">
        <v>542.70000000000005</v>
      </c>
      <c r="BK38" s="37">
        <v>557.70000000000005</v>
      </c>
      <c r="BL38" s="37">
        <v>571.6</v>
      </c>
      <c r="BM38" s="37">
        <v>582.20000000000005</v>
      </c>
      <c r="BN38" s="37">
        <v>595.9</v>
      </c>
      <c r="BO38" s="37">
        <v>605.5</v>
      </c>
      <c r="BP38" s="37">
        <v>616.5</v>
      </c>
      <c r="BQ38" s="37">
        <v>626.29999999999995</v>
      </c>
      <c r="BR38" s="37">
        <v>637.79999999999995</v>
      </c>
      <c r="BS38" s="37">
        <v>646.9</v>
      </c>
      <c r="BT38" s="37">
        <v>656.4</v>
      </c>
      <c r="BU38" s="37">
        <v>668.1</v>
      </c>
      <c r="BV38" s="37">
        <v>678.6</v>
      </c>
      <c r="BW38" s="37">
        <v>693.1</v>
      </c>
      <c r="BX38" s="37">
        <v>703.2</v>
      </c>
      <c r="BY38" s="37">
        <v>720.1</v>
      </c>
      <c r="BZ38" s="37">
        <v>736.6</v>
      </c>
      <c r="CA38" s="37">
        <v>755.1</v>
      </c>
      <c r="CB38" s="37">
        <v>770.4</v>
      </c>
      <c r="CC38" s="37">
        <v>790</v>
      </c>
      <c r="CD38" s="37">
        <v>811.4</v>
      </c>
      <c r="CE38" s="37">
        <v>824.1</v>
      </c>
      <c r="CF38" s="37">
        <v>843.9</v>
      </c>
      <c r="CG38" s="37">
        <v>871</v>
      </c>
      <c r="CH38" s="37">
        <v>881.6</v>
      </c>
      <c r="CI38" s="37">
        <v>901.3</v>
      </c>
      <c r="CJ38" s="37">
        <v>919.2</v>
      </c>
      <c r="CK38" s="37">
        <v>947</v>
      </c>
      <c r="CL38" s="37">
        <v>959.3</v>
      </c>
      <c r="CM38" s="37">
        <v>975.2</v>
      </c>
      <c r="CN38" s="37">
        <v>988.2</v>
      </c>
      <c r="CO38" s="37">
        <v>991.3</v>
      </c>
      <c r="CP38" s="37">
        <v>1001.1</v>
      </c>
      <c r="CQ38" s="37">
        <v>1011.6</v>
      </c>
      <c r="CR38" s="37">
        <v>1028.0999999999999</v>
      </c>
      <c r="CS38" s="37">
        <v>1036.0999999999999</v>
      </c>
      <c r="CT38" s="37">
        <v>1046.5999999999999</v>
      </c>
      <c r="CU38" s="37">
        <v>1060.5</v>
      </c>
      <c r="CV38" s="37">
        <v>1077.4000000000001</v>
      </c>
      <c r="CW38" s="37">
        <v>1100.7</v>
      </c>
      <c r="CX38" s="37">
        <v>1118.5</v>
      </c>
      <c r="CY38" s="37">
        <v>1132.8</v>
      </c>
      <c r="CZ38" s="37">
        <v>1136.8</v>
      </c>
      <c r="DA38" s="37">
        <v>1131.2</v>
      </c>
      <c r="DB38" s="37">
        <v>1145.0999999999999</v>
      </c>
      <c r="DC38" s="37">
        <v>1171.4000000000001</v>
      </c>
      <c r="DD38" s="37">
        <v>1176</v>
      </c>
      <c r="DE38" s="37">
        <v>1192</v>
      </c>
      <c r="DF38" s="37">
        <v>1202.5</v>
      </c>
      <c r="DG38" s="37">
        <v>1209</v>
      </c>
      <c r="DH38" s="37">
        <v>1225.5</v>
      </c>
      <c r="DI38" s="37">
        <v>1243.5</v>
      </c>
      <c r="DJ38" s="37">
        <v>1250.5</v>
      </c>
      <c r="DK38" s="37">
        <v>1272.2</v>
      </c>
      <c r="DL38" s="37">
        <v>1290.9000000000001</v>
      </c>
      <c r="DM38" s="37">
        <v>1312.2</v>
      </c>
      <c r="DN38" s="37">
        <v>1338.9</v>
      </c>
      <c r="DO38" s="37">
        <v>1357.5</v>
      </c>
      <c r="DP38" s="37">
        <v>1388.2</v>
      </c>
      <c r="DQ38" s="37">
        <v>1417.2</v>
      </c>
      <c r="DR38" s="37">
        <v>1435.6</v>
      </c>
      <c r="DS38" s="37">
        <v>1453</v>
      </c>
      <c r="DT38" s="37">
        <v>1478</v>
      </c>
      <c r="DU38" s="37">
        <v>1507</v>
      </c>
      <c r="DV38" s="37">
        <v>1560.6</v>
      </c>
      <c r="DW38" s="37">
        <v>1617.6</v>
      </c>
      <c r="DX38" s="37">
        <v>1597.3</v>
      </c>
      <c r="DY38" s="37">
        <v>1656.2</v>
      </c>
      <c r="DZ38" s="37">
        <v>1677.3</v>
      </c>
      <c r="EA38" s="37">
        <v>1694.5</v>
      </c>
      <c r="EB38" s="37">
        <v>1724.4</v>
      </c>
      <c r="EC38" s="37">
        <v>1756.3</v>
      </c>
      <c r="ED38" s="37">
        <v>1781.7</v>
      </c>
      <c r="EE38" s="37">
        <v>1783.4</v>
      </c>
      <c r="EF38" s="37">
        <v>1811.7</v>
      </c>
      <c r="EG38" s="37">
        <v>1814.6</v>
      </c>
      <c r="EH38" s="37">
        <v>1843.6</v>
      </c>
      <c r="EI38" s="37">
        <v>1868.2</v>
      </c>
      <c r="EJ38" s="37">
        <v>1895.3</v>
      </c>
      <c r="EK38" s="37">
        <v>1903</v>
      </c>
      <c r="EL38" s="37">
        <v>1925.1</v>
      </c>
      <c r="EM38" s="37">
        <v>1952.9</v>
      </c>
      <c r="EN38" s="37">
        <v>1978</v>
      </c>
      <c r="EO38" s="37">
        <v>2024.5</v>
      </c>
      <c r="EP38" s="37">
        <v>2008</v>
      </c>
      <c r="EQ38" s="37">
        <v>2042.4</v>
      </c>
      <c r="ER38" s="37">
        <v>2078.5</v>
      </c>
      <c r="ES38" s="37">
        <v>2094.1999999999998</v>
      </c>
      <c r="ET38" s="37">
        <v>2165.9</v>
      </c>
      <c r="EU38" s="37">
        <v>2182.4</v>
      </c>
      <c r="EV38" s="37">
        <v>2205.9</v>
      </c>
      <c r="EW38" s="37">
        <v>2242.1</v>
      </c>
      <c r="EX38" s="37">
        <v>2256.4</v>
      </c>
      <c r="EY38" s="37">
        <v>2293.3000000000002</v>
      </c>
      <c r="EZ38" s="37">
        <v>2337.8000000000002</v>
      </c>
      <c r="FA38" s="37">
        <v>2337.1999999999998</v>
      </c>
      <c r="FB38" s="37">
        <v>2371.5</v>
      </c>
      <c r="FC38" s="37">
        <v>2419.8000000000002</v>
      </c>
      <c r="FD38" s="37">
        <v>2446.9</v>
      </c>
      <c r="FE38" s="37">
        <v>2444.5</v>
      </c>
      <c r="FF38" s="37">
        <v>2439.1</v>
      </c>
      <c r="FG38" s="37">
        <v>2443.1</v>
      </c>
      <c r="FH38" s="37">
        <v>2451.4</v>
      </c>
      <c r="FI38" s="37">
        <v>2452.3000000000002</v>
      </c>
      <c r="FJ38" s="37">
        <v>2451.4</v>
      </c>
      <c r="FK38" s="37">
        <v>2445</v>
      </c>
      <c r="FL38" s="37">
        <v>2423.3000000000002</v>
      </c>
      <c r="FM38" s="37">
        <v>2417.9</v>
      </c>
      <c r="FN38" s="37">
        <v>2431.3000000000002</v>
      </c>
      <c r="FO38" s="37">
        <v>2447.1999999999998</v>
      </c>
      <c r="FP38" s="37">
        <v>2448.6</v>
      </c>
      <c r="FQ38" s="37">
        <v>2475.8000000000002</v>
      </c>
      <c r="FR38" s="37">
        <v>2485.5</v>
      </c>
      <c r="FS38" s="37">
        <v>2507.5</v>
      </c>
      <c r="FT38" s="37">
        <v>2527.4</v>
      </c>
      <c r="FU38" s="37">
        <v>2529.9</v>
      </c>
      <c r="FV38" s="37">
        <v>2541.1</v>
      </c>
      <c r="FW38" s="37">
        <v>2578.9</v>
      </c>
      <c r="FX38" s="37">
        <v>2622.2</v>
      </c>
      <c r="FY38" s="37">
        <v>2647.2</v>
      </c>
      <c r="FZ38" s="37">
        <v>2652.9</v>
      </c>
      <c r="GA38" s="37">
        <v>2706.9</v>
      </c>
      <c r="GB38" s="37">
        <v>2729.6</v>
      </c>
      <c r="GC38" s="37">
        <v>2729.9</v>
      </c>
      <c r="GD38" s="37">
        <v>2758.2</v>
      </c>
      <c r="GE38" s="37">
        <v>2788.4</v>
      </c>
      <c r="GF38" s="37">
        <v>2815.9</v>
      </c>
      <c r="GG38" s="37">
        <v>2843.1</v>
      </c>
      <c r="GH38" s="37">
        <v>2857.2</v>
      </c>
      <c r="GI38" s="37">
        <v>2858.9</v>
      </c>
      <c r="GJ38" s="37">
        <v>2896.3</v>
      </c>
      <c r="GK38" s="37">
        <v>2919.8</v>
      </c>
      <c r="GL38" s="37">
        <v>2945</v>
      </c>
      <c r="GM38" s="37">
        <v>2990</v>
      </c>
      <c r="GN38" s="37">
        <v>3021.4</v>
      </c>
      <c r="GO38" s="37">
        <v>3025.9</v>
      </c>
      <c r="GP38" s="37">
        <v>3071.4</v>
      </c>
      <c r="GQ38" s="37">
        <v>3135.2</v>
      </c>
      <c r="GR38" s="37">
        <v>3165.1</v>
      </c>
      <c r="GS38" s="37">
        <v>3186.5</v>
      </c>
      <c r="GT38" s="37">
        <v>3210.4</v>
      </c>
      <c r="GU38" s="37">
        <v>3220.4</v>
      </c>
      <c r="GV38" s="37">
        <v>3257.6</v>
      </c>
      <c r="GW38" s="37">
        <v>3260.7</v>
      </c>
      <c r="GX38" s="37">
        <v>3335.5</v>
      </c>
      <c r="GY38" s="37">
        <v>3421.4</v>
      </c>
      <c r="GZ38" s="37">
        <v>3481.6</v>
      </c>
      <c r="HA38" s="37">
        <v>3510.5</v>
      </c>
      <c r="HB38" s="37">
        <v>3575.3</v>
      </c>
      <c r="HC38">
        <v>3677.7</v>
      </c>
      <c r="HD38">
        <v>3737.6</v>
      </c>
    </row>
    <row r="39" spans="1:212" x14ac:dyDescent="0.3">
      <c r="A39" s="37" t="s">
        <v>1797</v>
      </c>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c r="BZ39" s="37"/>
      <c r="CA39" s="37"/>
      <c r="CB39" s="37"/>
      <c r="CC39" s="37"/>
      <c r="CD39" s="37"/>
      <c r="CE39" s="37"/>
      <c r="CF39" s="37"/>
      <c r="CG39" s="37"/>
      <c r="CH39" s="37"/>
      <c r="CI39" s="37"/>
      <c r="CJ39" s="37"/>
      <c r="CK39" s="37"/>
      <c r="CL39" s="37"/>
      <c r="CM39" s="37"/>
      <c r="CN39" s="37"/>
      <c r="CO39" s="37"/>
      <c r="CP39" s="37">
        <v>78.072000000000003</v>
      </c>
      <c r="CQ39" s="37">
        <v>80.831000000000003</v>
      </c>
      <c r="CR39" s="37">
        <v>85.251000000000005</v>
      </c>
      <c r="CS39" s="37">
        <v>88.177999999999997</v>
      </c>
      <c r="CT39" s="37">
        <v>84.001999999999995</v>
      </c>
      <c r="CU39" s="37">
        <v>86.254999999999995</v>
      </c>
      <c r="CV39" s="37">
        <v>87.977999999999994</v>
      </c>
      <c r="CW39" s="37">
        <v>89.828999999999994</v>
      </c>
      <c r="CX39" s="37">
        <v>95.218000000000004</v>
      </c>
      <c r="CY39" s="37">
        <v>94.483999999999995</v>
      </c>
      <c r="CZ39" s="37">
        <v>93.858000000000004</v>
      </c>
      <c r="DA39" s="37">
        <v>92.180999999999997</v>
      </c>
      <c r="DB39" s="37">
        <v>94.539000000000001</v>
      </c>
      <c r="DC39" s="37">
        <v>102.461</v>
      </c>
      <c r="DD39" s="37">
        <v>99.671999999999997</v>
      </c>
      <c r="DE39" s="37">
        <v>97.608999999999995</v>
      </c>
      <c r="DF39" s="37">
        <v>98.691000000000003</v>
      </c>
      <c r="DG39" s="37">
        <v>98.641999999999996</v>
      </c>
      <c r="DH39" s="37">
        <v>101.001</v>
      </c>
      <c r="DI39" s="37">
        <v>105.738</v>
      </c>
      <c r="DJ39" s="37">
        <v>103.992</v>
      </c>
      <c r="DK39" s="37">
        <v>106.28700000000001</v>
      </c>
      <c r="DL39" s="37">
        <v>106.646</v>
      </c>
      <c r="DM39" s="37">
        <v>110.762</v>
      </c>
      <c r="DN39" s="37">
        <v>114.027</v>
      </c>
      <c r="DO39" s="37">
        <v>113.559</v>
      </c>
      <c r="DP39" s="37">
        <v>120.524</v>
      </c>
      <c r="DQ39" s="37">
        <v>121.904</v>
      </c>
      <c r="DR39" s="37">
        <v>121.898</v>
      </c>
      <c r="DS39" s="37">
        <v>123.319</v>
      </c>
      <c r="DT39" s="37">
        <v>133.626</v>
      </c>
      <c r="DU39" s="37">
        <v>129.62200000000001</v>
      </c>
      <c r="DV39" s="37">
        <v>138.71600000000001</v>
      </c>
      <c r="DW39" s="37">
        <v>145.774</v>
      </c>
      <c r="DX39" s="37">
        <v>143.21899999999999</v>
      </c>
      <c r="DY39" s="37">
        <v>153.809</v>
      </c>
      <c r="DZ39" s="37">
        <v>156.084</v>
      </c>
      <c r="EA39" s="37">
        <v>157.45500000000001</v>
      </c>
      <c r="EB39" s="37">
        <v>164.01</v>
      </c>
      <c r="EC39" s="37">
        <v>166.934</v>
      </c>
      <c r="ED39" s="37">
        <v>165.90600000000001</v>
      </c>
      <c r="EE39" s="37">
        <v>171.10599999999999</v>
      </c>
      <c r="EF39" s="37">
        <v>186.792</v>
      </c>
      <c r="EG39" s="37">
        <v>182.54300000000001</v>
      </c>
      <c r="EH39" s="37">
        <v>190.07</v>
      </c>
      <c r="EI39" s="37">
        <v>194.96299999999999</v>
      </c>
      <c r="EJ39" s="37">
        <v>186.476</v>
      </c>
      <c r="EK39" s="37">
        <v>191.75200000000001</v>
      </c>
      <c r="EL39" s="37">
        <v>199.036</v>
      </c>
      <c r="EM39" s="37">
        <v>200.24600000000001</v>
      </c>
      <c r="EN39" s="37">
        <v>195.23099999999999</v>
      </c>
      <c r="EO39" s="37">
        <v>197.352</v>
      </c>
      <c r="EP39" s="37">
        <v>191.74700000000001</v>
      </c>
      <c r="EQ39" s="37">
        <v>189.018</v>
      </c>
      <c r="ER39" s="37">
        <v>197.488</v>
      </c>
      <c r="ES39" s="37">
        <v>189.083</v>
      </c>
      <c r="ET39" s="37">
        <v>209.34700000000001</v>
      </c>
      <c r="EU39" s="37">
        <v>201.38300000000001</v>
      </c>
      <c r="EV39" s="37">
        <v>204.31800000000001</v>
      </c>
      <c r="EW39" s="37">
        <v>206.11</v>
      </c>
      <c r="EX39" s="37">
        <v>209.60300000000001</v>
      </c>
      <c r="EY39" s="37">
        <v>216.57</v>
      </c>
      <c r="EZ39" s="37">
        <v>213.01599999999999</v>
      </c>
      <c r="FA39" s="37">
        <v>217.49100000000001</v>
      </c>
      <c r="FB39" s="37">
        <v>266.40699999999998</v>
      </c>
      <c r="FC39" s="37">
        <v>284.52600000000001</v>
      </c>
      <c r="FD39" s="37">
        <v>273.90300000000002</v>
      </c>
      <c r="FE39" s="37">
        <v>272.34500000000003</v>
      </c>
      <c r="FF39" s="37">
        <v>283.26799999999997</v>
      </c>
      <c r="FG39" s="37">
        <v>290.80799999999999</v>
      </c>
      <c r="FH39" s="37">
        <v>297.13</v>
      </c>
      <c r="FI39" s="37">
        <v>309.66800000000001</v>
      </c>
      <c r="FJ39" s="37">
        <v>293.83999999999997</v>
      </c>
      <c r="FK39" s="37">
        <v>288.89999999999998</v>
      </c>
      <c r="FL39" s="37">
        <v>248.81299999999999</v>
      </c>
      <c r="FM39" s="37">
        <v>249.625</v>
      </c>
      <c r="FN39" s="37">
        <v>258.161</v>
      </c>
      <c r="FO39" s="37">
        <v>273.39</v>
      </c>
      <c r="FP39" s="37">
        <v>263.07900000000001</v>
      </c>
      <c r="FQ39" s="37">
        <v>269.70999999999998</v>
      </c>
      <c r="FR39" s="37">
        <v>272.06299999999999</v>
      </c>
      <c r="FS39" s="37">
        <v>283.40800000000002</v>
      </c>
      <c r="FT39" s="37">
        <v>281.45499999999998</v>
      </c>
      <c r="FU39" s="37">
        <v>282.10700000000003</v>
      </c>
      <c r="FV39" s="37">
        <v>303.39</v>
      </c>
      <c r="FW39" s="37">
        <v>320.01499999999999</v>
      </c>
      <c r="FX39" s="37">
        <v>343.69200000000001</v>
      </c>
      <c r="FY39" s="37">
        <v>345.71199999999999</v>
      </c>
      <c r="FZ39" s="37">
        <v>362.79199999999997</v>
      </c>
      <c r="GA39" s="37">
        <v>363.41</v>
      </c>
      <c r="GB39" s="37">
        <v>365.38400000000001</v>
      </c>
      <c r="GC39" s="37">
        <v>384.03199999999998</v>
      </c>
      <c r="GD39" s="37">
        <v>378.24599999999998</v>
      </c>
      <c r="GE39" s="37">
        <v>382.36700000000002</v>
      </c>
      <c r="GF39" s="37">
        <v>396.21600000000001</v>
      </c>
      <c r="GG39" s="37">
        <v>408.32299999999998</v>
      </c>
      <c r="GH39" s="37">
        <v>396.16199999999998</v>
      </c>
      <c r="GI39" s="37">
        <v>373.916</v>
      </c>
      <c r="GJ39" s="37">
        <v>396.06599999999997</v>
      </c>
      <c r="GK39" s="37">
        <v>401.38499999999999</v>
      </c>
      <c r="GL39" s="37">
        <v>411.51900000000001</v>
      </c>
      <c r="GM39" s="37">
        <v>406.423</v>
      </c>
      <c r="GN39" s="37">
        <v>411.28800000000001</v>
      </c>
      <c r="GO39" s="37">
        <v>411.25099999999998</v>
      </c>
      <c r="GP39" s="37">
        <v>429.279</v>
      </c>
      <c r="GQ39" s="37">
        <v>439.28199999999998</v>
      </c>
      <c r="GR39" s="37">
        <v>437.56599999999997</v>
      </c>
      <c r="GS39" s="37">
        <v>434.72500000000002</v>
      </c>
      <c r="GT39" s="37">
        <v>451.57299999999998</v>
      </c>
      <c r="GU39" s="37">
        <v>584.35400000000004</v>
      </c>
      <c r="GV39" s="37">
        <v>533.04399999999998</v>
      </c>
      <c r="GW39" s="37">
        <v>537.83799999999997</v>
      </c>
      <c r="GX39" s="37">
        <v>548.28599999999994</v>
      </c>
      <c r="GY39" s="37">
        <v>559.476</v>
      </c>
      <c r="GZ39" s="37">
        <v>580.827</v>
      </c>
      <c r="HA39" s="37">
        <v>599.62099999999998</v>
      </c>
      <c r="HB39" s="37">
        <v>634.75099999999998</v>
      </c>
      <c r="HC39">
        <v>630.83399999999995</v>
      </c>
      <c r="HD39">
        <v>638.77099999999996</v>
      </c>
    </row>
    <row r="40" spans="1:212" x14ac:dyDescent="0.3">
      <c r="A40" s="37" t="s">
        <v>1798</v>
      </c>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c r="CN40" s="37"/>
      <c r="CO40" s="37"/>
      <c r="CP40" s="37">
        <v>73.888000000000005</v>
      </c>
      <c r="CQ40" s="37">
        <v>76.036000000000001</v>
      </c>
      <c r="CR40" s="37">
        <v>80.603999999999999</v>
      </c>
      <c r="CS40" s="37">
        <v>84.1</v>
      </c>
      <c r="CT40" s="37">
        <v>78.947999999999993</v>
      </c>
      <c r="CU40" s="37">
        <v>81.772000000000006</v>
      </c>
      <c r="CV40" s="37">
        <v>82.891999999999996</v>
      </c>
      <c r="CW40" s="37">
        <v>85.54</v>
      </c>
      <c r="CX40" s="37">
        <v>90.524000000000001</v>
      </c>
      <c r="CY40" s="37">
        <v>90.54</v>
      </c>
      <c r="CZ40" s="37">
        <v>89.28</v>
      </c>
      <c r="DA40" s="37">
        <v>87.567999999999998</v>
      </c>
      <c r="DB40" s="37">
        <v>88.772000000000006</v>
      </c>
      <c r="DC40" s="37">
        <v>96.376000000000005</v>
      </c>
      <c r="DD40" s="37">
        <v>94.872</v>
      </c>
      <c r="DE40" s="37">
        <v>93.891999999999996</v>
      </c>
      <c r="DF40" s="37">
        <v>95.98</v>
      </c>
      <c r="DG40" s="37">
        <v>94.924000000000007</v>
      </c>
      <c r="DH40" s="37">
        <v>97.108000000000004</v>
      </c>
      <c r="DI40" s="37">
        <v>101.384</v>
      </c>
      <c r="DJ40" s="37">
        <v>99.444000000000003</v>
      </c>
      <c r="DK40" s="37">
        <v>101.608</v>
      </c>
      <c r="DL40" s="37">
        <v>102.26</v>
      </c>
      <c r="DM40" s="37">
        <v>103.952</v>
      </c>
      <c r="DN40" s="37">
        <v>107.1</v>
      </c>
      <c r="DO40" s="37">
        <v>107.208</v>
      </c>
      <c r="DP40" s="37">
        <v>113.428</v>
      </c>
      <c r="DQ40" s="37">
        <v>114.62</v>
      </c>
      <c r="DR40" s="37">
        <v>114.852</v>
      </c>
      <c r="DS40" s="37">
        <v>116.16800000000001</v>
      </c>
      <c r="DT40" s="37">
        <v>125.392</v>
      </c>
      <c r="DU40" s="37">
        <v>121.748</v>
      </c>
      <c r="DV40" s="37">
        <v>129.38800000000001</v>
      </c>
      <c r="DW40" s="37">
        <v>132.12799999999999</v>
      </c>
      <c r="DX40" s="37">
        <v>133.364</v>
      </c>
      <c r="DY40" s="37">
        <v>143.65199999999999</v>
      </c>
      <c r="DZ40" s="37">
        <v>145.547</v>
      </c>
      <c r="EA40" s="37">
        <v>146.352</v>
      </c>
      <c r="EB40" s="37">
        <v>152.89599999999999</v>
      </c>
      <c r="EC40" s="37">
        <v>155.30699999999999</v>
      </c>
      <c r="ED40" s="37">
        <v>154.37799999999999</v>
      </c>
      <c r="EE40" s="37">
        <v>158.02000000000001</v>
      </c>
      <c r="EF40" s="37">
        <v>174.22900000000001</v>
      </c>
      <c r="EG40" s="37">
        <v>170.506</v>
      </c>
      <c r="EH40" s="37">
        <v>177.77199999999999</v>
      </c>
      <c r="EI40" s="37">
        <v>182.69200000000001</v>
      </c>
      <c r="EJ40" s="37">
        <v>173.33</v>
      </c>
      <c r="EK40" s="37">
        <v>177.28200000000001</v>
      </c>
      <c r="EL40" s="37">
        <v>183.90799999999999</v>
      </c>
      <c r="EM40" s="37">
        <v>185.81800000000001</v>
      </c>
      <c r="EN40" s="37">
        <v>179.68299999999999</v>
      </c>
      <c r="EO40" s="37">
        <v>182.94399999999999</v>
      </c>
      <c r="EP40" s="37">
        <v>175.95599999999999</v>
      </c>
      <c r="EQ40" s="37">
        <v>176.53</v>
      </c>
      <c r="ER40" s="37">
        <v>186.733</v>
      </c>
      <c r="ES40" s="37">
        <v>177.65899999999999</v>
      </c>
      <c r="ET40" s="37">
        <v>200.21799999999999</v>
      </c>
      <c r="EU40" s="37">
        <v>190.602</v>
      </c>
      <c r="EV40" s="37">
        <v>194.11099999999999</v>
      </c>
      <c r="EW40" s="37">
        <v>196.02799999999999</v>
      </c>
      <c r="EX40" s="37">
        <v>200.29400000000001</v>
      </c>
      <c r="EY40" s="37">
        <v>203.79400000000001</v>
      </c>
      <c r="EZ40" s="37">
        <v>205.059</v>
      </c>
      <c r="FA40" s="37">
        <v>208.505</v>
      </c>
      <c r="FB40" s="37">
        <v>256.94400000000002</v>
      </c>
      <c r="FC40" s="37">
        <v>274.66399999999999</v>
      </c>
      <c r="FD40" s="37">
        <v>263.92399999999998</v>
      </c>
      <c r="FE40" s="37">
        <v>261.94400000000002</v>
      </c>
      <c r="FF40" s="37">
        <v>271.84399999999999</v>
      </c>
      <c r="FG40" s="37">
        <v>272.45600000000002</v>
      </c>
      <c r="FH40" s="37">
        <v>283.69099999999997</v>
      </c>
      <c r="FI40" s="37">
        <v>297.60899999999998</v>
      </c>
      <c r="FJ40" s="37">
        <v>282.44499999999999</v>
      </c>
      <c r="FK40" s="37">
        <v>277.19600000000003</v>
      </c>
      <c r="FL40" s="37">
        <v>237.739</v>
      </c>
      <c r="FM40" s="37">
        <v>239.291</v>
      </c>
      <c r="FN40" s="37">
        <v>246.24799999999999</v>
      </c>
      <c r="FO40" s="37">
        <v>262.32400000000001</v>
      </c>
      <c r="FP40" s="37">
        <v>250.54</v>
      </c>
      <c r="FQ40" s="37">
        <v>259.56200000000001</v>
      </c>
      <c r="FR40" s="37">
        <v>258.45</v>
      </c>
      <c r="FS40" s="37">
        <v>270.887</v>
      </c>
      <c r="FT40" s="37">
        <v>269.279</v>
      </c>
      <c r="FU40" s="37">
        <v>269.98200000000003</v>
      </c>
      <c r="FV40" s="37">
        <v>291.58999999999997</v>
      </c>
      <c r="FW40" s="37">
        <v>307.77499999999998</v>
      </c>
      <c r="FX40" s="37">
        <v>332.4</v>
      </c>
      <c r="FY40" s="37">
        <v>335.61099999999999</v>
      </c>
      <c r="FZ40" s="37">
        <v>352.18799999999999</v>
      </c>
      <c r="GA40" s="37">
        <v>353.44200000000001</v>
      </c>
      <c r="GB40" s="37">
        <v>352.90899999999999</v>
      </c>
      <c r="GC40" s="37">
        <v>366.274</v>
      </c>
      <c r="GD40" s="37">
        <v>360.221</v>
      </c>
      <c r="GE40" s="37">
        <v>363.84399999999999</v>
      </c>
      <c r="GF40" s="37">
        <v>377.96699999999998</v>
      </c>
      <c r="GG40" s="37">
        <v>388.17599999999999</v>
      </c>
      <c r="GH40" s="37">
        <v>376.56400000000002</v>
      </c>
      <c r="GI40" s="37">
        <v>354.404</v>
      </c>
      <c r="GJ40" s="37">
        <v>375.43799999999999</v>
      </c>
      <c r="GK40" s="37">
        <v>382.68</v>
      </c>
      <c r="GL40" s="37">
        <v>390.32400000000001</v>
      </c>
      <c r="GM40" s="37">
        <v>386.39299999999997</v>
      </c>
      <c r="GN40" s="37">
        <v>390.94</v>
      </c>
      <c r="GO40" s="37">
        <v>390.53500000000003</v>
      </c>
      <c r="GP40" s="37">
        <v>407.62099999999998</v>
      </c>
      <c r="GQ40" s="37">
        <v>416.459</v>
      </c>
      <c r="GR40" s="37">
        <v>418.661</v>
      </c>
      <c r="GS40" s="37">
        <v>411.69499999999999</v>
      </c>
      <c r="GT40" s="37">
        <v>428.30799999999999</v>
      </c>
      <c r="GU40" s="37">
        <v>506.81599999999997</v>
      </c>
      <c r="GV40" s="37">
        <v>484.78</v>
      </c>
      <c r="GW40" s="37">
        <v>500.25799999999998</v>
      </c>
      <c r="GX40" s="37">
        <v>509.42099999999999</v>
      </c>
      <c r="GY40" s="37">
        <v>527.01700000000005</v>
      </c>
      <c r="GZ40" s="37">
        <v>542.85299999999995</v>
      </c>
      <c r="HA40" s="37">
        <v>553.86500000000001</v>
      </c>
      <c r="HB40" s="37">
        <v>592.26700000000005</v>
      </c>
      <c r="HC40">
        <v>590.13</v>
      </c>
      <c r="HD40">
        <v>605.63699999999994</v>
      </c>
    </row>
    <row r="41" spans="1:212" x14ac:dyDescent="0.3">
      <c r="A41" s="37" t="s">
        <v>1799</v>
      </c>
      <c r="B41" s="37">
        <v>5.5759999999999996</v>
      </c>
      <c r="C41" s="37">
        <v>5.2279999999999998</v>
      </c>
      <c r="D41" s="37">
        <v>4.8159999999999998</v>
      </c>
      <c r="E41" s="37">
        <v>4.9000000000000004</v>
      </c>
      <c r="F41" s="37">
        <v>5.4640000000000004</v>
      </c>
      <c r="G41" s="37">
        <v>6.3120000000000003</v>
      </c>
      <c r="H41" s="37">
        <v>5.7560000000000002</v>
      </c>
      <c r="I41" s="37">
        <v>5.6440000000000001</v>
      </c>
      <c r="J41" s="37">
        <v>5.6680000000000001</v>
      </c>
      <c r="K41" s="37">
        <v>5.2160000000000002</v>
      </c>
      <c r="L41" s="37">
        <v>6.7240000000000002</v>
      </c>
      <c r="M41" s="37">
        <v>5.7</v>
      </c>
      <c r="N41" s="37">
        <v>5.74</v>
      </c>
      <c r="O41" s="37">
        <v>6.2080000000000002</v>
      </c>
      <c r="P41" s="37">
        <v>5.3440000000000003</v>
      </c>
      <c r="Q41" s="37">
        <v>5.92</v>
      </c>
      <c r="R41" s="37">
        <v>7.76</v>
      </c>
      <c r="S41" s="37">
        <v>8.5719999999999992</v>
      </c>
      <c r="T41" s="37">
        <v>6.4960000000000004</v>
      </c>
      <c r="U41" s="37">
        <v>7.84</v>
      </c>
      <c r="V41" s="37">
        <v>8.6519999999999992</v>
      </c>
      <c r="W41" s="37">
        <v>7.8040000000000003</v>
      </c>
      <c r="X41" s="37">
        <v>10.772</v>
      </c>
      <c r="Y41" s="37">
        <v>10.423999999999999</v>
      </c>
      <c r="Z41" s="37">
        <v>10.012</v>
      </c>
      <c r="AA41" s="37">
        <v>9.76</v>
      </c>
      <c r="AB41" s="37">
        <v>10.592000000000001</v>
      </c>
      <c r="AC41" s="37">
        <v>11.108000000000001</v>
      </c>
      <c r="AD41" s="37">
        <v>10.715999999999999</v>
      </c>
      <c r="AE41" s="37">
        <v>10.651999999999999</v>
      </c>
      <c r="AF41" s="37">
        <v>11.804</v>
      </c>
      <c r="AG41" s="37">
        <v>10.7</v>
      </c>
      <c r="AH41" s="37">
        <v>10.968</v>
      </c>
      <c r="AI41" s="37">
        <v>11.528</v>
      </c>
      <c r="AJ41" s="37">
        <v>11.907999999999999</v>
      </c>
      <c r="AK41" s="37">
        <v>12.528</v>
      </c>
      <c r="AL41" s="37">
        <v>13.592000000000001</v>
      </c>
      <c r="AM41" s="37">
        <v>13.048</v>
      </c>
      <c r="AN41" s="37">
        <v>14.292</v>
      </c>
      <c r="AO41" s="37">
        <v>15.752000000000001</v>
      </c>
      <c r="AP41" s="37">
        <v>16.260000000000002</v>
      </c>
      <c r="AQ41" s="37">
        <v>16.536000000000001</v>
      </c>
      <c r="AR41" s="37">
        <v>15.916</v>
      </c>
      <c r="AS41" s="37">
        <v>16.628</v>
      </c>
      <c r="AT41" s="37">
        <v>16.091999999999999</v>
      </c>
      <c r="AU41" s="37">
        <v>15.715999999999999</v>
      </c>
      <c r="AV41" s="37">
        <v>14.827999999999999</v>
      </c>
      <c r="AW41" s="37">
        <v>15.012</v>
      </c>
      <c r="AX41" s="37">
        <v>13.852</v>
      </c>
      <c r="AY41" s="37">
        <v>14.552</v>
      </c>
      <c r="AZ41" s="37">
        <v>14.544</v>
      </c>
      <c r="BA41" s="37">
        <v>14.484</v>
      </c>
      <c r="BB41" s="37">
        <v>15.9</v>
      </c>
      <c r="BC41" s="37">
        <v>14.2</v>
      </c>
      <c r="BD41" s="37">
        <v>15.904</v>
      </c>
      <c r="BE41" s="37">
        <v>15.768000000000001</v>
      </c>
      <c r="BF41" s="37">
        <v>16.556000000000001</v>
      </c>
      <c r="BG41" s="37">
        <v>17.236000000000001</v>
      </c>
      <c r="BH41" s="37">
        <v>18.091999999999999</v>
      </c>
      <c r="BI41" s="37">
        <v>18.824000000000002</v>
      </c>
      <c r="BJ41" s="37">
        <v>17.044</v>
      </c>
      <c r="BK41" s="37">
        <v>19.408000000000001</v>
      </c>
      <c r="BL41" s="37">
        <v>20.036000000000001</v>
      </c>
      <c r="BM41" s="37">
        <v>21.184000000000001</v>
      </c>
      <c r="BN41" s="37">
        <v>19.72</v>
      </c>
      <c r="BO41" s="37">
        <v>20.556000000000001</v>
      </c>
      <c r="BP41" s="37">
        <v>21.283999999999999</v>
      </c>
      <c r="BQ41" s="37">
        <v>18.32</v>
      </c>
      <c r="BR41" s="37">
        <v>18.760000000000002</v>
      </c>
      <c r="BS41" s="37">
        <v>19.559999999999999</v>
      </c>
      <c r="BT41" s="37">
        <v>18.827999999999999</v>
      </c>
      <c r="BU41" s="37">
        <v>18.696000000000002</v>
      </c>
      <c r="BV41" s="37">
        <v>18.972000000000001</v>
      </c>
      <c r="BW41" s="37">
        <v>19.835999999999999</v>
      </c>
      <c r="BX41" s="37">
        <v>20.388000000000002</v>
      </c>
      <c r="BY41" s="37">
        <v>19.283999999999999</v>
      </c>
      <c r="BZ41" s="37">
        <v>20.192</v>
      </c>
      <c r="CA41" s="37">
        <v>19.936</v>
      </c>
      <c r="CB41" s="37">
        <v>18.832000000000001</v>
      </c>
      <c r="CC41" s="37">
        <v>20.492000000000001</v>
      </c>
      <c r="CD41" s="37">
        <v>21.448</v>
      </c>
      <c r="CE41" s="37">
        <v>20.184000000000001</v>
      </c>
      <c r="CF41" s="37">
        <v>20.507999999999999</v>
      </c>
      <c r="CG41" s="37">
        <v>21.187999999999999</v>
      </c>
      <c r="CH41" s="37">
        <v>21.552</v>
      </c>
      <c r="CI41" s="37">
        <v>21.611999999999998</v>
      </c>
      <c r="CJ41" s="37">
        <v>21.056000000000001</v>
      </c>
      <c r="CK41" s="37">
        <v>20.611999999999998</v>
      </c>
      <c r="CL41" s="37">
        <v>21.388000000000002</v>
      </c>
      <c r="CM41" s="37">
        <v>22.8</v>
      </c>
      <c r="CN41" s="37">
        <v>22.288</v>
      </c>
      <c r="CO41" s="37">
        <v>23.064</v>
      </c>
      <c r="CP41" s="37">
        <v>21.783999999999999</v>
      </c>
      <c r="CQ41" s="37">
        <v>22.472000000000001</v>
      </c>
      <c r="CR41" s="37">
        <v>24.884</v>
      </c>
      <c r="CS41" s="37">
        <v>24.763999999999999</v>
      </c>
      <c r="CT41" s="37">
        <v>23.632000000000001</v>
      </c>
      <c r="CU41" s="37">
        <v>23.952000000000002</v>
      </c>
      <c r="CV41" s="37">
        <v>25.152000000000001</v>
      </c>
      <c r="CW41" s="37">
        <v>26.475999999999999</v>
      </c>
      <c r="CX41" s="37">
        <v>27.744</v>
      </c>
      <c r="CY41" s="37">
        <v>28.027999999999999</v>
      </c>
      <c r="CZ41" s="37">
        <v>26.448</v>
      </c>
      <c r="DA41" s="37">
        <v>26.815999999999999</v>
      </c>
      <c r="DB41" s="37">
        <v>29.135999999999999</v>
      </c>
      <c r="DC41" s="37">
        <v>27.904</v>
      </c>
      <c r="DD41" s="37">
        <v>27.116</v>
      </c>
      <c r="DE41" s="37">
        <v>28.72</v>
      </c>
      <c r="DF41" s="37">
        <v>28.4</v>
      </c>
      <c r="DG41" s="37">
        <v>29.015999999999998</v>
      </c>
      <c r="DH41" s="37">
        <v>29.084</v>
      </c>
      <c r="DI41" s="37">
        <v>28.744</v>
      </c>
      <c r="DJ41" s="37">
        <v>27.052</v>
      </c>
      <c r="DK41" s="37">
        <v>27.335999999999999</v>
      </c>
      <c r="DL41" s="37">
        <v>29.103999999999999</v>
      </c>
      <c r="DM41" s="37">
        <v>31.231999999999999</v>
      </c>
      <c r="DN41" s="37">
        <v>27.78</v>
      </c>
      <c r="DO41" s="37">
        <v>32.192</v>
      </c>
      <c r="DP41" s="37">
        <v>34.264000000000003</v>
      </c>
      <c r="DQ41" s="37">
        <v>34.124000000000002</v>
      </c>
      <c r="DR41" s="37">
        <v>35.572000000000003</v>
      </c>
      <c r="DS41" s="37">
        <v>36.04</v>
      </c>
      <c r="DT41" s="37">
        <v>35.728000000000002</v>
      </c>
      <c r="DU41" s="37">
        <v>39.26</v>
      </c>
      <c r="DV41" s="37">
        <v>40.316000000000003</v>
      </c>
      <c r="DW41" s="37">
        <v>43.008000000000003</v>
      </c>
      <c r="DX41" s="37">
        <v>42.667999999999999</v>
      </c>
      <c r="DY41" s="37">
        <v>43.008000000000003</v>
      </c>
      <c r="DZ41" s="37">
        <v>50.609000000000002</v>
      </c>
      <c r="EA41" s="37">
        <v>45.405000000000001</v>
      </c>
      <c r="EB41" s="37">
        <v>41.341999999999999</v>
      </c>
      <c r="EC41" s="37">
        <v>44.814</v>
      </c>
      <c r="ED41" s="37">
        <v>43.170999999999999</v>
      </c>
      <c r="EE41" s="37">
        <v>48.719000000000001</v>
      </c>
      <c r="EF41" s="37">
        <v>46.442999999999998</v>
      </c>
      <c r="EG41" s="37">
        <v>45.506999999999998</v>
      </c>
      <c r="EH41" s="37">
        <v>47.600999999999999</v>
      </c>
      <c r="EI41" s="37">
        <v>44.213000000000001</v>
      </c>
      <c r="EJ41" s="37">
        <v>50.412999999999997</v>
      </c>
      <c r="EK41" s="37">
        <v>44.947000000000003</v>
      </c>
      <c r="EL41" s="37">
        <v>49.942999999999998</v>
      </c>
      <c r="EM41" s="37">
        <v>51.171999999999997</v>
      </c>
      <c r="EN41" s="37">
        <v>47.383000000000003</v>
      </c>
      <c r="EO41" s="37">
        <v>49.225000000000001</v>
      </c>
      <c r="EP41" s="37">
        <v>53.557000000000002</v>
      </c>
      <c r="EQ41" s="37">
        <v>53.237000000000002</v>
      </c>
      <c r="ER41" s="37">
        <v>52.164999999999999</v>
      </c>
      <c r="ES41" s="37">
        <v>51.704000000000001</v>
      </c>
      <c r="ET41" s="37">
        <v>50.936999999999998</v>
      </c>
      <c r="EU41" s="37">
        <v>56.121000000000002</v>
      </c>
      <c r="EV41" s="37">
        <v>55.527999999999999</v>
      </c>
      <c r="EW41" s="37">
        <v>54.619</v>
      </c>
      <c r="EX41" s="37">
        <v>56.613</v>
      </c>
      <c r="EY41" s="37">
        <v>58.841999999999999</v>
      </c>
      <c r="EZ41" s="37">
        <v>56.868000000000002</v>
      </c>
      <c r="FA41" s="37">
        <v>58.177</v>
      </c>
      <c r="FB41" s="37">
        <v>58.334000000000003</v>
      </c>
      <c r="FC41" s="37">
        <v>59.643000000000001</v>
      </c>
      <c r="FD41" s="37">
        <v>67.126000000000005</v>
      </c>
      <c r="FE41" s="37">
        <v>68.543000000000006</v>
      </c>
      <c r="FF41" s="37">
        <v>64.721000000000004</v>
      </c>
      <c r="FG41" s="37">
        <v>73.736999999999995</v>
      </c>
      <c r="FH41" s="37">
        <v>74.820999999999998</v>
      </c>
      <c r="FI41" s="37">
        <v>75.022000000000006</v>
      </c>
      <c r="FJ41" s="37">
        <v>70.503</v>
      </c>
      <c r="FK41" s="37">
        <v>69.144999999999996</v>
      </c>
      <c r="FL41" s="37">
        <v>65.915999999999997</v>
      </c>
      <c r="FM41" s="37">
        <v>70.531000000000006</v>
      </c>
      <c r="FN41" s="37">
        <v>67.106999999999999</v>
      </c>
      <c r="FO41" s="37">
        <v>67.67</v>
      </c>
      <c r="FP41" s="37">
        <v>65.88</v>
      </c>
      <c r="FQ41" s="37">
        <v>65.507000000000005</v>
      </c>
      <c r="FR41" s="37">
        <v>67.563999999999993</v>
      </c>
      <c r="FS41" s="37">
        <v>63.978999999999999</v>
      </c>
      <c r="FT41" s="37">
        <v>68.013999999999996</v>
      </c>
      <c r="FU41" s="37">
        <v>65.742000000000004</v>
      </c>
      <c r="FV41" s="37">
        <v>65.275999999999996</v>
      </c>
      <c r="FW41" s="37">
        <v>67.164000000000001</v>
      </c>
      <c r="FX41" s="37">
        <v>68.84</v>
      </c>
      <c r="FY41" s="37">
        <v>61.402999999999999</v>
      </c>
      <c r="FZ41" s="37">
        <v>63.533999999999999</v>
      </c>
      <c r="GA41" s="37">
        <v>62.906999999999996</v>
      </c>
      <c r="GB41" s="37">
        <v>66.760000000000005</v>
      </c>
      <c r="GC41" s="37">
        <v>64.462000000000003</v>
      </c>
      <c r="GD41" s="37">
        <v>66.301000000000002</v>
      </c>
      <c r="GE41" s="37">
        <v>67.191000000000003</v>
      </c>
      <c r="GF41" s="37">
        <v>68.578000000000003</v>
      </c>
      <c r="GG41" s="37">
        <v>66.980999999999995</v>
      </c>
      <c r="GH41" s="37">
        <v>67.222999999999999</v>
      </c>
      <c r="GI41" s="37">
        <v>69.478999999999999</v>
      </c>
      <c r="GJ41" s="37">
        <v>64.623999999999995</v>
      </c>
      <c r="GK41" s="37">
        <v>65.736999999999995</v>
      </c>
      <c r="GL41" s="37">
        <v>65.108999999999995</v>
      </c>
      <c r="GM41" s="37">
        <v>65.992999999999995</v>
      </c>
      <c r="GN41" s="37">
        <v>70.102999999999994</v>
      </c>
      <c r="GO41" s="37">
        <v>66.3</v>
      </c>
      <c r="GP41" s="37">
        <v>67.444999999999993</v>
      </c>
      <c r="GQ41" s="37">
        <v>67.728999999999999</v>
      </c>
      <c r="GR41" s="37">
        <v>70.805999999999997</v>
      </c>
      <c r="GS41" s="37">
        <v>72.367000000000004</v>
      </c>
      <c r="GT41" s="37">
        <v>75.578999999999994</v>
      </c>
      <c r="GU41" s="37">
        <v>76.015000000000001</v>
      </c>
      <c r="GV41" s="37">
        <v>78.872</v>
      </c>
      <c r="GW41" s="37">
        <v>75.819000000000003</v>
      </c>
      <c r="GX41" s="37">
        <v>73.662000000000006</v>
      </c>
      <c r="GY41" s="37">
        <v>75.066000000000003</v>
      </c>
      <c r="GZ41" s="37">
        <v>69.344999999999999</v>
      </c>
      <c r="HA41" s="37">
        <v>72.477000000000004</v>
      </c>
      <c r="HB41" s="37">
        <v>72.528999999999996</v>
      </c>
      <c r="HC41">
        <v>436.40499999999997</v>
      </c>
      <c r="HD41">
        <v>140.262</v>
      </c>
    </row>
    <row r="42" spans="1:212" x14ac:dyDescent="0.3">
      <c r="A42" s="37" t="s">
        <v>1800</v>
      </c>
      <c r="B42" s="37">
        <v>4.7</v>
      </c>
      <c r="C42" s="37">
        <v>4.8</v>
      </c>
      <c r="D42" s="37">
        <v>4.7</v>
      </c>
      <c r="E42" s="37">
        <v>4.8</v>
      </c>
      <c r="F42" s="37">
        <v>4.7</v>
      </c>
      <c r="G42" s="37">
        <v>4.8</v>
      </c>
      <c r="H42" s="37">
        <v>4.5</v>
      </c>
      <c r="I42" s="37">
        <v>4.5999999999999996</v>
      </c>
      <c r="J42" s="37">
        <v>6.1</v>
      </c>
      <c r="K42" s="37">
        <v>6.2</v>
      </c>
      <c r="L42" s="37">
        <v>7.1</v>
      </c>
      <c r="M42" s="37">
        <v>7</v>
      </c>
      <c r="N42" s="37">
        <v>5.9</v>
      </c>
      <c r="O42" s="37">
        <v>5.6</v>
      </c>
      <c r="P42" s="37">
        <v>4.5999999999999996</v>
      </c>
      <c r="Q42" s="37">
        <v>4.5</v>
      </c>
      <c r="R42" s="37">
        <v>3.5</v>
      </c>
      <c r="S42" s="37">
        <v>2.8</v>
      </c>
      <c r="T42" s="37">
        <v>3.1</v>
      </c>
      <c r="U42" s="37">
        <v>3.5</v>
      </c>
      <c r="V42" s="37">
        <v>4.0999999999999996</v>
      </c>
      <c r="W42" s="37">
        <v>4.0999999999999996</v>
      </c>
      <c r="X42" s="37">
        <v>4.4000000000000004</v>
      </c>
      <c r="Y42" s="37">
        <v>4.8</v>
      </c>
      <c r="Z42" s="37">
        <v>5</v>
      </c>
      <c r="AA42" s="37">
        <v>4.7</v>
      </c>
      <c r="AB42" s="37">
        <v>4.9000000000000004</v>
      </c>
      <c r="AC42" s="37">
        <v>5.3</v>
      </c>
      <c r="AD42" s="37">
        <v>5.6</v>
      </c>
      <c r="AE42" s="37">
        <v>5.7</v>
      </c>
      <c r="AF42" s="37">
        <v>6.2</v>
      </c>
      <c r="AG42" s="37">
        <v>10.1</v>
      </c>
      <c r="AH42" s="37">
        <v>8.5</v>
      </c>
      <c r="AI42" s="37">
        <v>8.1</v>
      </c>
      <c r="AJ42" s="37">
        <v>8</v>
      </c>
      <c r="AK42" s="37">
        <v>10.1</v>
      </c>
      <c r="AL42" s="37">
        <v>8.1</v>
      </c>
      <c r="AM42" s="37">
        <v>8.5</v>
      </c>
      <c r="AN42" s="37">
        <v>7.8</v>
      </c>
      <c r="AO42" s="37">
        <v>8.5</v>
      </c>
      <c r="AP42" s="37">
        <v>8.9</v>
      </c>
      <c r="AQ42" s="37">
        <v>9.3000000000000007</v>
      </c>
      <c r="AR42" s="37">
        <v>9.6999999999999993</v>
      </c>
      <c r="AS42" s="37">
        <v>9.9</v>
      </c>
      <c r="AT42" s="37">
        <v>10.199999999999999</v>
      </c>
      <c r="AU42" s="37">
        <v>10.3</v>
      </c>
      <c r="AV42" s="37">
        <v>10.7</v>
      </c>
      <c r="AW42" s="37">
        <v>13.1</v>
      </c>
      <c r="AX42" s="37">
        <v>13.6</v>
      </c>
      <c r="AY42" s="37">
        <v>13.2</v>
      </c>
      <c r="AZ42" s="37">
        <v>12.6</v>
      </c>
      <c r="BA42" s="37">
        <v>19</v>
      </c>
      <c r="BB42" s="37">
        <v>19.399999999999999</v>
      </c>
      <c r="BC42" s="37">
        <v>21.1</v>
      </c>
      <c r="BD42" s="37">
        <v>21.8</v>
      </c>
      <c r="BE42" s="37">
        <v>21.1</v>
      </c>
      <c r="BF42" s="37">
        <v>20.8</v>
      </c>
      <c r="BG42" s="37">
        <v>20.6</v>
      </c>
      <c r="BH42" s="37">
        <v>20.5</v>
      </c>
      <c r="BI42" s="37">
        <v>20.8</v>
      </c>
      <c r="BJ42" s="37">
        <v>20.8</v>
      </c>
      <c r="BK42" s="37">
        <v>20.7</v>
      </c>
      <c r="BL42" s="37">
        <v>21</v>
      </c>
      <c r="BM42" s="37">
        <v>21.7</v>
      </c>
      <c r="BN42" s="37">
        <v>22.8</v>
      </c>
      <c r="BO42" s="37">
        <v>23.9</v>
      </c>
      <c r="BP42" s="37">
        <v>25.1</v>
      </c>
      <c r="BQ42" s="37">
        <v>26.5</v>
      </c>
      <c r="BR42" s="37">
        <v>28</v>
      </c>
      <c r="BS42" s="37">
        <v>30.2</v>
      </c>
      <c r="BT42" s="37">
        <v>31</v>
      </c>
      <c r="BU42" s="37">
        <v>30.8</v>
      </c>
      <c r="BV42" s="37">
        <v>30</v>
      </c>
      <c r="BW42" s="37">
        <v>29.5</v>
      </c>
      <c r="BX42" s="37">
        <v>28.9</v>
      </c>
      <c r="BY42" s="37">
        <v>28.2</v>
      </c>
      <c r="BZ42" s="37">
        <v>27.6</v>
      </c>
      <c r="CA42" s="37">
        <v>27</v>
      </c>
      <c r="CB42" s="37">
        <v>26.7</v>
      </c>
      <c r="CC42" s="37">
        <v>26.9</v>
      </c>
      <c r="CD42" s="37">
        <v>26.8</v>
      </c>
      <c r="CE42" s="37">
        <v>26.6</v>
      </c>
      <c r="CF42" s="37">
        <v>26.6</v>
      </c>
      <c r="CG42" s="37">
        <v>26.6</v>
      </c>
      <c r="CH42" s="37">
        <v>26.7</v>
      </c>
      <c r="CI42" s="37">
        <v>26.8</v>
      </c>
      <c r="CJ42" s="37">
        <v>27.1</v>
      </c>
      <c r="CK42" s="37">
        <v>27.7</v>
      </c>
      <c r="CL42" s="37">
        <v>28.2</v>
      </c>
      <c r="CM42" s="37">
        <v>28.8</v>
      </c>
      <c r="CN42" s="37">
        <v>30</v>
      </c>
      <c r="CO42" s="37">
        <v>31.8</v>
      </c>
      <c r="CP42" s="37">
        <v>35.1</v>
      </c>
      <c r="CQ42" s="37">
        <v>37.200000000000003</v>
      </c>
      <c r="CR42" s="37">
        <v>37.299999999999997</v>
      </c>
      <c r="CS42" s="37">
        <v>35.700000000000003</v>
      </c>
      <c r="CT42" s="37">
        <v>33.200000000000003</v>
      </c>
      <c r="CU42" s="37">
        <v>32</v>
      </c>
      <c r="CV42" s="37">
        <v>31.6</v>
      </c>
      <c r="CW42" s="37">
        <v>31.9</v>
      </c>
      <c r="CX42" s="37">
        <v>33.6</v>
      </c>
      <c r="CY42" s="37">
        <v>34.299999999999997</v>
      </c>
      <c r="CZ42" s="37">
        <v>34.799999999999997</v>
      </c>
      <c r="DA42" s="37">
        <v>35.200000000000003</v>
      </c>
      <c r="DB42" s="37">
        <v>35.200000000000003</v>
      </c>
      <c r="DC42" s="37">
        <v>35.1</v>
      </c>
      <c r="DD42" s="37">
        <v>34.9</v>
      </c>
      <c r="DE42" s="37">
        <v>34.4</v>
      </c>
      <c r="DF42" s="37">
        <v>34</v>
      </c>
      <c r="DG42" s="37">
        <v>33.200000000000003</v>
      </c>
      <c r="DH42" s="37">
        <v>33</v>
      </c>
      <c r="DI42" s="37">
        <v>33.299999999999997</v>
      </c>
      <c r="DJ42" s="37">
        <v>33.4</v>
      </c>
      <c r="DK42" s="37">
        <v>34.6</v>
      </c>
      <c r="DL42" s="37">
        <v>36.299999999999997</v>
      </c>
      <c r="DM42" s="37">
        <v>39.4</v>
      </c>
      <c r="DN42" s="37">
        <v>42</v>
      </c>
      <c r="DO42" s="37">
        <v>44.6</v>
      </c>
      <c r="DP42" s="37">
        <v>46</v>
      </c>
      <c r="DQ42" s="37">
        <v>46.5</v>
      </c>
      <c r="DR42" s="37">
        <v>44.6</v>
      </c>
      <c r="DS42" s="37">
        <v>45</v>
      </c>
      <c r="DT42" s="37">
        <v>45.3</v>
      </c>
      <c r="DU42" s="37">
        <v>46.4</v>
      </c>
      <c r="DV42" s="37">
        <v>47.2</v>
      </c>
      <c r="DW42" s="37">
        <v>47.6</v>
      </c>
      <c r="DX42" s="37">
        <v>66.3</v>
      </c>
      <c r="DY42" s="37">
        <v>43.1</v>
      </c>
      <c r="DZ42" s="37">
        <v>40.700000000000003</v>
      </c>
      <c r="EA42" s="37">
        <v>39.200000000000003</v>
      </c>
      <c r="EB42" s="37">
        <v>39.700000000000003</v>
      </c>
      <c r="EC42" s="37">
        <v>42.3</v>
      </c>
      <c r="ED42" s="37">
        <v>47</v>
      </c>
      <c r="EE42" s="37">
        <v>56.8</v>
      </c>
      <c r="EF42" s="37">
        <v>46.9</v>
      </c>
      <c r="EG42" s="37">
        <v>45.1</v>
      </c>
      <c r="EH42" s="37">
        <v>43.9</v>
      </c>
      <c r="EI42" s="37">
        <v>43.3</v>
      </c>
      <c r="EJ42" s="37">
        <v>45</v>
      </c>
      <c r="EK42" s="37">
        <v>51.9</v>
      </c>
      <c r="EL42" s="37">
        <v>56.4</v>
      </c>
      <c r="EM42" s="37">
        <v>60.3</v>
      </c>
      <c r="EN42" s="37">
        <v>61.6</v>
      </c>
      <c r="EO42" s="37">
        <v>63.9</v>
      </c>
      <c r="EP42" s="37">
        <v>55.4</v>
      </c>
      <c r="EQ42" s="37">
        <v>51.2</v>
      </c>
      <c r="ER42" s="37">
        <v>49.5</v>
      </c>
      <c r="ES42" s="37">
        <v>48.3</v>
      </c>
      <c r="ET42" s="37">
        <v>47.6</v>
      </c>
      <c r="EU42" s="37">
        <v>47.5</v>
      </c>
      <c r="EV42" s="37">
        <v>47.2</v>
      </c>
      <c r="EW42" s="37">
        <v>47.5</v>
      </c>
      <c r="EX42" s="37">
        <v>48</v>
      </c>
      <c r="EY42" s="37">
        <v>48.7</v>
      </c>
      <c r="EZ42" s="37">
        <v>49.8</v>
      </c>
      <c r="FA42" s="37">
        <v>51.8</v>
      </c>
      <c r="FB42" s="37">
        <v>53.4</v>
      </c>
      <c r="FC42" s="37">
        <v>54.3</v>
      </c>
      <c r="FD42" s="37">
        <v>65.900000000000006</v>
      </c>
      <c r="FE42" s="37">
        <v>54.3</v>
      </c>
      <c r="FF42" s="37">
        <v>53.2</v>
      </c>
      <c r="FG42" s="37">
        <v>53.4</v>
      </c>
      <c r="FH42" s="37">
        <v>54.4</v>
      </c>
      <c r="FI42" s="37">
        <v>56</v>
      </c>
      <c r="FJ42" s="37">
        <v>58</v>
      </c>
      <c r="FK42" s="37">
        <v>59.5</v>
      </c>
      <c r="FL42" s="37">
        <v>59.7</v>
      </c>
      <c r="FM42" s="37">
        <v>60.6</v>
      </c>
      <c r="FN42" s="37">
        <v>57.9</v>
      </c>
      <c r="FO42" s="37">
        <v>57.6</v>
      </c>
      <c r="FP42" s="37">
        <v>55.8</v>
      </c>
      <c r="FQ42" s="37">
        <v>58.9</v>
      </c>
      <c r="FR42" s="37">
        <v>58.9</v>
      </c>
      <c r="FS42" s="37">
        <v>59.6</v>
      </c>
      <c r="FT42" s="37">
        <v>59.5</v>
      </c>
      <c r="FU42" s="37">
        <v>58.9</v>
      </c>
      <c r="FV42" s="37">
        <v>58.2</v>
      </c>
      <c r="FW42" s="37">
        <v>58</v>
      </c>
      <c r="FX42" s="37">
        <v>57.7</v>
      </c>
      <c r="FY42" s="37">
        <v>56.5</v>
      </c>
      <c r="FZ42" s="37">
        <v>55.5</v>
      </c>
      <c r="GA42" s="37">
        <v>55.9</v>
      </c>
      <c r="GB42" s="37">
        <v>57.2</v>
      </c>
      <c r="GC42" s="37">
        <v>58.1</v>
      </c>
      <c r="GD42" s="37">
        <v>60.2</v>
      </c>
      <c r="GE42" s="37">
        <v>61.8</v>
      </c>
      <c r="GF42" s="37">
        <v>62.5</v>
      </c>
      <c r="GG42" s="37">
        <v>60.4</v>
      </c>
      <c r="GH42" s="37">
        <v>58.8</v>
      </c>
      <c r="GI42" s="37">
        <v>57.5</v>
      </c>
      <c r="GJ42" s="37">
        <v>61.4</v>
      </c>
      <c r="GK42" s="37">
        <v>59.6</v>
      </c>
      <c r="GL42" s="37">
        <v>58.1</v>
      </c>
      <c r="GM42" s="37">
        <v>57.7</v>
      </c>
      <c r="GN42" s="37">
        <v>57.3</v>
      </c>
      <c r="GO42" s="37">
        <v>77.900000000000006</v>
      </c>
      <c r="GP42" s="37">
        <v>68.5</v>
      </c>
      <c r="GQ42" s="37">
        <v>58.3</v>
      </c>
      <c r="GR42" s="37">
        <v>80.599999999999994</v>
      </c>
      <c r="GS42" s="37">
        <v>82.1</v>
      </c>
      <c r="GT42" s="37">
        <v>80</v>
      </c>
      <c r="GU42" s="37">
        <v>975.7</v>
      </c>
      <c r="GV42" s="37">
        <v>1108.8</v>
      </c>
      <c r="GW42" s="37">
        <v>462.2</v>
      </c>
      <c r="GX42" s="37">
        <v>387.4</v>
      </c>
      <c r="GY42" s="37">
        <v>693.9</v>
      </c>
      <c r="GZ42" s="37">
        <v>545.6</v>
      </c>
      <c r="HA42" s="37">
        <v>288.3</v>
      </c>
      <c r="HB42" s="37">
        <v>144.5</v>
      </c>
      <c r="HC42">
        <v>122.9</v>
      </c>
      <c r="HD42">
        <v>113.4</v>
      </c>
    </row>
    <row r="43" spans="1:212" x14ac:dyDescent="0.3">
      <c r="A43" s="37" t="s">
        <v>1801</v>
      </c>
      <c r="B43" s="37">
        <v>0</v>
      </c>
      <c r="C43" s="37">
        <v>0</v>
      </c>
      <c r="D43" s="37">
        <v>0</v>
      </c>
      <c r="E43" s="37">
        <v>0</v>
      </c>
      <c r="F43" s="37">
        <v>0</v>
      </c>
      <c r="G43" s="37">
        <v>0</v>
      </c>
      <c r="H43" s="37">
        <v>0</v>
      </c>
      <c r="I43" s="37">
        <v>0</v>
      </c>
      <c r="J43" s="37">
        <v>0</v>
      </c>
      <c r="K43" s="37">
        <v>0.1</v>
      </c>
      <c r="L43" s="37">
        <v>0.1</v>
      </c>
      <c r="M43" s="37">
        <v>0.1</v>
      </c>
      <c r="N43" s="37">
        <v>0.1</v>
      </c>
      <c r="O43" s="37">
        <v>0.1</v>
      </c>
      <c r="P43" s="37">
        <v>0.1</v>
      </c>
      <c r="Q43" s="37">
        <v>0.1</v>
      </c>
      <c r="R43" s="37">
        <v>0.1</v>
      </c>
      <c r="S43" s="37">
        <v>0.1</v>
      </c>
      <c r="T43" s="37">
        <v>0.1</v>
      </c>
      <c r="U43" s="37">
        <v>0.1</v>
      </c>
      <c r="V43" s="37">
        <v>0.1</v>
      </c>
      <c r="W43" s="37">
        <v>0.2</v>
      </c>
      <c r="X43" s="37">
        <v>0.2</v>
      </c>
      <c r="Y43" s="37">
        <v>0.2</v>
      </c>
      <c r="Z43" s="37">
        <v>0.2</v>
      </c>
      <c r="AA43" s="37">
        <v>0.2</v>
      </c>
      <c r="AB43" s="37">
        <v>0.2</v>
      </c>
      <c r="AC43" s="37">
        <v>0.2</v>
      </c>
      <c r="AD43" s="37">
        <v>0.2</v>
      </c>
      <c r="AE43" s="37">
        <v>0.2</v>
      </c>
      <c r="AF43" s="37">
        <v>0.2</v>
      </c>
      <c r="AG43" s="37">
        <v>0.2</v>
      </c>
      <c r="AH43" s="37">
        <v>0.2</v>
      </c>
      <c r="AI43" s="37">
        <v>0.2</v>
      </c>
      <c r="AJ43" s="37">
        <v>0.2</v>
      </c>
      <c r="AK43" s="37">
        <v>0.3</v>
      </c>
      <c r="AL43" s="37">
        <v>0.3</v>
      </c>
      <c r="AM43" s="37">
        <v>0.3</v>
      </c>
      <c r="AN43" s="37">
        <v>0.3</v>
      </c>
      <c r="AO43" s="37">
        <v>0.3</v>
      </c>
      <c r="AP43" s="37">
        <v>0.3</v>
      </c>
      <c r="AQ43" s="37">
        <v>0.3</v>
      </c>
      <c r="AR43" s="37">
        <v>0.4</v>
      </c>
      <c r="AS43" s="37">
        <v>0.4</v>
      </c>
      <c r="AT43" s="37">
        <v>0.4</v>
      </c>
      <c r="AU43" s="37">
        <v>0.4</v>
      </c>
      <c r="AV43" s="37">
        <v>0.4</v>
      </c>
      <c r="AW43" s="37">
        <v>0.4</v>
      </c>
      <c r="AX43" s="37">
        <v>0.4</v>
      </c>
      <c r="AY43" s="37">
        <v>0.5</v>
      </c>
      <c r="AZ43" s="37">
        <v>0.5</v>
      </c>
      <c r="BA43" s="37">
        <v>0.5</v>
      </c>
      <c r="BB43" s="37">
        <v>0.5</v>
      </c>
      <c r="BC43" s="37">
        <v>0.4</v>
      </c>
      <c r="BD43" s="37">
        <v>0.4</v>
      </c>
      <c r="BE43" s="37">
        <v>0.4</v>
      </c>
      <c r="BF43" s="37">
        <v>0.4</v>
      </c>
      <c r="BG43" s="37">
        <v>0.4</v>
      </c>
      <c r="BH43" s="37">
        <v>0.4</v>
      </c>
      <c r="BI43" s="37">
        <v>0.4</v>
      </c>
      <c r="BJ43" s="37">
        <v>0.3</v>
      </c>
      <c r="BK43" s="37">
        <v>0.3</v>
      </c>
      <c r="BL43" s="37">
        <v>0.3</v>
      </c>
      <c r="BM43" s="37">
        <v>0.3</v>
      </c>
      <c r="BN43" s="37">
        <v>0.3</v>
      </c>
      <c r="BO43" s="37">
        <v>0.3</v>
      </c>
      <c r="BP43" s="37">
        <v>0.3</v>
      </c>
      <c r="BQ43" s="37">
        <v>0.3</v>
      </c>
      <c r="BR43" s="37">
        <v>0.3</v>
      </c>
      <c r="BS43" s="37">
        <v>0.3</v>
      </c>
      <c r="BT43" s="37">
        <v>0.3</v>
      </c>
      <c r="BU43" s="37">
        <v>0.3</v>
      </c>
      <c r="BV43" s="37">
        <v>0.3</v>
      </c>
      <c r="BW43" s="37">
        <v>0.3</v>
      </c>
      <c r="BX43" s="37">
        <v>0.4</v>
      </c>
      <c r="BY43" s="37">
        <v>0.4</v>
      </c>
      <c r="BZ43" s="37">
        <v>0.4</v>
      </c>
      <c r="CA43" s="37">
        <v>0.4</v>
      </c>
      <c r="CB43" s="37">
        <v>0.4</v>
      </c>
      <c r="CC43" s="37">
        <v>0.4</v>
      </c>
      <c r="CD43" s="37">
        <v>0.4</v>
      </c>
      <c r="CE43" s="37">
        <v>0.4</v>
      </c>
      <c r="CF43" s="37">
        <v>0.4</v>
      </c>
      <c r="CG43" s="37">
        <v>0.4</v>
      </c>
      <c r="CH43" s="37">
        <v>0.4</v>
      </c>
      <c r="CI43" s="37">
        <v>0.4</v>
      </c>
      <c r="CJ43" s="37">
        <v>0.4</v>
      </c>
      <c r="CK43" s="37">
        <v>0.4</v>
      </c>
      <c r="CL43" s="37">
        <v>0.4</v>
      </c>
      <c r="CM43" s="37">
        <v>0.4</v>
      </c>
      <c r="CN43" s="37">
        <v>0.4</v>
      </c>
      <c r="CO43" s="37">
        <v>0.4</v>
      </c>
      <c r="CP43" s="37">
        <v>0.4</v>
      </c>
      <c r="CQ43" s="37">
        <v>0.4</v>
      </c>
      <c r="CR43" s="37">
        <v>0.4</v>
      </c>
      <c r="CS43" s="37">
        <v>0.4</v>
      </c>
      <c r="CT43" s="37">
        <v>0.4</v>
      </c>
      <c r="CU43" s="37">
        <v>0.3</v>
      </c>
      <c r="CV43" s="37">
        <v>0.3</v>
      </c>
      <c r="CW43" s="37">
        <v>0.3</v>
      </c>
      <c r="CX43" s="37">
        <v>0.3</v>
      </c>
      <c r="CY43" s="37">
        <v>0.3</v>
      </c>
      <c r="CZ43" s="37">
        <v>0.3</v>
      </c>
      <c r="DA43" s="37">
        <v>0.3</v>
      </c>
      <c r="DB43" s="37">
        <v>0.3</v>
      </c>
      <c r="DC43" s="37">
        <v>0.3</v>
      </c>
      <c r="DD43" s="37">
        <v>0.3</v>
      </c>
      <c r="DE43" s="37">
        <v>0.4</v>
      </c>
      <c r="DF43" s="37">
        <v>0.4</v>
      </c>
      <c r="DG43" s="37">
        <v>0.4</v>
      </c>
      <c r="DH43" s="37">
        <v>0.4</v>
      </c>
      <c r="DI43" s="37">
        <v>0.5</v>
      </c>
      <c r="DJ43" s="37">
        <v>0.5</v>
      </c>
      <c r="DK43" s="37">
        <v>0.5</v>
      </c>
      <c r="DL43" s="37">
        <v>0.4</v>
      </c>
      <c r="DM43" s="37">
        <v>0.4</v>
      </c>
      <c r="DN43" s="37">
        <v>0.4</v>
      </c>
      <c r="DO43" s="37">
        <v>0.4</v>
      </c>
      <c r="DP43" s="37">
        <v>0.4</v>
      </c>
      <c r="DQ43" s="37">
        <v>0.4</v>
      </c>
      <c r="DR43" s="37">
        <v>0.5</v>
      </c>
      <c r="DS43" s="37">
        <v>0.5</v>
      </c>
      <c r="DT43" s="37">
        <v>0.6</v>
      </c>
      <c r="DU43" s="37">
        <v>0.6</v>
      </c>
      <c r="DV43" s="37">
        <v>8</v>
      </c>
      <c r="DW43" s="37">
        <v>14.4</v>
      </c>
      <c r="DX43" s="37">
        <v>4.8</v>
      </c>
      <c r="DY43" s="37">
        <v>3.4</v>
      </c>
      <c r="DZ43" s="37">
        <v>1.8</v>
      </c>
      <c r="EA43" s="37">
        <v>0.6</v>
      </c>
      <c r="EB43" s="37">
        <v>1.7</v>
      </c>
      <c r="EC43" s="37">
        <v>-0.4</v>
      </c>
      <c r="ED43" s="37">
        <v>0.1</v>
      </c>
      <c r="EE43" s="37">
        <v>0.3</v>
      </c>
      <c r="EF43" s="37">
        <v>-1</v>
      </c>
      <c r="EG43" s="37">
        <v>0.9</v>
      </c>
      <c r="EH43" s="37">
        <v>0.4</v>
      </c>
      <c r="EI43" s="37">
        <v>0.4</v>
      </c>
      <c r="EJ43" s="37">
        <v>0.4</v>
      </c>
      <c r="EK43" s="37">
        <v>0.4</v>
      </c>
      <c r="EL43" s="37">
        <v>0.4</v>
      </c>
      <c r="EM43" s="37">
        <v>0.4</v>
      </c>
      <c r="EN43" s="37">
        <v>0.4</v>
      </c>
      <c r="EO43" s="37">
        <v>0.4</v>
      </c>
      <c r="EP43" s="37">
        <v>0.4</v>
      </c>
      <c r="EQ43" s="37">
        <v>0.4</v>
      </c>
      <c r="ER43" s="37">
        <v>0.4</v>
      </c>
      <c r="ES43" s="37">
        <v>0.4</v>
      </c>
      <c r="ET43" s="37">
        <v>1.9</v>
      </c>
      <c r="EU43" s="37">
        <v>10.7</v>
      </c>
      <c r="EV43" s="37">
        <v>8.8000000000000007</v>
      </c>
      <c r="EW43" s="37">
        <v>7.2</v>
      </c>
      <c r="EX43" s="37">
        <v>4</v>
      </c>
      <c r="EY43" s="37">
        <v>2.9</v>
      </c>
      <c r="EZ43" s="37">
        <v>2.2000000000000002</v>
      </c>
      <c r="FA43" s="37">
        <v>2.8</v>
      </c>
      <c r="FB43" s="37">
        <v>2</v>
      </c>
      <c r="FC43" s="37">
        <v>1.2</v>
      </c>
      <c r="FD43" s="37">
        <v>1.2</v>
      </c>
      <c r="FE43" s="37">
        <v>1.2</v>
      </c>
      <c r="FF43" s="37">
        <v>1.6</v>
      </c>
      <c r="FG43" s="37">
        <v>2.1</v>
      </c>
      <c r="FH43" s="37">
        <v>1.6</v>
      </c>
      <c r="FI43" s="37">
        <v>1</v>
      </c>
      <c r="FJ43" s="37">
        <v>0.9</v>
      </c>
      <c r="FK43" s="37">
        <v>0.4</v>
      </c>
      <c r="FL43" s="37">
        <v>0.4</v>
      </c>
      <c r="FM43" s="37">
        <v>0.4</v>
      </c>
      <c r="FN43" s="37">
        <v>0.5</v>
      </c>
      <c r="FO43" s="37">
        <v>0.5</v>
      </c>
      <c r="FP43" s="37">
        <v>0.5</v>
      </c>
      <c r="FQ43" s="37">
        <v>0.5</v>
      </c>
      <c r="FR43" s="37">
        <v>0.5</v>
      </c>
      <c r="FS43" s="37">
        <v>0.5</v>
      </c>
      <c r="FT43" s="37">
        <v>0.5</v>
      </c>
      <c r="FU43" s="37">
        <v>0.5</v>
      </c>
      <c r="FV43" s="37">
        <v>0.5</v>
      </c>
      <c r="FW43" s="37">
        <v>0.5</v>
      </c>
      <c r="FX43" s="37">
        <v>0.5</v>
      </c>
      <c r="FY43" s="37">
        <v>0.5</v>
      </c>
      <c r="FZ43" s="37">
        <v>0.5</v>
      </c>
      <c r="GA43" s="37">
        <v>0.5</v>
      </c>
      <c r="GB43" s="37">
        <v>0.5</v>
      </c>
      <c r="GC43" s="37">
        <v>0.5</v>
      </c>
      <c r="GD43" s="37">
        <v>0.5</v>
      </c>
      <c r="GE43" s="37">
        <v>0.5</v>
      </c>
      <c r="GF43" s="37">
        <v>0.5</v>
      </c>
      <c r="GG43" s="37">
        <v>0.5</v>
      </c>
      <c r="GH43" s="37">
        <v>0.5</v>
      </c>
      <c r="GI43" s="37">
        <v>0.6</v>
      </c>
      <c r="GJ43" s="37">
        <v>0.6</v>
      </c>
      <c r="GK43" s="37">
        <v>0.6</v>
      </c>
      <c r="GL43" s="37">
        <v>0.6</v>
      </c>
      <c r="GM43" s="37">
        <v>0.6</v>
      </c>
      <c r="GN43" s="37">
        <v>0.6</v>
      </c>
      <c r="GO43" s="37">
        <v>0.6</v>
      </c>
      <c r="GP43" s="37">
        <v>0.6</v>
      </c>
      <c r="GQ43" s="37">
        <v>0.6</v>
      </c>
      <c r="GR43" s="37">
        <v>0.6</v>
      </c>
      <c r="GS43" s="37">
        <v>0.6</v>
      </c>
      <c r="GT43" s="37">
        <v>0.6</v>
      </c>
      <c r="GU43" s="37">
        <v>0.6</v>
      </c>
      <c r="GV43" s="37">
        <v>0.6</v>
      </c>
      <c r="GW43" s="37">
        <v>0.6</v>
      </c>
      <c r="GX43" s="37">
        <v>2.5</v>
      </c>
      <c r="GY43" s="37">
        <v>8.6</v>
      </c>
      <c r="GZ43" s="37">
        <v>0.7</v>
      </c>
      <c r="HA43" s="37">
        <v>0.7</v>
      </c>
      <c r="HB43" s="37">
        <v>0.7</v>
      </c>
      <c r="HC43">
        <v>0.7</v>
      </c>
      <c r="HD43">
        <v>0.7</v>
      </c>
    </row>
    <row r="44" spans="1:212" x14ac:dyDescent="0.3">
      <c r="A44" s="37" t="s">
        <v>1802</v>
      </c>
      <c r="B44" s="37">
        <v>4.7</v>
      </c>
      <c r="C44" s="37">
        <v>4.8</v>
      </c>
      <c r="D44" s="37">
        <v>4.7</v>
      </c>
      <c r="E44" s="37">
        <v>4.8</v>
      </c>
      <c r="F44" s="37">
        <v>4.8</v>
      </c>
      <c r="G44" s="37">
        <v>4.8</v>
      </c>
      <c r="H44" s="37">
        <v>4.5</v>
      </c>
      <c r="I44" s="37">
        <v>4.5999999999999996</v>
      </c>
      <c r="J44" s="37">
        <v>6.1</v>
      </c>
      <c r="K44" s="37">
        <v>6.2</v>
      </c>
      <c r="L44" s="37">
        <v>7.2</v>
      </c>
      <c r="M44" s="37">
        <v>7.1</v>
      </c>
      <c r="N44" s="37">
        <v>5.9</v>
      </c>
      <c r="O44" s="37">
        <v>5.7</v>
      </c>
      <c r="P44" s="37">
        <v>4.7</v>
      </c>
      <c r="Q44" s="37">
        <v>4.5999999999999996</v>
      </c>
      <c r="R44" s="37">
        <v>3.6</v>
      </c>
      <c r="S44" s="37">
        <v>2.9</v>
      </c>
      <c r="T44" s="37">
        <v>3.2</v>
      </c>
      <c r="U44" s="37">
        <v>3.6</v>
      </c>
      <c r="V44" s="37">
        <v>4.2</v>
      </c>
      <c r="W44" s="37">
        <v>4.3</v>
      </c>
      <c r="X44" s="37">
        <v>4.5999999999999996</v>
      </c>
      <c r="Y44" s="37">
        <v>4.9000000000000004</v>
      </c>
      <c r="Z44" s="37">
        <v>5.0999999999999996</v>
      </c>
      <c r="AA44" s="37">
        <v>4.8</v>
      </c>
      <c r="AB44" s="37">
        <v>5.0999999999999996</v>
      </c>
      <c r="AC44" s="37">
        <v>5.5</v>
      </c>
      <c r="AD44" s="37">
        <v>5.8</v>
      </c>
      <c r="AE44" s="37">
        <v>5.9</v>
      </c>
      <c r="AF44" s="37">
        <v>6.4</v>
      </c>
      <c r="AG44" s="37">
        <v>10.3</v>
      </c>
      <c r="AH44" s="37">
        <v>8.6999999999999993</v>
      </c>
      <c r="AI44" s="37">
        <v>8.4</v>
      </c>
      <c r="AJ44" s="37">
        <v>8.3000000000000007</v>
      </c>
      <c r="AK44" s="37">
        <v>10.4</v>
      </c>
      <c r="AL44" s="37">
        <v>8.4</v>
      </c>
      <c r="AM44" s="37">
        <v>8.8000000000000007</v>
      </c>
      <c r="AN44" s="37">
        <v>8.1</v>
      </c>
      <c r="AO44" s="37">
        <v>8.9</v>
      </c>
      <c r="AP44" s="37">
        <v>9.1999999999999993</v>
      </c>
      <c r="AQ44" s="37">
        <v>9.6</v>
      </c>
      <c r="AR44" s="37">
        <v>10.1</v>
      </c>
      <c r="AS44" s="37">
        <v>10.3</v>
      </c>
      <c r="AT44" s="37">
        <v>10.6</v>
      </c>
      <c r="AU44" s="37">
        <v>10.7</v>
      </c>
      <c r="AV44" s="37">
        <v>11.1</v>
      </c>
      <c r="AW44" s="37">
        <v>13.5</v>
      </c>
      <c r="AX44" s="37">
        <v>14</v>
      </c>
      <c r="AY44" s="37">
        <v>13.6</v>
      </c>
      <c r="AZ44" s="37">
        <v>13</v>
      </c>
      <c r="BA44" s="37">
        <v>19.399999999999999</v>
      </c>
      <c r="BB44" s="37">
        <v>19.899999999999999</v>
      </c>
      <c r="BC44" s="37">
        <v>21.6</v>
      </c>
      <c r="BD44" s="37">
        <v>22.2</v>
      </c>
      <c r="BE44" s="37">
        <v>21.5</v>
      </c>
      <c r="BF44" s="37">
        <v>21.2</v>
      </c>
      <c r="BG44" s="37">
        <v>21</v>
      </c>
      <c r="BH44" s="37">
        <v>20.9</v>
      </c>
      <c r="BI44" s="37">
        <v>21.2</v>
      </c>
      <c r="BJ44" s="37">
        <v>21.1</v>
      </c>
      <c r="BK44" s="37">
        <v>21</v>
      </c>
      <c r="BL44" s="37">
        <v>21.3</v>
      </c>
      <c r="BM44" s="37">
        <v>22</v>
      </c>
      <c r="BN44" s="37">
        <v>23.1</v>
      </c>
      <c r="BO44" s="37">
        <v>24.2</v>
      </c>
      <c r="BP44" s="37">
        <v>25.5</v>
      </c>
      <c r="BQ44" s="37">
        <v>26.8</v>
      </c>
      <c r="BR44" s="37">
        <v>28.3</v>
      </c>
      <c r="BS44" s="37">
        <v>30.4</v>
      </c>
      <c r="BT44" s="37">
        <v>31.3</v>
      </c>
      <c r="BU44" s="37">
        <v>31.1</v>
      </c>
      <c r="BV44" s="37">
        <v>30.4</v>
      </c>
      <c r="BW44" s="37">
        <v>29.8</v>
      </c>
      <c r="BX44" s="37">
        <v>29.2</v>
      </c>
      <c r="BY44" s="37">
        <v>28.6</v>
      </c>
      <c r="BZ44" s="37">
        <v>28</v>
      </c>
      <c r="CA44" s="37">
        <v>27.4</v>
      </c>
      <c r="CB44" s="37">
        <v>27.1</v>
      </c>
      <c r="CC44" s="37">
        <v>27.3</v>
      </c>
      <c r="CD44" s="37">
        <v>27.1</v>
      </c>
      <c r="CE44" s="37">
        <v>27</v>
      </c>
      <c r="CF44" s="37">
        <v>26.9</v>
      </c>
      <c r="CG44" s="37">
        <v>27</v>
      </c>
      <c r="CH44" s="37">
        <v>27.1</v>
      </c>
      <c r="CI44" s="37">
        <v>27.2</v>
      </c>
      <c r="CJ44" s="37">
        <v>27.5</v>
      </c>
      <c r="CK44" s="37">
        <v>28.1</v>
      </c>
      <c r="CL44" s="37">
        <v>28.6</v>
      </c>
      <c r="CM44" s="37">
        <v>29.2</v>
      </c>
      <c r="CN44" s="37">
        <v>30.4</v>
      </c>
      <c r="CO44" s="37">
        <v>32.200000000000003</v>
      </c>
      <c r="CP44" s="37">
        <v>35.5</v>
      </c>
      <c r="CQ44" s="37">
        <v>37.6</v>
      </c>
      <c r="CR44" s="37">
        <v>37.700000000000003</v>
      </c>
      <c r="CS44" s="37">
        <v>36</v>
      </c>
      <c r="CT44" s="37">
        <v>33.6</v>
      </c>
      <c r="CU44" s="37">
        <v>32.4</v>
      </c>
      <c r="CV44" s="37">
        <v>31.9</v>
      </c>
      <c r="CW44" s="37">
        <v>32.200000000000003</v>
      </c>
      <c r="CX44" s="37">
        <v>34</v>
      </c>
      <c r="CY44" s="37">
        <v>34.6</v>
      </c>
      <c r="CZ44" s="37">
        <v>35.1</v>
      </c>
      <c r="DA44" s="37">
        <v>35.5</v>
      </c>
      <c r="DB44" s="37">
        <v>35.5</v>
      </c>
      <c r="DC44" s="37">
        <v>35.4</v>
      </c>
      <c r="DD44" s="37">
        <v>35.200000000000003</v>
      </c>
      <c r="DE44" s="37">
        <v>34.799999999999997</v>
      </c>
      <c r="DF44" s="37">
        <v>34.4</v>
      </c>
      <c r="DG44" s="37">
        <v>33.6</v>
      </c>
      <c r="DH44" s="37">
        <v>33.4</v>
      </c>
      <c r="DI44" s="37">
        <v>33.799999999999997</v>
      </c>
      <c r="DJ44" s="37">
        <v>33.799999999999997</v>
      </c>
      <c r="DK44" s="37">
        <v>35</v>
      </c>
      <c r="DL44" s="37">
        <v>36.799999999999997</v>
      </c>
      <c r="DM44" s="37">
        <v>39.9</v>
      </c>
      <c r="DN44" s="37">
        <v>42.4</v>
      </c>
      <c r="DO44" s="37">
        <v>45</v>
      </c>
      <c r="DP44" s="37">
        <v>46.4</v>
      </c>
      <c r="DQ44" s="37">
        <v>46.9</v>
      </c>
      <c r="DR44" s="37">
        <v>45.1</v>
      </c>
      <c r="DS44" s="37">
        <v>45.5</v>
      </c>
      <c r="DT44" s="37">
        <v>45.8</v>
      </c>
      <c r="DU44" s="37">
        <v>47</v>
      </c>
      <c r="DV44" s="37">
        <v>55.2</v>
      </c>
      <c r="DW44" s="37">
        <v>62</v>
      </c>
      <c r="DX44" s="37">
        <v>71.2</v>
      </c>
      <c r="DY44" s="37">
        <v>46.4</v>
      </c>
      <c r="DZ44" s="37">
        <v>42.6</v>
      </c>
      <c r="EA44" s="37">
        <v>39.799999999999997</v>
      </c>
      <c r="EB44" s="37">
        <v>41.3</v>
      </c>
      <c r="EC44" s="37">
        <v>41.9</v>
      </c>
      <c r="ED44" s="37">
        <v>47.1</v>
      </c>
      <c r="EE44" s="37">
        <v>57.1</v>
      </c>
      <c r="EF44" s="37">
        <v>45.9</v>
      </c>
      <c r="EG44" s="37">
        <v>46</v>
      </c>
      <c r="EH44" s="37">
        <v>44.2</v>
      </c>
      <c r="EI44" s="37">
        <v>43.7</v>
      </c>
      <c r="EJ44" s="37">
        <v>45.4</v>
      </c>
      <c r="EK44" s="37">
        <v>52.3</v>
      </c>
      <c r="EL44" s="37">
        <v>56.7</v>
      </c>
      <c r="EM44" s="37">
        <v>60.7</v>
      </c>
      <c r="EN44" s="37">
        <v>62</v>
      </c>
      <c r="EO44" s="37">
        <v>64.2</v>
      </c>
      <c r="EP44" s="37">
        <v>55.7</v>
      </c>
      <c r="EQ44" s="37">
        <v>51.5</v>
      </c>
      <c r="ER44" s="37">
        <v>49.9</v>
      </c>
      <c r="ES44" s="37">
        <v>48.7</v>
      </c>
      <c r="ET44" s="37">
        <v>49.5</v>
      </c>
      <c r="EU44" s="37">
        <v>58.2</v>
      </c>
      <c r="EV44" s="37">
        <v>55.9</v>
      </c>
      <c r="EW44" s="37">
        <v>54.7</v>
      </c>
      <c r="EX44" s="37">
        <v>51.9</v>
      </c>
      <c r="EY44" s="37">
        <v>51.7</v>
      </c>
      <c r="EZ44" s="37">
        <v>52</v>
      </c>
      <c r="FA44" s="37">
        <v>54.6</v>
      </c>
      <c r="FB44" s="37">
        <v>55.4</v>
      </c>
      <c r="FC44" s="37">
        <v>55.5</v>
      </c>
      <c r="FD44" s="37">
        <v>67.099999999999994</v>
      </c>
      <c r="FE44" s="37">
        <v>55.5</v>
      </c>
      <c r="FF44" s="37">
        <v>54.8</v>
      </c>
      <c r="FG44" s="37">
        <v>55.5</v>
      </c>
      <c r="FH44" s="37">
        <v>56</v>
      </c>
      <c r="FI44" s="37">
        <v>56.9</v>
      </c>
      <c r="FJ44" s="37">
        <v>58.9</v>
      </c>
      <c r="FK44" s="37">
        <v>59.9</v>
      </c>
      <c r="FL44" s="37">
        <v>60.2</v>
      </c>
      <c r="FM44" s="37">
        <v>61.1</v>
      </c>
      <c r="FN44" s="37">
        <v>58.4</v>
      </c>
      <c r="FO44" s="37">
        <v>58.1</v>
      </c>
      <c r="FP44" s="37">
        <v>56.3</v>
      </c>
      <c r="FQ44" s="37">
        <v>59.4</v>
      </c>
      <c r="FR44" s="37">
        <v>59.4</v>
      </c>
      <c r="FS44" s="37">
        <v>60.1</v>
      </c>
      <c r="FT44" s="37">
        <v>60</v>
      </c>
      <c r="FU44" s="37">
        <v>59.4</v>
      </c>
      <c r="FV44" s="37">
        <v>58.7</v>
      </c>
      <c r="FW44" s="37">
        <v>58.5</v>
      </c>
      <c r="FX44" s="37">
        <v>58.2</v>
      </c>
      <c r="FY44" s="37">
        <v>57</v>
      </c>
      <c r="FZ44" s="37">
        <v>56</v>
      </c>
      <c r="GA44" s="37">
        <v>56.4</v>
      </c>
      <c r="GB44" s="37">
        <v>57.7</v>
      </c>
      <c r="GC44" s="37">
        <v>58.7</v>
      </c>
      <c r="GD44" s="37">
        <v>60.7</v>
      </c>
      <c r="GE44" s="37">
        <v>62.4</v>
      </c>
      <c r="GF44" s="37">
        <v>63</v>
      </c>
      <c r="GG44" s="37">
        <v>60.9</v>
      </c>
      <c r="GH44" s="37">
        <v>59.4</v>
      </c>
      <c r="GI44" s="37">
        <v>58</v>
      </c>
      <c r="GJ44" s="37">
        <v>61.9</v>
      </c>
      <c r="GK44" s="37">
        <v>60.2</v>
      </c>
      <c r="GL44" s="37">
        <v>58.7</v>
      </c>
      <c r="GM44" s="37">
        <v>58.2</v>
      </c>
      <c r="GN44" s="37">
        <v>57.8</v>
      </c>
      <c r="GO44" s="37">
        <v>78.5</v>
      </c>
      <c r="GP44" s="37">
        <v>69.099999999999994</v>
      </c>
      <c r="GQ44" s="37">
        <v>58.9</v>
      </c>
      <c r="GR44" s="37">
        <v>81.2</v>
      </c>
      <c r="GS44" s="37">
        <v>82.7</v>
      </c>
      <c r="GT44" s="37">
        <v>80.599999999999994</v>
      </c>
      <c r="GU44" s="37">
        <v>976.3</v>
      </c>
      <c r="GV44" s="37">
        <v>1109.4000000000001</v>
      </c>
      <c r="GW44" s="37">
        <v>462.8</v>
      </c>
      <c r="GX44" s="37">
        <v>390</v>
      </c>
      <c r="GY44" s="37">
        <v>702.5</v>
      </c>
      <c r="GZ44" s="37">
        <v>546.29999999999995</v>
      </c>
      <c r="HA44" s="37">
        <v>289</v>
      </c>
      <c r="HB44" s="37">
        <v>145.19999999999999</v>
      </c>
      <c r="HC44">
        <v>123.5</v>
      </c>
      <c r="HD44">
        <v>114.1</v>
      </c>
    </row>
    <row r="45" spans="1:212" x14ac:dyDescent="0.3">
      <c r="A45" s="37" t="s">
        <v>1803</v>
      </c>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P45" s="37"/>
      <c r="DQ45" s="37"/>
      <c r="DR45" s="37"/>
      <c r="DS45" s="37"/>
      <c r="DT45" s="37"/>
      <c r="DU45" s="37"/>
      <c r="DV45" s="37"/>
      <c r="DW45" s="37"/>
      <c r="DX45" s="37"/>
      <c r="DY45" s="37"/>
      <c r="DZ45" s="37"/>
      <c r="EA45" s="37"/>
      <c r="EB45" s="37"/>
      <c r="EC45" s="37"/>
      <c r="ED45" s="37"/>
      <c r="EE45" s="37"/>
      <c r="EF45" s="37"/>
      <c r="EG45" s="37"/>
      <c r="EH45" s="37"/>
      <c r="EI45" s="37"/>
      <c r="EJ45" s="37"/>
      <c r="EK45" s="37"/>
      <c r="EL45" s="37"/>
      <c r="EM45" s="37"/>
      <c r="EN45" s="37"/>
      <c r="EO45" s="37"/>
      <c r="EP45" s="37"/>
      <c r="EQ45" s="37"/>
      <c r="ER45" s="37"/>
      <c r="ES45" s="37"/>
      <c r="ET45" s="37"/>
      <c r="EU45" s="37"/>
      <c r="EV45" s="37"/>
      <c r="EW45" s="37"/>
      <c r="EX45" s="37"/>
      <c r="EY45" s="37"/>
      <c r="EZ45" s="37"/>
      <c r="FA45" s="37"/>
      <c r="FB45" s="37"/>
      <c r="FC45" s="37"/>
      <c r="FD45" s="37"/>
      <c r="FE45" s="37"/>
      <c r="FF45" s="37"/>
      <c r="FG45" s="37"/>
      <c r="FH45" s="37"/>
      <c r="FI45" s="37"/>
      <c r="FJ45" s="37"/>
      <c r="FK45" s="37"/>
      <c r="FL45" s="37"/>
      <c r="FM45" s="37"/>
      <c r="FN45" s="37"/>
      <c r="FO45" s="37"/>
      <c r="FP45" s="37"/>
      <c r="FQ45" s="37"/>
      <c r="FR45" s="37"/>
      <c r="FS45" s="37"/>
      <c r="FT45" s="37"/>
      <c r="FU45" s="37"/>
      <c r="FV45" s="37"/>
      <c r="FW45" s="37"/>
      <c r="FX45" s="37"/>
      <c r="FY45" s="37"/>
      <c r="FZ45" s="37"/>
      <c r="GA45" s="37"/>
      <c r="GB45" s="37"/>
      <c r="GC45" s="37"/>
      <c r="GD45" s="37"/>
      <c r="GE45" s="37"/>
      <c r="GF45" s="37"/>
      <c r="GG45" s="37"/>
      <c r="GH45" s="37"/>
      <c r="GI45" s="37"/>
      <c r="GJ45" s="37"/>
      <c r="GK45" s="37"/>
      <c r="GL45" s="37"/>
      <c r="GM45" s="37"/>
      <c r="GN45" s="37"/>
      <c r="GO45" s="37"/>
      <c r="GP45" s="37"/>
      <c r="GQ45" s="37"/>
      <c r="GR45" s="37"/>
      <c r="GS45" s="37"/>
      <c r="GT45" s="37"/>
      <c r="GU45" s="37">
        <v>1078.0999999999999</v>
      </c>
      <c r="GV45" s="37">
        <v>15.6</v>
      </c>
      <c r="GW45" s="37">
        <v>5</v>
      </c>
      <c r="GX45" s="37">
        <v>1933.7</v>
      </c>
      <c r="GY45" s="37">
        <v>290.10000000000002</v>
      </c>
      <c r="GZ45" s="37">
        <v>38.9</v>
      </c>
      <c r="HA45" s="37">
        <v>14.2</v>
      </c>
      <c r="HB45" s="37">
        <v>0</v>
      </c>
      <c r="HC45">
        <v>0</v>
      </c>
      <c r="HD45">
        <v>0</v>
      </c>
    </row>
    <row r="46" spans="1:212" x14ac:dyDescent="0.3">
      <c r="A46" s="37" t="s">
        <v>1804</v>
      </c>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c r="CF46" s="37"/>
      <c r="CG46" s="37"/>
      <c r="CH46" s="37"/>
      <c r="CI46" s="37"/>
      <c r="CJ46" s="37"/>
      <c r="CK46" s="37"/>
      <c r="CL46" s="37"/>
      <c r="CM46" s="37"/>
      <c r="CN46" s="37"/>
      <c r="CO46" s="37"/>
      <c r="CP46" s="37"/>
      <c r="CQ46" s="37"/>
      <c r="CR46" s="37"/>
      <c r="CS46" s="37"/>
      <c r="CT46" s="37"/>
      <c r="CU46" s="37"/>
      <c r="CV46" s="37"/>
      <c r="CW46" s="37"/>
      <c r="CX46" s="37"/>
      <c r="CY46" s="37"/>
      <c r="CZ46" s="37"/>
      <c r="DA46" s="37"/>
      <c r="DB46" s="37"/>
      <c r="DC46" s="37"/>
      <c r="DD46" s="37"/>
      <c r="DE46" s="37"/>
      <c r="DF46" s="37"/>
      <c r="DG46" s="37"/>
      <c r="DH46" s="37"/>
      <c r="DI46" s="37"/>
      <c r="DJ46" s="37"/>
      <c r="DK46" s="37"/>
      <c r="DL46" s="37"/>
      <c r="DM46" s="37"/>
      <c r="DN46" s="37"/>
      <c r="DO46" s="37"/>
      <c r="DP46" s="37"/>
      <c r="DQ46" s="37"/>
      <c r="DR46" s="37"/>
      <c r="DS46" s="37"/>
      <c r="DT46" s="37"/>
      <c r="DU46" s="37"/>
      <c r="DV46" s="37"/>
      <c r="DW46" s="37"/>
      <c r="DX46" s="37"/>
      <c r="DY46" s="37"/>
      <c r="DZ46" s="37"/>
      <c r="EA46" s="37"/>
      <c r="EB46" s="37"/>
      <c r="EC46" s="37"/>
      <c r="ED46" s="37"/>
      <c r="EE46" s="37"/>
      <c r="EF46" s="37"/>
      <c r="EG46" s="37"/>
      <c r="EH46" s="37"/>
      <c r="EI46" s="37"/>
      <c r="EJ46" s="37"/>
      <c r="EK46" s="37"/>
      <c r="EL46" s="37"/>
      <c r="EM46" s="37"/>
      <c r="EN46" s="37"/>
      <c r="EO46" s="37"/>
      <c r="EP46" s="37"/>
      <c r="EQ46" s="37"/>
      <c r="ER46" s="37"/>
      <c r="ES46" s="37"/>
      <c r="ET46" s="37"/>
      <c r="EU46" s="37"/>
      <c r="EV46" s="37"/>
      <c r="EW46" s="37"/>
      <c r="EX46" s="37"/>
      <c r="EY46" s="37"/>
      <c r="EZ46" s="37"/>
      <c r="FA46" s="37"/>
      <c r="FB46" s="37"/>
      <c r="FC46" s="37"/>
      <c r="FD46" s="37"/>
      <c r="FE46" s="37"/>
      <c r="FF46" s="37"/>
      <c r="FG46" s="37"/>
      <c r="FH46" s="37"/>
      <c r="FI46" s="37"/>
      <c r="FJ46" s="37"/>
      <c r="FK46" s="37"/>
      <c r="FL46" s="37"/>
      <c r="FM46" s="37"/>
      <c r="FN46" s="37"/>
      <c r="FO46" s="37"/>
      <c r="FP46" s="37"/>
      <c r="FQ46" s="37"/>
      <c r="FR46" s="37"/>
      <c r="FS46" s="37"/>
      <c r="FT46" s="37"/>
      <c r="FU46" s="37"/>
      <c r="FV46" s="37"/>
      <c r="FW46" s="37"/>
      <c r="FX46" s="37"/>
      <c r="FY46" s="37"/>
      <c r="FZ46" s="37"/>
      <c r="GA46" s="37"/>
      <c r="GB46" s="37"/>
      <c r="GC46" s="37"/>
      <c r="GD46" s="37"/>
      <c r="GE46" s="37"/>
      <c r="GF46" s="37"/>
      <c r="GG46" s="37"/>
      <c r="GH46" s="37"/>
      <c r="GI46" s="37"/>
      <c r="GJ46" s="37"/>
      <c r="GK46" s="37"/>
      <c r="GL46" s="37"/>
      <c r="GM46" s="37"/>
      <c r="GN46" s="37"/>
      <c r="GO46" s="37"/>
      <c r="GP46" s="37"/>
      <c r="GQ46" s="37"/>
      <c r="GR46" s="37"/>
      <c r="GS46" s="37"/>
      <c r="GT46" s="37"/>
      <c r="GU46" s="37">
        <v>9.6</v>
      </c>
      <c r="GV46" s="37">
        <v>14.4</v>
      </c>
      <c r="GW46" s="37">
        <v>14.3</v>
      </c>
      <c r="GX46" s="37">
        <v>15</v>
      </c>
      <c r="GY46" s="37">
        <v>15.3</v>
      </c>
      <c r="GZ46" s="37">
        <v>15.6</v>
      </c>
      <c r="HA46" s="37">
        <v>15.7</v>
      </c>
      <c r="HB46" s="37">
        <v>15.8</v>
      </c>
      <c r="HC46">
        <v>7.9</v>
      </c>
      <c r="HD46">
        <v>0</v>
      </c>
    </row>
    <row r="47" spans="1:212" x14ac:dyDescent="0.3">
      <c r="A47" s="37" t="s">
        <v>1805</v>
      </c>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c r="BZ47" s="37"/>
      <c r="CA47" s="37"/>
      <c r="CB47" s="37"/>
      <c r="CC47" s="37"/>
      <c r="CD47" s="37"/>
      <c r="CE47" s="37"/>
      <c r="CF47" s="37"/>
      <c r="CG47" s="37"/>
      <c r="CH47" s="37"/>
      <c r="CI47" s="37"/>
      <c r="CJ47" s="37"/>
      <c r="CK47" s="37"/>
      <c r="CL47" s="37"/>
      <c r="CM47" s="37"/>
      <c r="CN47" s="37"/>
      <c r="CO47" s="37"/>
      <c r="CP47" s="37"/>
      <c r="CQ47" s="37"/>
      <c r="CR47" s="37"/>
      <c r="CS47" s="37"/>
      <c r="CT47" s="37"/>
      <c r="CU47" s="37"/>
      <c r="CV47" s="37"/>
      <c r="CW47" s="37"/>
      <c r="CX47" s="37"/>
      <c r="CY47" s="37"/>
      <c r="CZ47" s="37"/>
      <c r="DA47" s="37"/>
      <c r="DB47" s="37"/>
      <c r="DC47" s="37"/>
      <c r="DD47" s="37"/>
      <c r="DE47" s="37"/>
      <c r="DF47" s="37"/>
      <c r="DG47" s="37"/>
      <c r="DH47" s="37"/>
      <c r="DI47" s="37"/>
      <c r="DJ47" s="37"/>
      <c r="DK47" s="37"/>
      <c r="DL47" s="37"/>
      <c r="DM47" s="37"/>
      <c r="DN47" s="37"/>
      <c r="DO47" s="37"/>
      <c r="DP47" s="37"/>
      <c r="DQ47" s="37"/>
      <c r="DR47" s="37"/>
      <c r="DS47" s="37"/>
      <c r="DT47" s="37"/>
      <c r="DU47" s="37"/>
      <c r="DV47" s="37"/>
      <c r="DW47" s="37"/>
      <c r="DX47" s="37"/>
      <c r="DY47" s="37"/>
      <c r="DZ47" s="37"/>
      <c r="EA47" s="37"/>
      <c r="EB47" s="37"/>
      <c r="EC47" s="37"/>
      <c r="ED47" s="37"/>
      <c r="EE47" s="37"/>
      <c r="EF47" s="37"/>
      <c r="EG47" s="37"/>
      <c r="EH47" s="37"/>
      <c r="EI47" s="37"/>
      <c r="EJ47" s="37"/>
      <c r="EK47" s="37"/>
      <c r="EL47" s="37"/>
      <c r="EM47" s="37"/>
      <c r="EN47" s="37"/>
      <c r="EO47" s="37"/>
      <c r="EP47" s="37"/>
      <c r="EQ47" s="37"/>
      <c r="ER47" s="37"/>
      <c r="ES47" s="37"/>
      <c r="ET47" s="37"/>
      <c r="EU47" s="37"/>
      <c r="EV47" s="37"/>
      <c r="EW47" s="37"/>
      <c r="EX47" s="37"/>
      <c r="EY47" s="37"/>
      <c r="EZ47" s="37"/>
      <c r="FA47" s="37"/>
      <c r="FB47" s="37"/>
      <c r="FC47" s="37"/>
      <c r="FD47" s="37"/>
      <c r="FE47" s="37"/>
      <c r="FF47" s="37"/>
      <c r="FG47" s="37"/>
      <c r="FH47" s="37"/>
      <c r="FI47" s="37"/>
      <c r="FJ47" s="37"/>
      <c r="FK47" s="37"/>
      <c r="FL47" s="37"/>
      <c r="FM47" s="37"/>
      <c r="FN47" s="37"/>
      <c r="FO47" s="37"/>
      <c r="FP47" s="37"/>
      <c r="FQ47" s="37"/>
      <c r="FR47" s="37"/>
      <c r="FS47" s="37"/>
      <c r="FT47" s="37"/>
      <c r="FU47" s="37"/>
      <c r="FV47" s="37"/>
      <c r="FW47" s="37"/>
      <c r="FX47" s="37"/>
      <c r="FY47" s="37"/>
      <c r="FZ47" s="37"/>
      <c r="GA47" s="37"/>
      <c r="GB47" s="37"/>
      <c r="GC47" s="37"/>
      <c r="GD47" s="37"/>
      <c r="GE47" s="37"/>
      <c r="GF47" s="37"/>
      <c r="GG47" s="37"/>
      <c r="GH47" s="37"/>
      <c r="GI47" s="37"/>
      <c r="GJ47" s="37"/>
      <c r="GK47" s="37"/>
      <c r="GL47" s="37"/>
      <c r="GM47" s="37"/>
      <c r="GN47" s="37"/>
      <c r="GO47" s="37"/>
      <c r="GP47" s="37"/>
      <c r="GQ47" s="37"/>
      <c r="GR47" s="37"/>
      <c r="GS47" s="37"/>
      <c r="GT47" s="37"/>
      <c r="GU47" s="37">
        <v>57.2</v>
      </c>
      <c r="GV47" s="37">
        <v>81.2</v>
      </c>
      <c r="GW47" s="37">
        <v>24.4</v>
      </c>
      <c r="GX47" s="37">
        <v>11.7</v>
      </c>
      <c r="GY47" s="37">
        <v>28.5</v>
      </c>
      <c r="GZ47" s="37">
        <v>18.8</v>
      </c>
      <c r="HA47" s="37">
        <v>1.6</v>
      </c>
      <c r="HB47" s="37">
        <v>0</v>
      </c>
      <c r="HC47">
        <v>0</v>
      </c>
      <c r="HD47">
        <v>0</v>
      </c>
    </row>
    <row r="48" spans="1:212" x14ac:dyDescent="0.3">
      <c r="A48" s="37" t="s">
        <v>1806</v>
      </c>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c r="BW48" s="37"/>
      <c r="BX48" s="37"/>
      <c r="BY48" s="37"/>
      <c r="BZ48" s="37"/>
      <c r="CA48" s="37"/>
      <c r="CB48" s="37"/>
      <c r="CC48" s="37"/>
      <c r="CD48" s="37"/>
      <c r="CE48" s="37"/>
      <c r="CF48" s="37"/>
      <c r="CG48" s="37"/>
      <c r="CH48" s="37"/>
      <c r="CI48" s="37"/>
      <c r="CJ48" s="37"/>
      <c r="CK48" s="37"/>
      <c r="CL48" s="37"/>
      <c r="CM48" s="37"/>
      <c r="CN48" s="37"/>
      <c r="CO48" s="37"/>
      <c r="CP48" s="37"/>
      <c r="CQ48" s="37"/>
      <c r="CR48" s="37"/>
      <c r="CS48" s="37"/>
      <c r="CT48" s="37"/>
      <c r="CU48" s="37"/>
      <c r="CV48" s="37"/>
      <c r="CW48" s="37"/>
      <c r="CX48" s="37"/>
      <c r="CY48" s="37"/>
      <c r="CZ48" s="37"/>
      <c r="DA48" s="37"/>
      <c r="DB48" s="37"/>
      <c r="DC48" s="37"/>
      <c r="DD48" s="37"/>
      <c r="DE48" s="37"/>
      <c r="DF48" s="37"/>
      <c r="DG48" s="37"/>
      <c r="DH48" s="37"/>
      <c r="DI48" s="37"/>
      <c r="DJ48" s="37"/>
      <c r="DK48" s="37"/>
      <c r="DL48" s="37"/>
      <c r="DM48" s="37"/>
      <c r="DN48" s="37"/>
      <c r="DO48" s="37"/>
      <c r="DP48" s="37"/>
      <c r="DQ48" s="37"/>
      <c r="DR48" s="37"/>
      <c r="DS48" s="37"/>
      <c r="DT48" s="37"/>
      <c r="DU48" s="37"/>
      <c r="DV48" s="37"/>
      <c r="DW48" s="37"/>
      <c r="DX48" s="37"/>
      <c r="DY48" s="37"/>
      <c r="DZ48" s="37"/>
      <c r="EA48" s="37"/>
      <c r="EB48" s="37"/>
      <c r="EC48" s="37"/>
      <c r="ED48" s="37"/>
      <c r="EE48" s="37"/>
      <c r="EF48" s="37"/>
      <c r="EG48" s="37"/>
      <c r="EH48" s="37"/>
      <c r="EI48" s="37"/>
      <c r="EJ48" s="37"/>
      <c r="EK48" s="37"/>
      <c r="EL48" s="37"/>
      <c r="EM48" s="37"/>
      <c r="EN48" s="37"/>
      <c r="EO48" s="37"/>
      <c r="EP48" s="37"/>
      <c r="EQ48" s="37"/>
      <c r="ER48" s="37"/>
      <c r="ES48" s="37"/>
      <c r="ET48" s="37"/>
      <c r="EU48" s="37"/>
      <c r="EV48" s="37"/>
      <c r="EW48" s="37"/>
      <c r="EX48" s="37"/>
      <c r="EY48" s="37"/>
      <c r="EZ48" s="37"/>
      <c r="FA48" s="37"/>
      <c r="FB48" s="37"/>
      <c r="FC48" s="37"/>
      <c r="FD48" s="37"/>
      <c r="FE48" s="37"/>
      <c r="FF48" s="37"/>
      <c r="FG48" s="37"/>
      <c r="FH48" s="37"/>
      <c r="FI48" s="37"/>
      <c r="FJ48" s="37"/>
      <c r="FK48" s="37"/>
      <c r="FL48" s="37"/>
      <c r="FM48" s="37"/>
      <c r="FN48" s="37"/>
      <c r="FO48" s="37"/>
      <c r="FP48" s="37"/>
      <c r="FQ48" s="37"/>
      <c r="FR48" s="37"/>
      <c r="FS48" s="37"/>
      <c r="FT48" s="37"/>
      <c r="FU48" s="37"/>
      <c r="FV48" s="37"/>
      <c r="FW48" s="37"/>
      <c r="FX48" s="37"/>
      <c r="FY48" s="37"/>
      <c r="FZ48" s="37"/>
      <c r="GA48" s="37"/>
      <c r="GB48" s="37"/>
      <c r="GC48" s="37"/>
      <c r="GD48" s="37"/>
      <c r="GE48" s="37"/>
      <c r="GF48" s="37"/>
      <c r="GG48" s="37"/>
      <c r="GH48" s="37"/>
      <c r="GI48" s="37"/>
      <c r="GJ48" s="37"/>
      <c r="GK48" s="37"/>
      <c r="GL48" s="37"/>
      <c r="GM48" s="37"/>
      <c r="GN48" s="37"/>
      <c r="GO48" s="37"/>
      <c r="GP48" s="37"/>
      <c r="GQ48" s="37"/>
      <c r="GR48" s="37"/>
      <c r="GS48" s="37"/>
      <c r="GT48" s="37">
        <v>1.5</v>
      </c>
      <c r="GU48" s="37">
        <v>160.9</v>
      </c>
      <c r="GV48" s="37">
        <v>58.4</v>
      </c>
      <c r="GW48" s="37">
        <v>34.5</v>
      </c>
      <c r="GX48" s="37">
        <v>21.4</v>
      </c>
      <c r="GY48" s="37">
        <v>13.3</v>
      </c>
      <c r="GZ48" s="37">
        <v>18.7</v>
      </c>
      <c r="HA48" s="37">
        <v>32.200000000000003</v>
      </c>
      <c r="HB48" s="37">
        <v>26.9</v>
      </c>
      <c r="HC48">
        <v>20</v>
      </c>
      <c r="HD48">
        <v>8.1</v>
      </c>
    </row>
    <row r="49" spans="1:212" x14ac:dyDescent="0.3">
      <c r="A49" s="37" t="s">
        <v>1807</v>
      </c>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c r="BV49" s="37"/>
      <c r="BW49" s="37"/>
      <c r="BX49" s="37"/>
      <c r="BY49" s="37"/>
      <c r="BZ49" s="37"/>
      <c r="CA49" s="37"/>
      <c r="CB49" s="37"/>
      <c r="CC49" s="37"/>
      <c r="CD49" s="37"/>
      <c r="CE49" s="37"/>
      <c r="CF49" s="37"/>
      <c r="CG49" s="37"/>
      <c r="CH49" s="37"/>
      <c r="CI49" s="37"/>
      <c r="CJ49" s="37"/>
      <c r="CK49" s="37"/>
      <c r="CL49" s="37"/>
      <c r="CM49" s="37"/>
      <c r="CN49" s="37"/>
      <c r="CO49" s="37"/>
      <c r="CP49" s="37"/>
      <c r="CQ49" s="37"/>
      <c r="CR49" s="37"/>
      <c r="CS49" s="37"/>
      <c r="CT49" s="37"/>
      <c r="CU49" s="37"/>
      <c r="CV49" s="37"/>
      <c r="CW49" s="37"/>
      <c r="CX49" s="37"/>
      <c r="CY49" s="37"/>
      <c r="CZ49" s="37"/>
      <c r="DA49" s="37"/>
      <c r="DB49" s="37"/>
      <c r="DC49" s="37"/>
      <c r="DD49" s="37"/>
      <c r="DE49" s="37"/>
      <c r="DF49" s="37"/>
      <c r="DG49" s="37"/>
      <c r="DH49" s="37"/>
      <c r="DI49" s="37"/>
      <c r="DJ49" s="37"/>
      <c r="DK49" s="37"/>
      <c r="DL49" s="37"/>
      <c r="DM49" s="37"/>
      <c r="DN49" s="37"/>
      <c r="DO49" s="37"/>
      <c r="DP49" s="37"/>
      <c r="DQ49" s="37"/>
      <c r="DR49" s="37"/>
      <c r="DS49" s="37"/>
      <c r="DT49" s="37"/>
      <c r="DU49" s="37"/>
      <c r="DV49" s="37"/>
      <c r="DW49" s="37"/>
      <c r="DX49" s="37"/>
      <c r="DY49" s="37"/>
      <c r="DZ49" s="37"/>
      <c r="EA49" s="37"/>
      <c r="EB49" s="37"/>
      <c r="EC49" s="37"/>
      <c r="ED49" s="37"/>
      <c r="EE49" s="37"/>
      <c r="EF49" s="37"/>
      <c r="EG49" s="37"/>
      <c r="EH49" s="37"/>
      <c r="EI49" s="37"/>
      <c r="EJ49" s="37"/>
      <c r="EK49" s="37"/>
      <c r="EL49" s="37"/>
      <c r="EM49" s="37"/>
      <c r="EN49" s="37"/>
      <c r="EO49" s="37"/>
      <c r="EP49" s="37"/>
      <c r="EQ49" s="37"/>
      <c r="ER49" s="37"/>
      <c r="ES49" s="37"/>
      <c r="ET49" s="37"/>
      <c r="EU49" s="37"/>
      <c r="EV49" s="37"/>
      <c r="EW49" s="37"/>
      <c r="EX49" s="37"/>
      <c r="EY49" s="37"/>
      <c r="EZ49" s="37"/>
      <c r="FA49" s="37"/>
      <c r="FB49" s="37"/>
      <c r="FC49" s="37"/>
      <c r="FD49" s="37"/>
      <c r="FE49" s="37"/>
      <c r="FF49" s="37"/>
      <c r="FG49" s="37"/>
      <c r="FH49" s="37"/>
      <c r="FI49" s="37"/>
      <c r="FJ49" s="37"/>
      <c r="FK49" s="37"/>
      <c r="FL49" s="37"/>
      <c r="FM49" s="37"/>
      <c r="FN49" s="37"/>
      <c r="FO49" s="37"/>
      <c r="FP49" s="37"/>
      <c r="FQ49" s="37"/>
      <c r="FR49" s="37"/>
      <c r="FS49" s="37"/>
      <c r="FT49" s="37"/>
      <c r="FU49" s="37"/>
      <c r="FV49" s="37"/>
      <c r="FW49" s="37"/>
      <c r="FX49" s="37"/>
      <c r="FY49" s="37"/>
      <c r="FZ49" s="37"/>
      <c r="GA49" s="37"/>
      <c r="GB49" s="37"/>
      <c r="GC49" s="37"/>
      <c r="GD49" s="37"/>
      <c r="GE49" s="37"/>
      <c r="GF49" s="37"/>
      <c r="GG49" s="37"/>
      <c r="GH49" s="37"/>
      <c r="GI49" s="37"/>
      <c r="GJ49" s="37"/>
      <c r="GK49" s="37"/>
      <c r="GL49" s="37"/>
      <c r="GM49" s="37"/>
      <c r="GN49" s="37"/>
      <c r="GO49" s="37"/>
      <c r="GP49" s="37"/>
      <c r="GQ49" s="37"/>
      <c r="GR49" s="37"/>
      <c r="GS49" s="37"/>
      <c r="GT49" s="37"/>
      <c r="GU49" s="37">
        <v>576.9</v>
      </c>
      <c r="GV49" s="37">
        <v>819.5</v>
      </c>
      <c r="GW49" s="37">
        <v>246.3</v>
      </c>
      <c r="GX49" s="37">
        <v>197</v>
      </c>
      <c r="GY49" s="37">
        <v>441.2</v>
      </c>
      <c r="GZ49" s="37">
        <v>276.7</v>
      </c>
      <c r="HA49" s="37">
        <v>28.2</v>
      </c>
      <c r="HB49" s="37">
        <v>0</v>
      </c>
      <c r="HC49">
        <v>0</v>
      </c>
      <c r="HD49">
        <v>0</v>
      </c>
    </row>
    <row r="50" spans="1:212" x14ac:dyDescent="0.3">
      <c r="A50" s="37" t="s">
        <v>1808</v>
      </c>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7"/>
      <c r="CM50" s="37"/>
      <c r="CN50" s="37"/>
      <c r="CO50" s="37"/>
      <c r="CP50" s="37"/>
      <c r="CQ50" s="37"/>
      <c r="CR50" s="37"/>
      <c r="CS50" s="37"/>
      <c r="CT50" s="37"/>
      <c r="CU50" s="37"/>
      <c r="CV50" s="37"/>
      <c r="CW50" s="37"/>
      <c r="CX50" s="37"/>
      <c r="CY50" s="37"/>
      <c r="CZ50" s="37"/>
      <c r="DA50" s="37"/>
      <c r="DB50" s="37"/>
      <c r="DC50" s="37"/>
      <c r="DD50" s="37"/>
      <c r="DE50" s="37"/>
      <c r="DF50" s="37"/>
      <c r="DG50" s="37"/>
      <c r="DH50" s="37"/>
      <c r="DI50" s="37"/>
      <c r="DJ50" s="37"/>
      <c r="DK50" s="37"/>
      <c r="DL50" s="37"/>
      <c r="DM50" s="37"/>
      <c r="DN50" s="37"/>
      <c r="DO50" s="37"/>
      <c r="DP50" s="37"/>
      <c r="DQ50" s="37"/>
      <c r="DR50" s="37"/>
      <c r="DS50" s="37"/>
      <c r="DT50" s="37"/>
      <c r="DU50" s="37"/>
      <c r="DV50" s="37"/>
      <c r="DW50" s="37"/>
      <c r="DX50" s="37"/>
      <c r="DY50" s="37"/>
      <c r="DZ50" s="37"/>
      <c r="EA50" s="37"/>
      <c r="EB50" s="37"/>
      <c r="EC50" s="37"/>
      <c r="ED50" s="37"/>
      <c r="EE50" s="37"/>
      <c r="EF50" s="37"/>
      <c r="EG50" s="37"/>
      <c r="EH50" s="37"/>
      <c r="EI50" s="37"/>
      <c r="EJ50" s="37"/>
      <c r="EK50" s="37"/>
      <c r="EL50" s="37"/>
      <c r="EM50" s="37"/>
      <c r="EN50" s="37"/>
      <c r="EO50" s="37"/>
      <c r="EP50" s="37"/>
      <c r="EQ50" s="37"/>
      <c r="ER50" s="37"/>
      <c r="ES50" s="37"/>
      <c r="ET50" s="37"/>
      <c r="EU50" s="37"/>
      <c r="EV50" s="37"/>
      <c r="EW50" s="37"/>
      <c r="EX50" s="37"/>
      <c r="EY50" s="37"/>
      <c r="EZ50" s="37"/>
      <c r="FA50" s="37"/>
      <c r="FB50" s="37"/>
      <c r="FC50" s="37"/>
      <c r="FD50" s="37"/>
      <c r="FE50" s="37"/>
      <c r="FF50" s="37"/>
      <c r="FG50" s="37"/>
      <c r="FH50" s="37"/>
      <c r="FI50" s="37"/>
      <c r="FJ50" s="37"/>
      <c r="FK50" s="37"/>
      <c r="FL50" s="37"/>
      <c r="FM50" s="37"/>
      <c r="FN50" s="37"/>
      <c r="FO50" s="37"/>
      <c r="FP50" s="37"/>
      <c r="FQ50" s="37"/>
      <c r="FR50" s="37"/>
      <c r="FS50" s="37"/>
      <c r="FT50" s="37"/>
      <c r="FU50" s="37"/>
      <c r="FV50" s="37"/>
      <c r="FW50" s="37"/>
      <c r="FX50" s="37"/>
      <c r="FY50" s="37"/>
      <c r="FZ50" s="37"/>
      <c r="GA50" s="37"/>
      <c r="GB50" s="37"/>
      <c r="GC50" s="37"/>
      <c r="GD50" s="37"/>
      <c r="GE50" s="37"/>
      <c r="GF50" s="37"/>
      <c r="GG50" s="37"/>
      <c r="GH50" s="37"/>
      <c r="GI50" s="37"/>
      <c r="GJ50" s="37"/>
      <c r="GK50" s="37"/>
      <c r="GL50" s="37"/>
      <c r="GM50" s="37"/>
      <c r="GN50" s="37"/>
      <c r="GO50" s="37"/>
      <c r="GP50" s="37"/>
      <c r="GQ50" s="37"/>
      <c r="GR50" s="37"/>
      <c r="GS50" s="37"/>
      <c r="GT50" s="37"/>
      <c r="GU50" s="37">
        <v>63.8</v>
      </c>
      <c r="GV50" s="37">
        <v>15</v>
      </c>
      <c r="GW50" s="37">
        <v>0.1</v>
      </c>
      <c r="GX50" s="37">
        <v>38</v>
      </c>
      <c r="GY50" s="37">
        <v>47.3</v>
      </c>
      <c r="GZ50" s="37">
        <v>0.7</v>
      </c>
      <c r="HA50" s="37">
        <v>0</v>
      </c>
      <c r="HB50" s="37">
        <v>0.3</v>
      </c>
      <c r="HC50">
        <v>0.2</v>
      </c>
      <c r="HD50">
        <v>0.3</v>
      </c>
    </row>
    <row r="51" spans="1:212" x14ac:dyDescent="0.3">
      <c r="A51" s="37" t="s">
        <v>1809</v>
      </c>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c r="CN51" s="37"/>
      <c r="CO51" s="37"/>
      <c r="CP51" s="37"/>
      <c r="CQ51" s="37"/>
      <c r="CR51" s="37"/>
      <c r="CS51" s="37"/>
      <c r="CT51" s="37"/>
      <c r="CU51" s="37"/>
      <c r="CV51" s="37"/>
      <c r="CW51" s="37"/>
      <c r="CX51" s="37"/>
      <c r="CY51" s="37"/>
      <c r="CZ51" s="37"/>
      <c r="DA51" s="37"/>
      <c r="DB51" s="37"/>
      <c r="DC51" s="37"/>
      <c r="DD51" s="37"/>
      <c r="DE51" s="37"/>
      <c r="DF51" s="37"/>
      <c r="DG51" s="37"/>
      <c r="DH51" s="37"/>
      <c r="DI51" s="37"/>
      <c r="DJ51" s="37"/>
      <c r="DK51" s="37"/>
      <c r="DL51" s="37"/>
      <c r="DM51" s="37"/>
      <c r="DN51" s="37"/>
      <c r="DO51" s="37"/>
      <c r="DP51" s="37"/>
      <c r="DQ51" s="37"/>
      <c r="DR51" s="37"/>
      <c r="DS51" s="37"/>
      <c r="DT51" s="37"/>
      <c r="DU51" s="37"/>
      <c r="DV51" s="37"/>
      <c r="DW51" s="37"/>
      <c r="DX51" s="37"/>
      <c r="DY51" s="37"/>
      <c r="DZ51" s="37"/>
      <c r="EA51" s="37"/>
      <c r="EB51" s="37"/>
      <c r="EC51" s="37"/>
      <c r="ED51" s="37"/>
      <c r="EE51" s="37"/>
      <c r="EF51" s="37"/>
      <c r="EG51" s="37"/>
      <c r="EH51" s="37"/>
      <c r="EI51" s="37"/>
      <c r="EJ51" s="37"/>
      <c r="EK51" s="37"/>
      <c r="EL51" s="37"/>
      <c r="EM51" s="37"/>
      <c r="EN51" s="37"/>
      <c r="EO51" s="37"/>
      <c r="EP51" s="37"/>
      <c r="EQ51" s="37"/>
      <c r="ER51" s="37"/>
      <c r="ES51" s="37"/>
      <c r="ET51" s="37"/>
      <c r="EU51" s="37"/>
      <c r="EV51" s="37"/>
      <c r="EW51" s="37"/>
      <c r="EX51" s="37"/>
      <c r="EY51" s="37"/>
      <c r="EZ51" s="37"/>
      <c r="FA51" s="37"/>
      <c r="FB51" s="37"/>
      <c r="FC51" s="37"/>
      <c r="FD51" s="37"/>
      <c r="FE51" s="37"/>
      <c r="FF51" s="37"/>
      <c r="FG51" s="37"/>
      <c r="FH51" s="37"/>
      <c r="FI51" s="37"/>
      <c r="FJ51" s="37"/>
      <c r="FK51" s="37"/>
      <c r="FL51" s="37"/>
      <c r="FM51" s="37"/>
      <c r="FN51" s="37"/>
      <c r="FO51" s="37"/>
      <c r="FP51" s="37"/>
      <c r="FQ51" s="37"/>
      <c r="FR51" s="37"/>
      <c r="FS51" s="37"/>
      <c r="FT51" s="37"/>
      <c r="FU51" s="37"/>
      <c r="FV51" s="37"/>
      <c r="FW51" s="37"/>
      <c r="FX51" s="37"/>
      <c r="FY51" s="37"/>
      <c r="FZ51" s="37"/>
      <c r="GA51" s="37"/>
      <c r="GB51" s="37"/>
      <c r="GC51" s="37"/>
      <c r="GD51" s="37"/>
      <c r="GE51" s="37"/>
      <c r="GF51" s="37"/>
      <c r="GG51" s="37"/>
      <c r="GH51" s="37"/>
      <c r="GI51" s="37"/>
      <c r="GJ51" s="37"/>
      <c r="GK51" s="37"/>
      <c r="GL51" s="37"/>
      <c r="GM51" s="37"/>
      <c r="GN51" s="37"/>
      <c r="GO51" s="37"/>
      <c r="GP51" s="37"/>
      <c r="GQ51" s="37"/>
      <c r="GR51" s="37"/>
      <c r="GS51" s="37"/>
      <c r="GT51" s="37"/>
      <c r="GU51" s="37">
        <v>73.3</v>
      </c>
      <c r="GV51" s="37">
        <v>73.3</v>
      </c>
      <c r="GW51" s="37">
        <v>73.3</v>
      </c>
      <c r="GX51" s="37">
        <v>39.799999999999997</v>
      </c>
      <c r="GY51" s="37">
        <v>43</v>
      </c>
      <c r="GZ51" s="37">
        <v>45.7</v>
      </c>
      <c r="HA51" s="37">
        <v>51.5</v>
      </c>
      <c r="HB51" s="37">
        <v>0</v>
      </c>
      <c r="HC51">
        <v>0</v>
      </c>
      <c r="HD51">
        <v>0</v>
      </c>
    </row>
    <row r="52" spans="1:212" x14ac:dyDescent="0.3">
      <c r="A52" s="37" t="s">
        <v>1810</v>
      </c>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c r="CE52" s="37"/>
      <c r="CF52" s="37"/>
      <c r="CG52" s="37"/>
      <c r="CH52" s="37"/>
      <c r="CI52" s="37"/>
      <c r="CJ52" s="37"/>
      <c r="CK52" s="37"/>
      <c r="CL52" s="37"/>
      <c r="CM52" s="37"/>
      <c r="CN52" s="37"/>
      <c r="CO52" s="37"/>
      <c r="CP52" s="37"/>
      <c r="CQ52" s="37"/>
      <c r="CR52" s="37"/>
      <c r="CS52" s="37"/>
      <c r="CT52" s="37"/>
      <c r="CU52" s="37"/>
      <c r="CV52" s="37"/>
      <c r="CW52" s="37"/>
      <c r="CX52" s="37"/>
      <c r="CY52" s="37"/>
      <c r="CZ52" s="37"/>
      <c r="DA52" s="37"/>
      <c r="DB52" s="37"/>
      <c r="DC52" s="37"/>
      <c r="DD52" s="37"/>
      <c r="DE52" s="37"/>
      <c r="DF52" s="37"/>
      <c r="DG52" s="37"/>
      <c r="DH52" s="37"/>
      <c r="DI52" s="37"/>
      <c r="DJ52" s="37"/>
      <c r="DK52" s="37"/>
      <c r="DL52" s="37"/>
      <c r="DM52" s="37"/>
      <c r="DN52" s="37"/>
      <c r="DO52" s="37"/>
      <c r="DP52" s="37"/>
      <c r="DQ52" s="37"/>
      <c r="DR52" s="37"/>
      <c r="DS52" s="37"/>
      <c r="DT52" s="37"/>
      <c r="DU52" s="37"/>
      <c r="DV52" s="37"/>
      <c r="DW52" s="37"/>
      <c r="DX52" s="37"/>
      <c r="DY52" s="37"/>
      <c r="DZ52" s="37"/>
      <c r="EA52" s="37"/>
      <c r="EB52" s="37"/>
      <c r="EC52" s="37"/>
      <c r="ED52" s="37"/>
      <c r="EE52" s="37"/>
      <c r="EF52" s="37"/>
      <c r="EG52" s="37"/>
      <c r="EH52" s="37"/>
      <c r="EI52" s="37"/>
      <c r="EJ52" s="37"/>
      <c r="EK52" s="37"/>
      <c r="EL52" s="37"/>
      <c r="EM52" s="37"/>
      <c r="EN52" s="37"/>
      <c r="EO52" s="37"/>
      <c r="EP52" s="37"/>
      <c r="EQ52" s="37"/>
      <c r="ER52" s="37"/>
      <c r="ES52" s="37"/>
      <c r="ET52" s="37"/>
      <c r="EU52" s="37"/>
      <c r="EV52" s="37"/>
      <c r="EW52" s="37"/>
      <c r="EX52" s="37"/>
      <c r="EY52" s="37"/>
      <c r="EZ52" s="37"/>
      <c r="FA52" s="37"/>
      <c r="FB52" s="37"/>
      <c r="FC52" s="37"/>
      <c r="FD52" s="37"/>
      <c r="FE52" s="37"/>
      <c r="FF52" s="37"/>
      <c r="FG52" s="37"/>
      <c r="FH52" s="37"/>
      <c r="FI52" s="37"/>
      <c r="FJ52" s="37"/>
      <c r="FK52" s="37"/>
      <c r="FL52" s="37"/>
      <c r="FM52" s="37"/>
      <c r="FN52" s="37"/>
      <c r="FO52" s="37"/>
      <c r="FP52" s="37"/>
      <c r="FQ52" s="37"/>
      <c r="FR52" s="37"/>
      <c r="FS52" s="37"/>
      <c r="FT52" s="37"/>
      <c r="FU52" s="37"/>
      <c r="FV52" s="37"/>
      <c r="FW52" s="37"/>
      <c r="FX52" s="37"/>
      <c r="FY52" s="37"/>
      <c r="FZ52" s="37"/>
      <c r="GA52" s="37"/>
      <c r="GB52" s="37"/>
      <c r="GC52" s="37"/>
      <c r="GD52" s="37"/>
      <c r="GE52" s="37"/>
      <c r="GF52" s="37"/>
      <c r="GG52" s="37"/>
      <c r="GH52" s="37"/>
      <c r="GI52" s="37"/>
      <c r="GJ52" s="37"/>
      <c r="GK52" s="37"/>
      <c r="GL52" s="37"/>
      <c r="GM52" s="37"/>
      <c r="GN52" s="37"/>
      <c r="GO52" s="37"/>
      <c r="GP52" s="37"/>
      <c r="GQ52" s="37"/>
      <c r="GR52" s="37"/>
      <c r="GS52" s="37"/>
      <c r="GT52" s="37"/>
      <c r="GU52" s="37">
        <v>22</v>
      </c>
      <c r="GV52" s="37">
        <v>25.3</v>
      </c>
      <c r="GW52" s="37">
        <v>11.8</v>
      </c>
      <c r="GX52" s="37">
        <v>11.9</v>
      </c>
      <c r="GY52" s="37">
        <v>11.3</v>
      </c>
      <c r="GZ52" s="37">
        <v>13.6</v>
      </c>
      <c r="HA52" s="37">
        <v>19</v>
      </c>
      <c r="HB52" s="37">
        <v>21.8</v>
      </c>
      <c r="HC52">
        <v>22.3</v>
      </c>
      <c r="HD52">
        <v>20.2</v>
      </c>
    </row>
    <row r="53" spans="1:212" x14ac:dyDescent="0.3">
      <c r="A53" s="37" t="s">
        <v>1811</v>
      </c>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37"/>
      <c r="CE53" s="37"/>
      <c r="CF53" s="37"/>
      <c r="CG53" s="37"/>
      <c r="CH53" s="37"/>
      <c r="CI53" s="37"/>
      <c r="CJ53" s="37"/>
      <c r="CK53" s="37"/>
      <c r="CL53" s="37"/>
      <c r="CM53" s="37"/>
      <c r="CN53" s="37"/>
      <c r="CO53" s="37"/>
      <c r="CP53" s="37"/>
      <c r="CQ53" s="37"/>
      <c r="CR53" s="37"/>
      <c r="CS53" s="37"/>
      <c r="CT53" s="37"/>
      <c r="CU53" s="37"/>
      <c r="CV53" s="37"/>
      <c r="CW53" s="37"/>
      <c r="CX53" s="37"/>
      <c r="CY53" s="37"/>
      <c r="CZ53" s="37"/>
      <c r="DA53" s="37"/>
      <c r="DB53" s="37"/>
      <c r="DC53" s="37"/>
      <c r="DD53" s="37"/>
      <c r="DE53" s="37"/>
      <c r="DF53" s="37"/>
      <c r="DG53" s="37"/>
      <c r="DH53" s="37"/>
      <c r="DI53" s="37"/>
      <c r="DJ53" s="37"/>
      <c r="DK53" s="37"/>
      <c r="DL53" s="37"/>
      <c r="DM53" s="37"/>
      <c r="DN53" s="37"/>
      <c r="DO53" s="37"/>
      <c r="DP53" s="37"/>
      <c r="DQ53" s="37"/>
      <c r="DR53" s="37"/>
      <c r="DS53" s="37"/>
      <c r="DT53" s="37"/>
      <c r="DU53" s="37"/>
      <c r="DV53" s="37"/>
      <c r="DW53" s="37"/>
      <c r="DX53" s="37"/>
      <c r="DY53" s="37"/>
      <c r="DZ53" s="37"/>
      <c r="EA53" s="37"/>
      <c r="EB53" s="37"/>
      <c r="EC53" s="37"/>
      <c r="ED53" s="37"/>
      <c r="EE53" s="37"/>
      <c r="EF53" s="37"/>
      <c r="EG53" s="37"/>
      <c r="EH53" s="37"/>
      <c r="EI53" s="37"/>
      <c r="EJ53" s="37"/>
      <c r="EK53" s="37"/>
      <c r="EL53" s="37"/>
      <c r="EM53" s="37"/>
      <c r="EN53" s="37"/>
      <c r="EO53" s="37"/>
      <c r="EP53" s="37"/>
      <c r="EQ53" s="37"/>
      <c r="ER53" s="37"/>
      <c r="ES53" s="37"/>
      <c r="ET53" s="37"/>
      <c r="EU53" s="37"/>
      <c r="EV53" s="37"/>
      <c r="EW53" s="37"/>
      <c r="EX53" s="37"/>
      <c r="EY53" s="37"/>
      <c r="EZ53" s="37"/>
      <c r="FA53" s="37"/>
      <c r="FB53" s="37"/>
      <c r="FC53" s="37"/>
      <c r="FD53" s="37"/>
      <c r="FE53" s="37"/>
      <c r="FF53" s="37"/>
      <c r="FG53" s="37"/>
      <c r="FH53" s="37"/>
      <c r="FI53" s="37"/>
      <c r="FJ53" s="37"/>
      <c r="FK53" s="37"/>
      <c r="FL53" s="37"/>
      <c r="FM53" s="37"/>
      <c r="FN53" s="37"/>
      <c r="FO53" s="37"/>
      <c r="FP53" s="37"/>
      <c r="FQ53" s="37"/>
      <c r="FR53" s="37"/>
      <c r="FS53" s="37"/>
      <c r="FT53" s="37"/>
      <c r="FU53" s="37"/>
      <c r="FV53" s="37"/>
      <c r="FW53" s="37"/>
      <c r="FX53" s="37"/>
      <c r="FY53" s="37"/>
      <c r="FZ53" s="37"/>
      <c r="GA53" s="37"/>
      <c r="GB53" s="37"/>
      <c r="GC53" s="37"/>
      <c r="GD53" s="37"/>
      <c r="GE53" s="37"/>
      <c r="GF53" s="37"/>
      <c r="GG53" s="37"/>
      <c r="GH53" s="37"/>
      <c r="GI53" s="37"/>
      <c r="GJ53" s="37"/>
      <c r="GK53" s="37"/>
      <c r="GL53" s="37"/>
      <c r="GM53" s="37"/>
      <c r="GN53" s="37"/>
      <c r="GO53" s="37"/>
      <c r="GP53" s="37"/>
      <c r="GQ53" s="37"/>
      <c r="GR53" s="37"/>
      <c r="GS53" s="37"/>
      <c r="GT53" s="37"/>
      <c r="GU53" s="37">
        <v>16.899999999999999</v>
      </c>
      <c r="GV53" s="37">
        <v>18.399999999999999</v>
      </c>
      <c r="GW53" s="37">
        <v>46.2</v>
      </c>
      <c r="GX53" s="37">
        <v>0.9</v>
      </c>
      <c r="GY53" s="37">
        <v>14.1</v>
      </c>
      <c r="GZ53" s="37">
        <v>8.6</v>
      </c>
      <c r="HA53" s="37">
        <v>1.2</v>
      </c>
      <c r="HB53" s="37">
        <v>0.6</v>
      </c>
      <c r="HC53">
        <v>0</v>
      </c>
      <c r="HD53">
        <v>0</v>
      </c>
    </row>
    <row r="54" spans="1:212" x14ac:dyDescent="0.3">
      <c r="A54" s="37" t="s">
        <v>1812</v>
      </c>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c r="BT54" s="37"/>
      <c r="BU54" s="37"/>
      <c r="BV54" s="37"/>
      <c r="BW54" s="37"/>
      <c r="BX54" s="37"/>
      <c r="BY54" s="37"/>
      <c r="BZ54" s="37"/>
      <c r="CA54" s="37"/>
      <c r="CB54" s="37"/>
      <c r="CC54" s="37"/>
      <c r="CD54" s="37"/>
      <c r="CE54" s="37"/>
      <c r="CF54" s="37"/>
      <c r="CG54" s="37"/>
      <c r="CH54" s="37"/>
      <c r="CI54" s="37"/>
      <c r="CJ54" s="37"/>
      <c r="CK54" s="37"/>
      <c r="CL54" s="37"/>
      <c r="CM54" s="37"/>
      <c r="CN54" s="37"/>
      <c r="CO54" s="37"/>
      <c r="CP54" s="37"/>
      <c r="CQ54" s="37"/>
      <c r="CR54" s="37"/>
      <c r="CS54" s="37"/>
      <c r="CT54" s="37"/>
      <c r="CU54" s="37"/>
      <c r="CV54" s="37"/>
      <c r="CW54" s="37"/>
      <c r="CX54" s="37"/>
      <c r="CY54" s="37"/>
      <c r="CZ54" s="37"/>
      <c r="DA54" s="37"/>
      <c r="DB54" s="37"/>
      <c r="DC54" s="37"/>
      <c r="DD54" s="37"/>
      <c r="DE54" s="37"/>
      <c r="DF54" s="37"/>
      <c r="DG54" s="37"/>
      <c r="DH54" s="37"/>
      <c r="DI54" s="37"/>
      <c r="DJ54" s="37"/>
      <c r="DK54" s="37"/>
      <c r="DL54" s="37"/>
      <c r="DM54" s="37"/>
      <c r="DN54" s="37"/>
      <c r="DO54" s="37"/>
      <c r="DP54" s="37"/>
      <c r="DQ54" s="37"/>
      <c r="DR54" s="37"/>
      <c r="DS54" s="37"/>
      <c r="DT54" s="37"/>
      <c r="DU54" s="37"/>
      <c r="DV54" s="37"/>
      <c r="DW54" s="37"/>
      <c r="DX54" s="37"/>
      <c r="DY54" s="37"/>
      <c r="DZ54" s="37"/>
      <c r="EA54" s="37"/>
      <c r="EB54" s="37"/>
      <c r="EC54" s="37"/>
      <c r="ED54" s="37"/>
      <c r="EE54" s="37"/>
      <c r="EF54" s="37"/>
      <c r="EG54" s="37"/>
      <c r="EH54" s="37"/>
      <c r="EI54" s="37"/>
      <c r="EJ54" s="37"/>
      <c r="EK54" s="37"/>
      <c r="EL54" s="37"/>
      <c r="EM54" s="37"/>
      <c r="EN54" s="37"/>
      <c r="EO54" s="37"/>
      <c r="EP54" s="37"/>
      <c r="EQ54" s="37"/>
      <c r="ER54" s="37"/>
      <c r="ES54" s="37"/>
      <c r="ET54" s="37"/>
      <c r="EU54" s="37"/>
      <c r="EV54" s="37"/>
      <c r="EW54" s="37"/>
      <c r="EX54" s="37"/>
      <c r="EY54" s="37"/>
      <c r="EZ54" s="37"/>
      <c r="FA54" s="37"/>
      <c r="FB54" s="37"/>
      <c r="FC54" s="37"/>
      <c r="FD54" s="37"/>
      <c r="FE54" s="37"/>
      <c r="FF54" s="37"/>
      <c r="FG54" s="37"/>
      <c r="FH54" s="37"/>
      <c r="FI54" s="37"/>
      <c r="FJ54" s="37"/>
      <c r="FK54" s="37"/>
      <c r="FL54" s="37"/>
      <c r="FM54" s="37"/>
      <c r="FN54" s="37"/>
      <c r="FO54" s="37"/>
      <c r="FP54" s="37"/>
      <c r="FQ54" s="37"/>
      <c r="FR54" s="37"/>
      <c r="FS54" s="37"/>
      <c r="FT54" s="37"/>
      <c r="FU54" s="37"/>
      <c r="FV54" s="37"/>
      <c r="FW54" s="37"/>
      <c r="FX54" s="37"/>
      <c r="FY54" s="37"/>
      <c r="FZ54" s="37"/>
      <c r="GA54" s="37"/>
      <c r="GB54" s="37"/>
      <c r="GC54" s="37"/>
      <c r="GD54" s="37"/>
      <c r="GE54" s="37"/>
      <c r="GF54" s="37"/>
      <c r="GG54" s="37"/>
      <c r="GH54" s="37"/>
      <c r="GI54" s="37"/>
      <c r="GJ54" s="37"/>
      <c r="GK54" s="37"/>
      <c r="GL54" s="37"/>
      <c r="GM54" s="37"/>
      <c r="GN54" s="37"/>
      <c r="GO54" s="37"/>
      <c r="GP54" s="37"/>
      <c r="GQ54" s="37"/>
      <c r="GR54" s="37"/>
      <c r="GS54" s="37"/>
      <c r="GT54" s="37"/>
      <c r="GU54" s="37">
        <v>96.6</v>
      </c>
      <c r="GV54" s="37">
        <v>35.1</v>
      </c>
      <c r="GW54" s="37">
        <v>20.7</v>
      </c>
      <c r="GX54" s="37">
        <v>15.4</v>
      </c>
      <c r="GY54" s="37">
        <v>9.6</v>
      </c>
      <c r="GZ54" s="37">
        <v>13.5</v>
      </c>
      <c r="HA54" s="37">
        <v>23.2</v>
      </c>
      <c r="HB54" s="37">
        <v>19.3</v>
      </c>
      <c r="HC54">
        <v>14.4</v>
      </c>
      <c r="HD54">
        <v>5.9</v>
      </c>
    </row>
    <row r="55" spans="1:212" x14ac:dyDescent="0.3">
      <c r="A55" s="37" t="s">
        <v>1813</v>
      </c>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c r="BU55" s="37"/>
      <c r="BV55" s="37"/>
      <c r="BW55" s="37"/>
      <c r="BX55" s="37"/>
      <c r="BY55" s="37"/>
      <c r="BZ55" s="37"/>
      <c r="CA55" s="37"/>
      <c r="CB55" s="37"/>
      <c r="CC55" s="37"/>
      <c r="CD55" s="37"/>
      <c r="CE55" s="37"/>
      <c r="CF55" s="37"/>
      <c r="CG55" s="37"/>
      <c r="CH55" s="37"/>
      <c r="CI55" s="37"/>
      <c r="CJ55" s="37"/>
      <c r="CK55" s="37"/>
      <c r="CL55" s="37"/>
      <c r="CM55" s="37"/>
      <c r="CN55" s="37"/>
      <c r="CO55" s="37"/>
      <c r="CP55" s="37"/>
      <c r="CQ55" s="37"/>
      <c r="CR55" s="37"/>
      <c r="CS55" s="37"/>
      <c r="CT55" s="37"/>
      <c r="CU55" s="37"/>
      <c r="CV55" s="37"/>
      <c r="CW55" s="37"/>
      <c r="CX55" s="37"/>
      <c r="CY55" s="37"/>
      <c r="CZ55" s="37"/>
      <c r="DA55" s="37"/>
      <c r="DB55" s="37"/>
      <c r="DC55" s="37"/>
      <c r="DD55" s="37"/>
      <c r="DE55" s="37"/>
      <c r="DF55" s="37"/>
      <c r="DG55" s="37"/>
      <c r="DH55" s="37"/>
      <c r="DI55" s="37"/>
      <c r="DJ55" s="37"/>
      <c r="DK55" s="37"/>
      <c r="DL55" s="37"/>
      <c r="DM55" s="37"/>
      <c r="DN55" s="37"/>
      <c r="DO55" s="37"/>
      <c r="DP55" s="37"/>
      <c r="DQ55" s="37"/>
      <c r="DR55" s="37"/>
      <c r="DS55" s="37"/>
      <c r="DT55" s="37"/>
      <c r="DU55" s="37"/>
      <c r="DV55" s="37"/>
      <c r="DW55" s="37"/>
      <c r="DX55" s="37"/>
      <c r="DY55" s="37"/>
      <c r="DZ55" s="37"/>
      <c r="EA55" s="37"/>
      <c r="EB55" s="37"/>
      <c r="EC55" s="37"/>
      <c r="ED55" s="37"/>
      <c r="EE55" s="37"/>
      <c r="EF55" s="37"/>
      <c r="EG55" s="37"/>
      <c r="EH55" s="37"/>
      <c r="EI55" s="37"/>
      <c r="EJ55" s="37"/>
      <c r="EK55" s="37"/>
      <c r="EL55" s="37"/>
      <c r="EM55" s="37"/>
      <c r="EN55" s="37"/>
      <c r="EO55" s="37"/>
      <c r="EP55" s="37"/>
      <c r="EQ55" s="37"/>
      <c r="ER55" s="37"/>
      <c r="ES55" s="37"/>
      <c r="ET55" s="37"/>
      <c r="EU55" s="37"/>
      <c r="EV55" s="37"/>
      <c r="EW55" s="37"/>
      <c r="EX55" s="37"/>
      <c r="EY55" s="37"/>
      <c r="EZ55" s="37"/>
      <c r="FA55" s="37"/>
      <c r="FB55" s="37"/>
      <c r="FC55" s="37"/>
      <c r="FD55" s="37"/>
      <c r="FE55" s="37"/>
      <c r="FF55" s="37"/>
      <c r="FG55" s="37"/>
      <c r="FH55" s="37"/>
      <c r="FI55" s="37"/>
      <c r="FJ55" s="37"/>
      <c r="FK55" s="37"/>
      <c r="FL55" s="37"/>
      <c r="FM55" s="37"/>
      <c r="FN55" s="37"/>
      <c r="FO55" s="37"/>
      <c r="FP55" s="37"/>
      <c r="FQ55" s="37"/>
      <c r="FR55" s="37"/>
      <c r="FS55" s="37"/>
      <c r="FT55" s="37"/>
      <c r="FU55" s="37"/>
      <c r="FV55" s="37"/>
      <c r="FW55" s="37"/>
      <c r="FX55" s="37"/>
      <c r="FY55" s="37"/>
      <c r="FZ55" s="37"/>
      <c r="GA55" s="37"/>
      <c r="GB55" s="37"/>
      <c r="GC55" s="37"/>
      <c r="GD55" s="37"/>
      <c r="GE55" s="37"/>
      <c r="GF55" s="37"/>
      <c r="GG55" s="37"/>
      <c r="GH55" s="37"/>
      <c r="GI55" s="37"/>
      <c r="GJ55" s="37"/>
      <c r="GK55" s="37"/>
      <c r="GL55" s="37"/>
      <c r="GM55" s="37"/>
      <c r="GN55" s="37"/>
      <c r="GO55" s="37"/>
      <c r="GP55" s="37"/>
      <c r="GQ55" s="37"/>
      <c r="GR55" s="37"/>
      <c r="GS55" s="37"/>
      <c r="GT55" s="37"/>
      <c r="GU55" s="37">
        <v>140</v>
      </c>
      <c r="GV55" s="37">
        <v>140</v>
      </c>
      <c r="GW55" s="37">
        <v>140</v>
      </c>
      <c r="GX55" s="37">
        <v>4.8</v>
      </c>
      <c r="GY55" s="37">
        <v>4.4000000000000004</v>
      </c>
      <c r="GZ55" s="37">
        <v>5.3</v>
      </c>
      <c r="HA55" s="37">
        <v>4.7</v>
      </c>
      <c r="HB55" s="37">
        <v>0</v>
      </c>
      <c r="HC55">
        <v>0</v>
      </c>
      <c r="HD55">
        <v>0</v>
      </c>
    </row>
    <row r="56" spans="1:212" x14ac:dyDescent="0.3">
      <c r="A56" s="37" t="s">
        <v>1814</v>
      </c>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c r="CD56" s="37"/>
      <c r="CE56" s="37"/>
      <c r="CF56" s="37"/>
      <c r="CG56" s="37"/>
      <c r="CH56" s="37"/>
      <c r="CI56" s="37"/>
      <c r="CJ56" s="37"/>
      <c r="CK56" s="37"/>
      <c r="CL56" s="37"/>
      <c r="CM56" s="37"/>
      <c r="CN56" s="37"/>
      <c r="CO56" s="37"/>
      <c r="CP56" s="37"/>
      <c r="CQ56" s="37"/>
      <c r="CR56" s="37"/>
      <c r="CS56" s="37"/>
      <c r="CT56" s="37"/>
      <c r="CU56" s="37"/>
      <c r="CV56" s="37"/>
      <c r="CW56" s="37"/>
      <c r="CX56" s="37"/>
      <c r="CY56" s="37"/>
      <c r="CZ56" s="37"/>
      <c r="DA56" s="37"/>
      <c r="DB56" s="37"/>
      <c r="DC56" s="37"/>
      <c r="DD56" s="37"/>
      <c r="DE56" s="37"/>
      <c r="DF56" s="37"/>
      <c r="DG56" s="37"/>
      <c r="DH56" s="37"/>
      <c r="DI56" s="37"/>
      <c r="DJ56" s="37"/>
      <c r="DK56" s="37"/>
      <c r="DL56" s="37"/>
      <c r="DM56" s="37"/>
      <c r="DN56" s="37"/>
      <c r="DO56" s="37"/>
      <c r="DP56" s="37"/>
      <c r="DQ56" s="37"/>
      <c r="DR56" s="37"/>
      <c r="DS56" s="37"/>
      <c r="DT56" s="37"/>
      <c r="DU56" s="37"/>
      <c r="DV56" s="37"/>
      <c r="DW56" s="37"/>
      <c r="DX56" s="37"/>
      <c r="DY56" s="37"/>
      <c r="DZ56" s="37"/>
      <c r="EA56" s="37"/>
      <c r="EB56" s="37"/>
      <c r="EC56" s="37"/>
      <c r="ED56" s="37"/>
      <c r="EE56" s="37"/>
      <c r="EF56" s="37"/>
      <c r="EG56" s="37"/>
      <c r="EH56" s="37"/>
      <c r="EI56" s="37"/>
      <c r="EJ56" s="37"/>
      <c r="EK56" s="37"/>
      <c r="EL56" s="37"/>
      <c r="EM56" s="37"/>
      <c r="EN56" s="37"/>
      <c r="EO56" s="37"/>
      <c r="EP56" s="37"/>
      <c r="EQ56" s="37"/>
      <c r="ER56" s="37"/>
      <c r="ES56" s="37"/>
      <c r="ET56" s="37"/>
      <c r="EU56" s="37"/>
      <c r="EV56" s="37"/>
      <c r="EW56" s="37"/>
      <c r="EX56" s="37"/>
      <c r="EY56" s="37"/>
      <c r="EZ56" s="37"/>
      <c r="FA56" s="37"/>
      <c r="FB56" s="37"/>
      <c r="FC56" s="37"/>
      <c r="FD56" s="37"/>
      <c r="FE56" s="37"/>
      <c r="FF56" s="37"/>
      <c r="FG56" s="37"/>
      <c r="FH56" s="37"/>
      <c r="FI56" s="37"/>
      <c r="FJ56" s="37"/>
      <c r="FK56" s="37"/>
      <c r="FL56" s="37"/>
      <c r="FM56" s="37"/>
      <c r="FN56" s="37"/>
      <c r="FO56" s="37"/>
      <c r="FP56" s="37"/>
      <c r="FQ56" s="37"/>
      <c r="FR56" s="37"/>
      <c r="FS56" s="37"/>
      <c r="FT56" s="37"/>
      <c r="FU56" s="37"/>
      <c r="FV56" s="37"/>
      <c r="FW56" s="37"/>
      <c r="FX56" s="37"/>
      <c r="FY56" s="37"/>
      <c r="FZ56" s="37"/>
      <c r="GA56" s="37"/>
      <c r="GB56" s="37"/>
      <c r="GC56" s="37"/>
      <c r="GD56" s="37"/>
      <c r="GE56" s="37"/>
      <c r="GF56" s="37"/>
      <c r="GG56" s="37"/>
      <c r="GH56" s="37"/>
      <c r="GI56" s="37"/>
      <c r="GJ56" s="37"/>
      <c r="GK56" s="37"/>
      <c r="GL56" s="37"/>
      <c r="GM56" s="37"/>
      <c r="GN56" s="37"/>
      <c r="GO56" s="37"/>
      <c r="GP56" s="37"/>
      <c r="GQ56" s="37"/>
      <c r="GR56" s="37"/>
      <c r="GS56" s="37"/>
      <c r="GT56" s="37"/>
      <c r="GU56" s="37">
        <v>597.9</v>
      </c>
      <c r="GV56" s="37">
        <v>0</v>
      </c>
      <c r="GW56" s="37">
        <v>0</v>
      </c>
      <c r="GX56" s="37">
        <v>0</v>
      </c>
      <c r="GY56" s="37">
        <v>785.9</v>
      </c>
      <c r="GZ56" s="37">
        <v>187.9</v>
      </c>
      <c r="HA56" s="37">
        <v>9.1999999999999993</v>
      </c>
      <c r="HB56" s="37">
        <v>0.6</v>
      </c>
      <c r="HC56">
        <v>0</v>
      </c>
      <c r="HD56">
        <v>0</v>
      </c>
    </row>
    <row r="57" spans="1:212" x14ac:dyDescent="0.3">
      <c r="A57" s="37" t="s">
        <v>1815</v>
      </c>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c r="CD57" s="37"/>
      <c r="CE57" s="37"/>
      <c r="CF57" s="37"/>
      <c r="CG57" s="37"/>
      <c r="CH57" s="37"/>
      <c r="CI57" s="37"/>
      <c r="CJ57" s="37"/>
      <c r="CK57" s="37"/>
      <c r="CL57" s="37"/>
      <c r="CM57" s="37"/>
      <c r="CN57" s="37"/>
      <c r="CO57" s="37"/>
      <c r="CP57" s="37"/>
      <c r="CQ57" s="37"/>
      <c r="CR57" s="37"/>
      <c r="CS57" s="37"/>
      <c r="CT57" s="37"/>
      <c r="CU57" s="37"/>
      <c r="CV57" s="37"/>
      <c r="CW57" s="37"/>
      <c r="CX57" s="37"/>
      <c r="CY57" s="37"/>
      <c r="CZ57" s="37"/>
      <c r="DA57" s="37"/>
      <c r="DB57" s="37"/>
      <c r="DC57" s="37"/>
      <c r="DD57" s="37"/>
      <c r="DE57" s="37"/>
      <c r="DF57" s="37"/>
      <c r="DG57" s="37"/>
      <c r="DH57" s="37"/>
      <c r="DI57" s="37"/>
      <c r="DJ57" s="37"/>
      <c r="DK57" s="37"/>
      <c r="DL57" s="37"/>
      <c r="DM57" s="37"/>
      <c r="DN57" s="37"/>
      <c r="DO57" s="37"/>
      <c r="DP57" s="37"/>
      <c r="DQ57" s="37"/>
      <c r="DR57" s="37"/>
      <c r="DS57" s="37"/>
      <c r="DT57" s="37"/>
      <c r="DU57" s="37"/>
      <c r="DV57" s="37"/>
      <c r="DW57" s="37"/>
      <c r="DX57" s="37"/>
      <c r="DY57" s="37"/>
      <c r="DZ57" s="37"/>
      <c r="EA57" s="37"/>
      <c r="EB57" s="37"/>
      <c r="EC57" s="37"/>
      <c r="ED57" s="37"/>
      <c r="EE57" s="37"/>
      <c r="EF57" s="37"/>
      <c r="EG57" s="37"/>
      <c r="EH57" s="37"/>
      <c r="EI57" s="37"/>
      <c r="EJ57" s="37"/>
      <c r="EK57" s="37"/>
      <c r="EL57" s="37"/>
      <c r="EM57" s="37"/>
      <c r="EN57" s="37"/>
      <c r="EO57" s="37"/>
      <c r="EP57" s="37"/>
      <c r="EQ57" s="37"/>
      <c r="ER57" s="37"/>
      <c r="ES57" s="37"/>
      <c r="ET57" s="37"/>
      <c r="EU57" s="37"/>
      <c r="EV57" s="37"/>
      <c r="EW57" s="37"/>
      <c r="EX57" s="37"/>
      <c r="EY57" s="37"/>
      <c r="EZ57" s="37"/>
      <c r="FA57" s="37"/>
      <c r="FB57" s="37"/>
      <c r="FC57" s="37"/>
      <c r="FD57" s="37"/>
      <c r="FE57" s="37"/>
      <c r="FF57" s="37"/>
      <c r="FG57" s="37"/>
      <c r="FH57" s="37"/>
      <c r="FI57" s="37"/>
      <c r="FJ57" s="37"/>
      <c r="FK57" s="37"/>
      <c r="FL57" s="37"/>
      <c r="FM57" s="37"/>
      <c r="FN57" s="37"/>
      <c r="FO57" s="37"/>
      <c r="FP57" s="37"/>
      <c r="FQ57" s="37"/>
      <c r="FR57" s="37"/>
      <c r="FS57" s="37"/>
      <c r="FT57" s="37"/>
      <c r="FU57" s="37"/>
      <c r="FV57" s="37"/>
      <c r="FW57" s="37"/>
      <c r="FX57" s="37"/>
      <c r="FY57" s="37"/>
      <c r="FZ57" s="37"/>
      <c r="GA57" s="37"/>
      <c r="GB57" s="37"/>
      <c r="GC57" s="37"/>
      <c r="GD57" s="37"/>
      <c r="GE57" s="37"/>
      <c r="GF57" s="37"/>
      <c r="GG57" s="37"/>
      <c r="GH57" s="37"/>
      <c r="GI57" s="37"/>
      <c r="GJ57" s="37"/>
      <c r="GK57" s="37"/>
      <c r="GL57" s="37"/>
      <c r="GM57" s="37"/>
      <c r="GN57" s="37"/>
      <c r="GO57" s="37"/>
      <c r="GP57" s="37"/>
      <c r="GQ57" s="37"/>
      <c r="GR57" s="37"/>
      <c r="GS57" s="37"/>
      <c r="GT57" s="37"/>
      <c r="GU57" s="37">
        <v>28.4</v>
      </c>
      <c r="GV57" s="37">
        <v>15.8</v>
      </c>
      <c r="GW57" s="37">
        <v>15.2</v>
      </c>
      <c r="GX57" s="37">
        <v>28.9</v>
      </c>
      <c r="GY57" s="37">
        <v>67.599999999999994</v>
      </c>
      <c r="GZ57" s="37">
        <v>80.7</v>
      </c>
      <c r="HA57" s="37">
        <v>87.2</v>
      </c>
      <c r="HB57" s="37">
        <v>72.400000000000006</v>
      </c>
      <c r="HC57">
        <v>85.9</v>
      </c>
      <c r="HD57">
        <v>68.3</v>
      </c>
    </row>
    <row r="58" spans="1:212" x14ac:dyDescent="0.3">
      <c r="A58" s="37" t="s">
        <v>1816</v>
      </c>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c r="CD58" s="37"/>
      <c r="CE58" s="37"/>
      <c r="CF58" s="37"/>
      <c r="CG58" s="37"/>
      <c r="CH58" s="37"/>
      <c r="CI58" s="37"/>
      <c r="CJ58" s="37"/>
      <c r="CK58" s="37"/>
      <c r="CL58" s="37"/>
      <c r="CM58" s="37"/>
      <c r="CN58" s="37"/>
      <c r="CO58" s="37"/>
      <c r="CP58" s="37"/>
      <c r="CQ58" s="37"/>
      <c r="CR58" s="37"/>
      <c r="CS58" s="37"/>
      <c r="CT58" s="37"/>
      <c r="CU58" s="37"/>
      <c r="CV58" s="37"/>
      <c r="CW58" s="37"/>
      <c r="CX58" s="37"/>
      <c r="CY58" s="37"/>
      <c r="CZ58" s="37"/>
      <c r="DA58" s="37"/>
      <c r="DB58" s="37"/>
      <c r="DC58" s="37"/>
      <c r="DD58" s="37"/>
      <c r="DE58" s="37"/>
      <c r="DF58" s="37"/>
      <c r="DG58" s="37"/>
      <c r="DH58" s="37"/>
      <c r="DI58" s="37"/>
      <c r="DJ58" s="37"/>
      <c r="DK58" s="37"/>
      <c r="DL58" s="37"/>
      <c r="DM58" s="37"/>
      <c r="DN58" s="37"/>
      <c r="DO58" s="37"/>
      <c r="DP58" s="37"/>
      <c r="DQ58" s="37"/>
      <c r="DR58" s="37"/>
      <c r="DS58" s="37"/>
      <c r="DT58" s="37"/>
      <c r="DU58" s="37"/>
      <c r="DV58" s="37"/>
      <c r="DW58" s="37"/>
      <c r="DX58" s="37"/>
      <c r="DY58" s="37"/>
      <c r="DZ58" s="37"/>
      <c r="EA58" s="37"/>
      <c r="EB58" s="37"/>
      <c r="EC58" s="37"/>
      <c r="ED58" s="37"/>
      <c r="EE58" s="37"/>
      <c r="EF58" s="37"/>
      <c r="EG58" s="37"/>
      <c r="EH58" s="37"/>
      <c r="EI58" s="37"/>
      <c r="EJ58" s="37"/>
      <c r="EK58" s="37"/>
      <c r="EL58" s="37"/>
      <c r="EM58" s="37"/>
      <c r="EN58" s="37"/>
      <c r="EO58" s="37"/>
      <c r="EP58" s="37"/>
      <c r="EQ58" s="37"/>
      <c r="ER58" s="37"/>
      <c r="ES58" s="37"/>
      <c r="ET58" s="37"/>
      <c r="EU58" s="37"/>
      <c r="EV58" s="37"/>
      <c r="EW58" s="37"/>
      <c r="EX58" s="37"/>
      <c r="EY58" s="37"/>
      <c r="EZ58" s="37"/>
      <c r="FA58" s="37"/>
      <c r="FB58" s="37"/>
      <c r="FC58" s="37"/>
      <c r="FD58" s="37"/>
      <c r="FE58" s="37"/>
      <c r="FF58" s="37"/>
      <c r="FG58" s="37"/>
      <c r="FH58" s="37"/>
      <c r="FI58" s="37"/>
      <c r="FJ58" s="37"/>
      <c r="FK58" s="37"/>
      <c r="FL58" s="37"/>
      <c r="FM58" s="37"/>
      <c r="FN58" s="37"/>
      <c r="FO58" s="37"/>
      <c r="FP58" s="37"/>
      <c r="FQ58" s="37"/>
      <c r="FR58" s="37"/>
      <c r="FS58" s="37"/>
      <c r="FT58" s="37"/>
      <c r="FU58" s="37"/>
      <c r="FV58" s="37"/>
      <c r="FW58" s="37"/>
      <c r="FX58" s="37"/>
      <c r="FY58" s="37"/>
      <c r="FZ58" s="37"/>
      <c r="GA58" s="37"/>
      <c r="GB58" s="37"/>
      <c r="GC58" s="37"/>
      <c r="GD58" s="37"/>
      <c r="GE58" s="37"/>
      <c r="GF58" s="37"/>
      <c r="GG58" s="37"/>
      <c r="GH58" s="37"/>
      <c r="GI58" s="37"/>
      <c r="GJ58" s="37"/>
      <c r="GK58" s="37"/>
      <c r="GL58" s="37"/>
      <c r="GM58" s="37"/>
      <c r="GN58" s="37"/>
      <c r="GO58" s="37"/>
      <c r="GP58" s="37"/>
      <c r="GQ58" s="37"/>
      <c r="GR58" s="37"/>
      <c r="GS58" s="37"/>
      <c r="GT58" s="37"/>
      <c r="GU58" s="37">
        <v>64.400000000000006</v>
      </c>
      <c r="GV58" s="37">
        <v>23.4</v>
      </c>
      <c r="GW58" s="37">
        <v>13.8</v>
      </c>
      <c r="GX58" s="37">
        <v>12</v>
      </c>
      <c r="GY58" s="37">
        <v>7.5</v>
      </c>
      <c r="GZ58" s="37">
        <v>10.5</v>
      </c>
      <c r="HA58" s="37">
        <v>18</v>
      </c>
      <c r="HB58" s="37">
        <v>15</v>
      </c>
      <c r="HC58">
        <v>11.2</v>
      </c>
      <c r="HD58">
        <v>7.5</v>
      </c>
    </row>
    <row r="59" spans="1:212" x14ac:dyDescent="0.3">
      <c r="A59" s="37" t="s">
        <v>1817</v>
      </c>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c r="CD59" s="37"/>
      <c r="CE59" s="37"/>
      <c r="CF59" s="37"/>
      <c r="CG59" s="37"/>
      <c r="CH59" s="37"/>
      <c r="CI59" s="37"/>
      <c r="CJ59" s="37"/>
      <c r="CK59" s="37"/>
      <c r="CL59" s="37"/>
      <c r="CM59" s="37"/>
      <c r="CN59" s="37"/>
      <c r="CO59" s="37"/>
      <c r="CP59" s="37"/>
      <c r="CQ59" s="37"/>
      <c r="CR59" s="37"/>
      <c r="CS59" s="37"/>
      <c r="CT59" s="37"/>
      <c r="CU59" s="37"/>
      <c r="CV59" s="37"/>
      <c r="CW59" s="37"/>
      <c r="CX59" s="37"/>
      <c r="CY59" s="37"/>
      <c r="CZ59" s="37"/>
      <c r="DA59" s="37"/>
      <c r="DB59" s="37"/>
      <c r="DC59" s="37"/>
      <c r="DD59" s="37"/>
      <c r="DE59" s="37"/>
      <c r="DF59" s="37"/>
      <c r="DG59" s="37"/>
      <c r="DH59" s="37"/>
      <c r="DI59" s="37"/>
      <c r="DJ59" s="37"/>
      <c r="DK59" s="37"/>
      <c r="DL59" s="37"/>
      <c r="DM59" s="37"/>
      <c r="DN59" s="37"/>
      <c r="DO59" s="37"/>
      <c r="DP59" s="37"/>
      <c r="DQ59" s="37"/>
      <c r="DR59" s="37"/>
      <c r="DS59" s="37"/>
      <c r="DT59" s="37"/>
      <c r="DU59" s="37"/>
      <c r="DV59" s="37"/>
      <c r="DW59" s="37"/>
      <c r="DX59" s="37"/>
      <c r="DY59" s="37"/>
      <c r="DZ59" s="37"/>
      <c r="EA59" s="37"/>
      <c r="EB59" s="37"/>
      <c r="EC59" s="37"/>
      <c r="ED59" s="37"/>
      <c r="EE59" s="37"/>
      <c r="EF59" s="37"/>
      <c r="EG59" s="37"/>
      <c r="EH59" s="37"/>
      <c r="EI59" s="37"/>
      <c r="EJ59" s="37"/>
      <c r="EK59" s="37"/>
      <c r="EL59" s="37"/>
      <c r="EM59" s="37"/>
      <c r="EN59" s="37"/>
      <c r="EO59" s="37"/>
      <c r="EP59" s="37"/>
      <c r="EQ59" s="37"/>
      <c r="ER59" s="37"/>
      <c r="ES59" s="37"/>
      <c r="ET59" s="37"/>
      <c r="EU59" s="37"/>
      <c r="EV59" s="37"/>
      <c r="EW59" s="37"/>
      <c r="EX59" s="37"/>
      <c r="EY59" s="37"/>
      <c r="EZ59" s="37"/>
      <c r="FA59" s="37"/>
      <c r="FB59" s="37"/>
      <c r="FC59" s="37"/>
      <c r="FD59" s="37"/>
      <c r="FE59" s="37"/>
      <c r="FF59" s="37"/>
      <c r="FG59" s="37"/>
      <c r="FH59" s="37"/>
      <c r="FI59" s="37"/>
      <c r="FJ59" s="37"/>
      <c r="FK59" s="37"/>
      <c r="FL59" s="37"/>
      <c r="FM59" s="37"/>
      <c r="FN59" s="37"/>
      <c r="FO59" s="37"/>
      <c r="FP59" s="37"/>
      <c r="FQ59" s="37"/>
      <c r="FR59" s="37"/>
      <c r="FS59" s="37"/>
      <c r="FT59" s="37"/>
      <c r="FU59" s="37"/>
      <c r="FV59" s="37"/>
      <c r="FW59" s="37"/>
      <c r="FX59" s="37"/>
      <c r="FY59" s="37"/>
      <c r="FZ59" s="37"/>
      <c r="GA59" s="37"/>
      <c r="GB59" s="37"/>
      <c r="GC59" s="37"/>
      <c r="GD59" s="37"/>
      <c r="GE59" s="37"/>
      <c r="GF59" s="37"/>
      <c r="GG59" s="37"/>
      <c r="GH59" s="37"/>
      <c r="GI59" s="37"/>
      <c r="GJ59" s="37"/>
      <c r="GK59" s="37"/>
      <c r="GL59" s="37"/>
      <c r="GM59" s="37"/>
      <c r="GN59" s="37"/>
      <c r="GO59" s="37"/>
      <c r="GP59" s="37"/>
      <c r="GQ59" s="37"/>
      <c r="GR59" s="37"/>
      <c r="GS59" s="37"/>
      <c r="GT59" s="37"/>
      <c r="GU59" s="37">
        <v>6.3</v>
      </c>
      <c r="GV59" s="37">
        <v>26.7</v>
      </c>
      <c r="GW59" s="37">
        <v>82.1</v>
      </c>
      <c r="GX59" s="37">
        <v>94.7</v>
      </c>
      <c r="GY59" s="37">
        <v>92.1</v>
      </c>
      <c r="GZ59" s="37">
        <v>51.6</v>
      </c>
      <c r="HA59" s="37">
        <v>2.8</v>
      </c>
      <c r="HB59" s="37">
        <v>0.8</v>
      </c>
      <c r="HC59">
        <v>0.5</v>
      </c>
      <c r="HD59">
        <v>0.3</v>
      </c>
    </row>
    <row r="60" spans="1:212" x14ac:dyDescent="0.3">
      <c r="A60" s="37" t="s">
        <v>1818</v>
      </c>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c r="BT60" s="37"/>
      <c r="BU60" s="37"/>
      <c r="BV60" s="37"/>
      <c r="BW60" s="37"/>
      <c r="BX60" s="37"/>
      <c r="BY60" s="37"/>
      <c r="BZ60" s="37"/>
      <c r="CA60" s="37"/>
      <c r="CB60" s="37"/>
      <c r="CC60" s="37"/>
      <c r="CD60" s="37"/>
      <c r="CE60" s="37"/>
      <c r="CF60" s="37"/>
      <c r="CG60" s="37"/>
      <c r="CH60" s="37"/>
      <c r="CI60" s="37"/>
      <c r="CJ60" s="37"/>
      <c r="CK60" s="37"/>
      <c r="CL60" s="37"/>
      <c r="CM60" s="37"/>
      <c r="CN60" s="37"/>
      <c r="CO60" s="37"/>
      <c r="CP60" s="37"/>
      <c r="CQ60" s="37"/>
      <c r="CR60" s="37"/>
      <c r="CS60" s="37"/>
      <c r="CT60" s="37"/>
      <c r="CU60" s="37"/>
      <c r="CV60" s="37"/>
      <c r="CW60" s="37"/>
      <c r="CX60" s="37"/>
      <c r="CY60" s="37"/>
      <c r="CZ60" s="37"/>
      <c r="DA60" s="37"/>
      <c r="DB60" s="37"/>
      <c r="DC60" s="37"/>
      <c r="DD60" s="37"/>
      <c r="DE60" s="37"/>
      <c r="DF60" s="37"/>
      <c r="DG60" s="37"/>
      <c r="DH60" s="37"/>
      <c r="DI60" s="37"/>
      <c r="DJ60" s="37"/>
      <c r="DK60" s="37"/>
      <c r="DL60" s="37"/>
      <c r="DM60" s="37"/>
      <c r="DN60" s="37"/>
      <c r="DO60" s="37"/>
      <c r="DP60" s="37"/>
      <c r="DQ60" s="37"/>
      <c r="DR60" s="37"/>
      <c r="DS60" s="37"/>
      <c r="DT60" s="37"/>
      <c r="DU60" s="37"/>
      <c r="DV60" s="37"/>
      <c r="DW60" s="37"/>
      <c r="DX60" s="37"/>
      <c r="DY60" s="37"/>
      <c r="DZ60" s="37"/>
      <c r="EA60" s="37"/>
      <c r="EB60" s="37"/>
      <c r="EC60" s="37"/>
      <c r="ED60" s="37"/>
      <c r="EE60" s="37"/>
      <c r="EF60" s="37"/>
      <c r="EG60" s="37"/>
      <c r="EH60" s="37"/>
      <c r="EI60" s="37"/>
      <c r="EJ60" s="37"/>
      <c r="EK60" s="37"/>
      <c r="EL60" s="37"/>
      <c r="EM60" s="37"/>
      <c r="EN60" s="37"/>
      <c r="EO60" s="37"/>
      <c r="EP60" s="37"/>
      <c r="EQ60" s="37"/>
      <c r="ER60" s="37"/>
      <c r="ES60" s="37"/>
      <c r="ET60" s="37"/>
      <c r="EU60" s="37"/>
      <c r="EV60" s="37"/>
      <c r="EW60" s="37"/>
      <c r="EX60" s="37"/>
      <c r="EY60" s="37"/>
      <c r="EZ60" s="37"/>
      <c r="FA60" s="37"/>
      <c r="FB60" s="37"/>
      <c r="FC60" s="37"/>
      <c r="FD60" s="37"/>
      <c r="FE60" s="37"/>
      <c r="FF60" s="37"/>
      <c r="FG60" s="37"/>
      <c r="FH60" s="37"/>
      <c r="FI60" s="37"/>
      <c r="FJ60" s="37"/>
      <c r="FK60" s="37"/>
      <c r="FL60" s="37"/>
      <c r="FM60" s="37"/>
      <c r="FN60" s="37"/>
      <c r="FO60" s="37"/>
      <c r="FP60" s="37"/>
      <c r="FQ60" s="37"/>
      <c r="FR60" s="37"/>
      <c r="FS60" s="37"/>
      <c r="FT60" s="37"/>
      <c r="FU60" s="37"/>
      <c r="FV60" s="37"/>
      <c r="FW60" s="37"/>
      <c r="FX60" s="37"/>
      <c r="FY60" s="37"/>
      <c r="FZ60" s="37"/>
      <c r="GA60" s="37"/>
      <c r="GB60" s="37"/>
      <c r="GC60" s="37"/>
      <c r="GD60" s="37"/>
      <c r="GE60" s="37"/>
      <c r="GF60" s="37"/>
      <c r="GG60" s="37"/>
      <c r="GH60" s="37"/>
      <c r="GI60" s="37"/>
      <c r="GJ60" s="37"/>
      <c r="GK60" s="37"/>
      <c r="GL60" s="37"/>
      <c r="GM60" s="37"/>
      <c r="GN60" s="37"/>
      <c r="GO60" s="37"/>
      <c r="GP60" s="37"/>
      <c r="GQ60" s="37"/>
      <c r="GR60" s="37"/>
      <c r="GS60" s="37"/>
      <c r="GT60" s="37"/>
      <c r="GU60" s="37">
        <v>74.400000000000006</v>
      </c>
      <c r="GV60" s="37">
        <v>138.30000000000001</v>
      </c>
      <c r="GW60" s="37">
        <v>106.8</v>
      </c>
      <c r="GX60" s="37">
        <v>89.2</v>
      </c>
      <c r="GY60" s="37">
        <v>72.3</v>
      </c>
      <c r="GZ60" s="37">
        <v>43.5</v>
      </c>
      <c r="HA60" s="37">
        <v>2.1</v>
      </c>
      <c r="HB60" s="37">
        <v>0.8</v>
      </c>
      <c r="HC60">
        <v>0.4</v>
      </c>
      <c r="HD60">
        <v>0.2</v>
      </c>
    </row>
    <row r="61" spans="1:212" x14ac:dyDescent="0.3">
      <c r="A61" s="37" t="s">
        <v>1819</v>
      </c>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c r="BZ61" s="37"/>
      <c r="CA61" s="37"/>
      <c r="CB61" s="37"/>
      <c r="CC61" s="37"/>
      <c r="CD61" s="37"/>
      <c r="CE61" s="37"/>
      <c r="CF61" s="37"/>
      <c r="CG61" s="37"/>
      <c r="CH61" s="37"/>
      <c r="CI61" s="37"/>
      <c r="CJ61" s="37"/>
      <c r="CK61" s="37"/>
      <c r="CL61" s="37"/>
      <c r="CM61" s="37"/>
      <c r="CN61" s="37"/>
      <c r="CO61" s="37"/>
      <c r="CP61" s="37"/>
      <c r="CQ61" s="37"/>
      <c r="CR61" s="37"/>
      <c r="CS61" s="37"/>
      <c r="CT61" s="37"/>
      <c r="CU61" s="37"/>
      <c r="CV61" s="37"/>
      <c r="CW61" s="37"/>
      <c r="CX61" s="37"/>
      <c r="CY61" s="37"/>
      <c r="CZ61" s="37"/>
      <c r="DA61" s="37"/>
      <c r="DB61" s="37"/>
      <c r="DC61" s="37"/>
      <c r="DD61" s="37"/>
      <c r="DE61" s="37"/>
      <c r="DF61" s="37"/>
      <c r="DG61" s="37"/>
      <c r="DH61" s="37"/>
      <c r="DI61" s="37"/>
      <c r="DJ61" s="37"/>
      <c r="DK61" s="37"/>
      <c r="DL61" s="37"/>
      <c r="DM61" s="37"/>
      <c r="DN61" s="37"/>
      <c r="DO61" s="37"/>
      <c r="DP61" s="37"/>
      <c r="DQ61" s="37"/>
      <c r="DR61" s="37"/>
      <c r="DS61" s="37"/>
      <c r="DT61" s="37"/>
      <c r="DU61" s="37"/>
      <c r="DV61" s="37"/>
      <c r="DW61" s="37"/>
      <c r="DX61" s="37"/>
      <c r="DY61" s="37"/>
      <c r="DZ61" s="37"/>
      <c r="EA61" s="37"/>
      <c r="EB61" s="37"/>
      <c r="EC61" s="37"/>
      <c r="ED61" s="37"/>
      <c r="EE61" s="37"/>
      <c r="EF61" s="37"/>
      <c r="EG61" s="37"/>
      <c r="EH61" s="37"/>
      <c r="EI61" s="37"/>
      <c r="EJ61" s="37"/>
      <c r="EK61" s="37"/>
      <c r="EL61" s="37"/>
      <c r="EM61" s="37"/>
      <c r="EN61" s="37"/>
      <c r="EO61" s="37"/>
      <c r="EP61" s="37"/>
      <c r="EQ61" s="37"/>
      <c r="ER61" s="37"/>
      <c r="ES61" s="37"/>
      <c r="ET61" s="37"/>
      <c r="EU61" s="37"/>
      <c r="EV61" s="37"/>
      <c r="EW61" s="37"/>
      <c r="EX61" s="37"/>
      <c r="EY61" s="37"/>
      <c r="EZ61" s="37"/>
      <c r="FA61" s="37"/>
      <c r="FB61" s="37"/>
      <c r="FC61" s="37"/>
      <c r="FD61" s="37"/>
      <c r="FE61" s="37"/>
      <c r="FF61" s="37"/>
      <c r="FG61" s="37"/>
      <c r="FH61" s="37"/>
      <c r="FI61" s="37"/>
      <c r="FJ61" s="37"/>
      <c r="FK61" s="37"/>
      <c r="FL61" s="37"/>
      <c r="FM61" s="37"/>
      <c r="FN61" s="37"/>
      <c r="FO61" s="37"/>
      <c r="FP61" s="37"/>
      <c r="FQ61" s="37"/>
      <c r="FR61" s="37"/>
      <c r="FS61" s="37"/>
      <c r="FT61" s="37"/>
      <c r="FU61" s="37"/>
      <c r="FV61" s="37"/>
      <c r="FW61" s="37"/>
      <c r="FX61" s="37"/>
      <c r="FY61" s="37"/>
      <c r="FZ61" s="37"/>
      <c r="GA61" s="37"/>
      <c r="GB61" s="37"/>
      <c r="GC61" s="37"/>
      <c r="GD61" s="37"/>
      <c r="GE61" s="37"/>
      <c r="GF61" s="37"/>
      <c r="GG61" s="37"/>
      <c r="GH61" s="37"/>
      <c r="GI61" s="37"/>
      <c r="GJ61" s="37"/>
      <c r="GK61" s="37"/>
      <c r="GL61" s="37"/>
      <c r="GM61" s="37"/>
      <c r="GN61" s="37"/>
      <c r="GO61" s="37"/>
      <c r="GP61" s="37"/>
      <c r="GQ61" s="37"/>
      <c r="GR61" s="37"/>
      <c r="GS61" s="37"/>
      <c r="GT61" s="37"/>
      <c r="GU61" s="37">
        <v>698.9</v>
      </c>
      <c r="GV61" s="37">
        <v>413.9</v>
      </c>
      <c r="GW61" s="37">
        <v>14.7</v>
      </c>
      <c r="GX61" s="37">
        <v>288.2</v>
      </c>
      <c r="GY61" s="37">
        <v>233.3</v>
      </c>
      <c r="GZ61" s="37">
        <v>110.5</v>
      </c>
      <c r="HA61" s="37">
        <v>0</v>
      </c>
      <c r="HB61" s="37">
        <v>0</v>
      </c>
      <c r="HC61">
        <v>0</v>
      </c>
      <c r="HD61">
        <v>0</v>
      </c>
    </row>
    <row r="62" spans="1:212" x14ac:dyDescent="0.3">
      <c r="A62" s="37" t="s">
        <v>1820</v>
      </c>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c r="BT62" s="37"/>
      <c r="BU62" s="37"/>
      <c r="BV62" s="37"/>
      <c r="BW62" s="37"/>
      <c r="BX62" s="37"/>
      <c r="BY62" s="37"/>
      <c r="BZ62" s="37"/>
      <c r="CA62" s="37"/>
      <c r="CB62" s="37"/>
      <c r="CC62" s="37"/>
      <c r="CD62" s="37"/>
      <c r="CE62" s="37"/>
      <c r="CF62" s="37"/>
      <c r="CG62" s="37"/>
      <c r="CH62" s="37"/>
      <c r="CI62" s="37"/>
      <c r="CJ62" s="37"/>
      <c r="CK62" s="37"/>
      <c r="CL62" s="37"/>
      <c r="CM62" s="37"/>
      <c r="CN62" s="37"/>
      <c r="CO62" s="37"/>
      <c r="CP62" s="37"/>
      <c r="CQ62" s="37"/>
      <c r="CR62" s="37"/>
      <c r="CS62" s="37"/>
      <c r="CT62" s="37"/>
      <c r="CU62" s="37"/>
      <c r="CV62" s="37"/>
      <c r="CW62" s="37"/>
      <c r="CX62" s="37"/>
      <c r="CY62" s="37"/>
      <c r="CZ62" s="37"/>
      <c r="DA62" s="37"/>
      <c r="DB62" s="37"/>
      <c r="DC62" s="37"/>
      <c r="DD62" s="37"/>
      <c r="DE62" s="37"/>
      <c r="DF62" s="37"/>
      <c r="DG62" s="37"/>
      <c r="DH62" s="37"/>
      <c r="DI62" s="37"/>
      <c r="DJ62" s="37"/>
      <c r="DK62" s="37"/>
      <c r="DL62" s="37"/>
      <c r="DM62" s="37"/>
      <c r="DN62" s="37"/>
      <c r="DO62" s="37"/>
      <c r="DP62" s="37"/>
      <c r="DQ62" s="37"/>
      <c r="DR62" s="37"/>
      <c r="DS62" s="37"/>
      <c r="DT62" s="37"/>
      <c r="DU62" s="37"/>
      <c r="DV62" s="37"/>
      <c r="DW62" s="37"/>
      <c r="DX62" s="37"/>
      <c r="DY62" s="37"/>
      <c r="DZ62" s="37"/>
      <c r="EA62" s="37"/>
      <c r="EB62" s="37"/>
      <c r="EC62" s="37"/>
      <c r="ED62" s="37"/>
      <c r="EE62" s="37"/>
      <c r="EF62" s="37"/>
      <c r="EG62" s="37"/>
      <c r="EH62" s="37"/>
      <c r="EI62" s="37"/>
      <c r="EJ62" s="37"/>
      <c r="EK62" s="37"/>
      <c r="EL62" s="37"/>
      <c r="EM62" s="37"/>
      <c r="EN62" s="37"/>
      <c r="EO62" s="37"/>
      <c r="EP62" s="37"/>
      <c r="EQ62" s="37"/>
      <c r="ER62" s="37"/>
      <c r="ES62" s="37"/>
      <c r="ET62" s="37"/>
      <c r="EU62" s="37"/>
      <c r="EV62" s="37"/>
      <c r="EW62" s="37"/>
      <c r="EX62" s="37"/>
      <c r="EY62" s="37"/>
      <c r="EZ62" s="37"/>
      <c r="FA62" s="37"/>
      <c r="FB62" s="37"/>
      <c r="FC62" s="37"/>
      <c r="FD62" s="37"/>
      <c r="FE62" s="37"/>
      <c r="FF62" s="37"/>
      <c r="FG62" s="37"/>
      <c r="FH62" s="37"/>
      <c r="FI62" s="37"/>
      <c r="FJ62" s="37"/>
      <c r="FK62" s="37"/>
      <c r="FL62" s="37"/>
      <c r="FM62" s="37"/>
      <c r="FN62" s="37"/>
      <c r="FO62" s="37"/>
      <c r="FP62" s="37"/>
      <c r="FQ62" s="37"/>
      <c r="FR62" s="37"/>
      <c r="FS62" s="37"/>
      <c r="FT62" s="37"/>
      <c r="FU62" s="37"/>
      <c r="FV62" s="37"/>
      <c r="FW62" s="37"/>
      <c r="FX62" s="37"/>
      <c r="FY62" s="37"/>
      <c r="FZ62" s="37"/>
      <c r="GA62" s="37"/>
      <c r="GB62" s="37"/>
      <c r="GC62" s="37"/>
      <c r="GD62" s="37"/>
      <c r="GE62" s="37"/>
      <c r="GF62" s="37"/>
      <c r="GG62" s="37"/>
      <c r="GH62" s="37"/>
      <c r="GI62" s="37"/>
      <c r="GJ62" s="37"/>
      <c r="GK62" s="37"/>
      <c r="GL62" s="37"/>
      <c r="GM62" s="37"/>
      <c r="GN62" s="37"/>
      <c r="GO62" s="37"/>
      <c r="GP62" s="37"/>
      <c r="GQ62" s="37"/>
      <c r="GR62" s="37"/>
      <c r="GS62" s="37"/>
      <c r="GT62" s="37"/>
      <c r="GU62" s="37">
        <v>779.6</v>
      </c>
      <c r="GV62" s="37">
        <v>582.4</v>
      </c>
      <c r="GW62" s="37">
        <v>216.6</v>
      </c>
      <c r="GX62" s="37">
        <v>497.6</v>
      </c>
      <c r="GY62" s="37">
        <v>401.5</v>
      </c>
      <c r="GZ62" s="37">
        <v>207.5</v>
      </c>
      <c r="HA62" s="37">
        <v>5.5</v>
      </c>
      <c r="HB62" s="37">
        <v>1.8</v>
      </c>
      <c r="HC62">
        <v>1</v>
      </c>
      <c r="HD62">
        <v>0.5</v>
      </c>
    </row>
    <row r="63" spans="1:212" x14ac:dyDescent="0.3">
      <c r="A63" s="37" t="s">
        <v>1821</v>
      </c>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c r="BI63" s="37"/>
      <c r="BJ63" s="37"/>
      <c r="BK63" s="37"/>
      <c r="BL63" s="37"/>
      <c r="BM63" s="37"/>
      <c r="BN63" s="37"/>
      <c r="BO63" s="37"/>
      <c r="BP63" s="37"/>
      <c r="BQ63" s="37"/>
      <c r="BR63" s="37"/>
      <c r="BS63" s="37"/>
      <c r="BT63" s="37"/>
      <c r="BU63" s="37"/>
      <c r="BV63" s="37"/>
      <c r="BW63" s="37"/>
      <c r="BX63" s="37"/>
      <c r="BY63" s="37"/>
      <c r="BZ63" s="37"/>
      <c r="CA63" s="37"/>
      <c r="CB63" s="37"/>
      <c r="CC63" s="37"/>
      <c r="CD63" s="37"/>
      <c r="CE63" s="37"/>
      <c r="CF63" s="37"/>
      <c r="CG63" s="37"/>
      <c r="CH63" s="37"/>
      <c r="CI63" s="37"/>
      <c r="CJ63" s="37"/>
      <c r="CK63" s="37"/>
      <c r="CL63" s="37"/>
      <c r="CM63" s="37"/>
      <c r="CN63" s="37"/>
      <c r="CO63" s="37"/>
      <c r="CP63" s="37"/>
      <c r="CQ63" s="37"/>
      <c r="CR63" s="37"/>
      <c r="CS63" s="37"/>
      <c r="CT63" s="37"/>
      <c r="CU63" s="37"/>
      <c r="CV63" s="37"/>
      <c r="CW63" s="37"/>
      <c r="CX63" s="37"/>
      <c r="CY63" s="37"/>
      <c r="CZ63" s="37"/>
      <c r="DA63" s="37"/>
      <c r="DB63" s="37"/>
      <c r="DC63" s="37"/>
      <c r="DD63" s="37"/>
      <c r="DE63" s="37"/>
      <c r="DF63" s="37"/>
      <c r="DG63" s="37"/>
      <c r="DH63" s="37"/>
      <c r="DI63" s="37"/>
      <c r="DJ63" s="37"/>
      <c r="DK63" s="37"/>
      <c r="DL63" s="37"/>
      <c r="DM63" s="37"/>
      <c r="DN63" s="37"/>
      <c r="DO63" s="37"/>
      <c r="DP63" s="37"/>
      <c r="DQ63" s="37"/>
      <c r="DR63" s="37"/>
      <c r="DS63" s="37"/>
      <c r="DT63" s="37"/>
      <c r="DU63" s="37"/>
      <c r="DV63" s="37"/>
      <c r="DW63" s="37"/>
      <c r="DX63" s="37"/>
      <c r="DY63" s="37"/>
      <c r="DZ63" s="37"/>
      <c r="EA63" s="37"/>
      <c r="EB63" s="37"/>
      <c r="EC63" s="37"/>
      <c r="ED63" s="37"/>
      <c r="EE63" s="37"/>
      <c r="EF63" s="37"/>
      <c r="EG63" s="37"/>
      <c r="EH63" s="37"/>
      <c r="EI63" s="37"/>
      <c r="EJ63" s="37"/>
      <c r="EK63" s="37"/>
      <c r="EL63" s="37"/>
      <c r="EM63" s="37"/>
      <c r="EN63" s="37"/>
      <c r="EO63" s="37"/>
      <c r="EP63" s="37"/>
      <c r="EQ63" s="37"/>
      <c r="ER63" s="37"/>
      <c r="ES63" s="37"/>
      <c r="ET63" s="37"/>
      <c r="EU63" s="37"/>
      <c r="EV63" s="37"/>
      <c r="EW63" s="37"/>
      <c r="EX63" s="37"/>
      <c r="EY63" s="37"/>
      <c r="EZ63" s="37"/>
      <c r="FA63" s="37"/>
      <c r="FB63" s="37"/>
      <c r="FC63" s="37"/>
      <c r="FD63" s="37"/>
      <c r="FE63" s="37"/>
      <c r="FF63" s="37"/>
      <c r="FG63" s="37"/>
      <c r="FH63" s="37"/>
      <c r="FI63" s="37"/>
      <c r="FJ63" s="37"/>
      <c r="FK63" s="37"/>
      <c r="FL63" s="37"/>
      <c r="FM63" s="37"/>
      <c r="FN63" s="37"/>
      <c r="FO63" s="37"/>
      <c r="FP63" s="37"/>
      <c r="FQ63" s="37"/>
      <c r="FR63" s="37"/>
      <c r="FS63" s="37"/>
      <c r="FT63" s="37"/>
      <c r="FU63" s="37"/>
      <c r="FV63" s="37"/>
      <c r="FW63" s="37"/>
      <c r="FX63" s="37"/>
      <c r="FY63" s="37"/>
      <c r="FZ63" s="37"/>
      <c r="GA63" s="37"/>
      <c r="GB63" s="37"/>
      <c r="GC63" s="37"/>
      <c r="GD63" s="37"/>
      <c r="GE63" s="37"/>
      <c r="GF63" s="37"/>
      <c r="GG63" s="37"/>
      <c r="GH63" s="37"/>
      <c r="GI63" s="37"/>
      <c r="GJ63" s="37"/>
      <c r="GK63" s="37"/>
      <c r="GL63" s="37"/>
      <c r="GM63" s="37"/>
      <c r="GN63" s="37"/>
      <c r="GO63" s="37"/>
      <c r="GP63" s="37"/>
      <c r="GQ63" s="37"/>
      <c r="GR63" s="37"/>
      <c r="GS63" s="37"/>
      <c r="GT63" s="37"/>
      <c r="GU63" s="37">
        <v>0.1</v>
      </c>
      <c r="GV63" s="37">
        <v>3.7</v>
      </c>
      <c r="GW63" s="37">
        <v>12.9</v>
      </c>
      <c r="GX63" s="37">
        <v>25.5</v>
      </c>
      <c r="GY63" s="37">
        <v>3.8</v>
      </c>
      <c r="GZ63" s="37">
        <v>1.8</v>
      </c>
      <c r="HA63" s="37">
        <v>0.6</v>
      </c>
      <c r="HB63" s="37">
        <v>0.2</v>
      </c>
      <c r="HC63">
        <v>0.1</v>
      </c>
      <c r="HD63">
        <v>0</v>
      </c>
    </row>
    <row r="64" spans="1:212" x14ac:dyDescent="0.3">
      <c r="A64" s="37" t="s">
        <v>1822</v>
      </c>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c r="BT64" s="37"/>
      <c r="BU64" s="37"/>
      <c r="BV64" s="37"/>
      <c r="BW64" s="37"/>
      <c r="BX64" s="37"/>
      <c r="BY64" s="37"/>
      <c r="BZ64" s="37"/>
      <c r="CA64" s="37"/>
      <c r="CB64" s="37"/>
      <c r="CC64" s="37"/>
      <c r="CD64" s="37"/>
      <c r="CE64" s="37"/>
      <c r="CF64" s="37"/>
      <c r="CG64" s="37"/>
      <c r="CH64" s="37"/>
      <c r="CI64" s="37"/>
      <c r="CJ64" s="37"/>
      <c r="CK64" s="37"/>
      <c r="CL64" s="37"/>
      <c r="CM64" s="37"/>
      <c r="CN64" s="37"/>
      <c r="CO64" s="37"/>
      <c r="CP64" s="37"/>
      <c r="CQ64" s="37"/>
      <c r="CR64" s="37"/>
      <c r="CS64" s="37"/>
      <c r="CT64" s="37"/>
      <c r="CU64" s="37"/>
      <c r="CV64" s="37"/>
      <c r="CW64" s="37"/>
      <c r="CX64" s="37"/>
      <c r="CY64" s="37"/>
      <c r="CZ64" s="37"/>
      <c r="DA64" s="37"/>
      <c r="DB64" s="37"/>
      <c r="DC64" s="37"/>
      <c r="DD64" s="37"/>
      <c r="DE64" s="37"/>
      <c r="DF64" s="37"/>
      <c r="DG64" s="37"/>
      <c r="DH64" s="37"/>
      <c r="DI64" s="37"/>
      <c r="DJ64" s="37"/>
      <c r="DK64" s="37"/>
      <c r="DL64" s="37"/>
      <c r="DM64" s="37"/>
      <c r="DN64" s="37"/>
      <c r="DO64" s="37"/>
      <c r="DP64" s="37"/>
      <c r="DQ64" s="37"/>
      <c r="DR64" s="37"/>
      <c r="DS64" s="37"/>
      <c r="DT64" s="37"/>
      <c r="DU64" s="37"/>
      <c r="DV64" s="37"/>
      <c r="DW64" s="37"/>
      <c r="DX64" s="37"/>
      <c r="DY64" s="37"/>
      <c r="DZ64" s="37"/>
      <c r="EA64" s="37"/>
      <c r="EB64" s="37"/>
      <c r="EC64" s="37"/>
      <c r="ED64" s="37"/>
      <c r="EE64" s="37"/>
      <c r="EF64" s="37"/>
      <c r="EG64" s="37"/>
      <c r="EH64" s="37"/>
      <c r="EI64" s="37"/>
      <c r="EJ64" s="37"/>
      <c r="EK64" s="37"/>
      <c r="EL64" s="37"/>
      <c r="EM64" s="37"/>
      <c r="EN64" s="37"/>
      <c r="EO64" s="37"/>
      <c r="EP64" s="37"/>
      <c r="EQ64" s="37"/>
      <c r="ER64" s="37"/>
      <c r="ES64" s="37"/>
      <c r="ET64" s="37"/>
      <c r="EU64" s="37"/>
      <c r="EV64" s="37"/>
      <c r="EW64" s="37"/>
      <c r="EX64" s="37"/>
      <c r="EY64" s="37"/>
      <c r="EZ64" s="37"/>
      <c r="FA64" s="37"/>
      <c r="FB64" s="37"/>
      <c r="FC64" s="37"/>
      <c r="FD64" s="37"/>
      <c r="FE64" s="37"/>
      <c r="FF64" s="37"/>
      <c r="FG64" s="37"/>
      <c r="FH64" s="37"/>
      <c r="FI64" s="37"/>
      <c r="FJ64" s="37"/>
      <c r="FK64" s="37"/>
      <c r="FL64" s="37"/>
      <c r="FM64" s="37"/>
      <c r="FN64" s="37"/>
      <c r="FO64" s="37"/>
      <c r="FP64" s="37"/>
      <c r="FQ64" s="37"/>
      <c r="FR64" s="37"/>
      <c r="FS64" s="37"/>
      <c r="FT64" s="37"/>
      <c r="FU64" s="37"/>
      <c r="FV64" s="37"/>
      <c r="FW64" s="37"/>
      <c r="FX64" s="37"/>
      <c r="FY64" s="37"/>
      <c r="FZ64" s="37"/>
      <c r="GA64" s="37"/>
      <c r="GB64" s="37"/>
      <c r="GC64" s="37"/>
      <c r="GD64" s="37"/>
      <c r="GE64" s="37"/>
      <c r="GF64" s="37"/>
      <c r="GG64" s="37"/>
      <c r="GH64" s="37"/>
      <c r="GI64" s="37"/>
      <c r="GJ64" s="37"/>
      <c r="GK64" s="37"/>
      <c r="GL64" s="37"/>
      <c r="GM64" s="37"/>
      <c r="GN64" s="37"/>
      <c r="GO64" s="37"/>
      <c r="GP64" s="37"/>
      <c r="GQ64" s="37"/>
      <c r="GR64" s="37"/>
      <c r="GS64" s="37"/>
      <c r="GT64" s="37"/>
      <c r="GU64" s="37"/>
      <c r="GV64" s="37">
        <v>106.2</v>
      </c>
      <c r="GW64" s="37">
        <v>35.9</v>
      </c>
      <c r="GX64" s="37">
        <v>1.6</v>
      </c>
      <c r="GY64" s="37">
        <v>0.6</v>
      </c>
      <c r="GZ64" s="37">
        <v>0.1</v>
      </c>
      <c r="HA64" s="37">
        <v>0</v>
      </c>
      <c r="HB64" s="37">
        <v>0</v>
      </c>
      <c r="HC64">
        <v>0</v>
      </c>
      <c r="HD64">
        <v>0</v>
      </c>
    </row>
    <row r="65" spans="1:212" x14ac:dyDescent="0.3">
      <c r="A65" s="37" t="s">
        <v>1823</v>
      </c>
      <c r="B65" s="37">
        <v>5.7</v>
      </c>
      <c r="C65" s="37">
        <v>5.4</v>
      </c>
      <c r="D65" s="37">
        <v>4.9000000000000004</v>
      </c>
      <c r="E65" s="37">
        <v>5.0999999999999996</v>
      </c>
      <c r="F65" s="37">
        <v>5.6</v>
      </c>
      <c r="G65" s="37">
        <v>6.4</v>
      </c>
      <c r="H65" s="37">
        <v>5.9</v>
      </c>
      <c r="I65" s="37">
        <v>5.8</v>
      </c>
      <c r="J65" s="37">
        <v>5.9</v>
      </c>
      <c r="K65" s="37">
        <v>5.5</v>
      </c>
      <c r="L65" s="37">
        <v>7</v>
      </c>
      <c r="M65" s="37">
        <v>5.9</v>
      </c>
      <c r="N65" s="37">
        <v>5.9</v>
      </c>
      <c r="O65" s="37">
        <v>6.4</v>
      </c>
      <c r="P65" s="37">
        <v>5.5</v>
      </c>
      <c r="Q65" s="37">
        <v>6.1</v>
      </c>
      <c r="R65" s="37">
        <v>8</v>
      </c>
      <c r="S65" s="37">
        <v>8.8000000000000007</v>
      </c>
      <c r="T65" s="37">
        <v>6.7</v>
      </c>
      <c r="U65" s="37">
        <v>8.1</v>
      </c>
      <c r="V65" s="37">
        <v>9</v>
      </c>
      <c r="W65" s="37">
        <v>8.1</v>
      </c>
      <c r="X65" s="37">
        <v>11.1</v>
      </c>
      <c r="Y65" s="37">
        <v>10.7</v>
      </c>
      <c r="Z65" s="37">
        <v>10.3</v>
      </c>
      <c r="AA65" s="37">
        <v>10</v>
      </c>
      <c r="AB65" s="37">
        <v>10.8</v>
      </c>
      <c r="AC65" s="37">
        <v>11.3</v>
      </c>
      <c r="AD65" s="37">
        <v>10.9</v>
      </c>
      <c r="AE65" s="37">
        <v>10.9</v>
      </c>
      <c r="AF65" s="37">
        <v>12.1</v>
      </c>
      <c r="AG65" s="37">
        <v>10.9</v>
      </c>
      <c r="AH65" s="37">
        <v>11.2</v>
      </c>
      <c r="AI65" s="37">
        <v>11.8</v>
      </c>
      <c r="AJ65" s="37">
        <v>12.2</v>
      </c>
      <c r="AK65" s="37">
        <v>12.8</v>
      </c>
      <c r="AL65" s="37">
        <v>13.9</v>
      </c>
      <c r="AM65" s="37">
        <v>13.4</v>
      </c>
      <c r="AN65" s="37">
        <v>14.7</v>
      </c>
      <c r="AO65" s="37">
        <v>16.100000000000001</v>
      </c>
      <c r="AP65" s="37">
        <v>16.7</v>
      </c>
      <c r="AQ65" s="37">
        <v>16.899999999999999</v>
      </c>
      <c r="AR65" s="37">
        <v>16.3</v>
      </c>
      <c r="AS65" s="37">
        <v>17.100000000000001</v>
      </c>
      <c r="AT65" s="37">
        <v>16.399999999999999</v>
      </c>
      <c r="AU65" s="37">
        <v>16</v>
      </c>
      <c r="AV65" s="37">
        <v>15.1</v>
      </c>
      <c r="AW65" s="37">
        <v>15.4</v>
      </c>
      <c r="AX65" s="37">
        <v>14.2</v>
      </c>
      <c r="AY65" s="37">
        <v>14.9</v>
      </c>
      <c r="AZ65" s="37">
        <v>14.8</v>
      </c>
      <c r="BA65" s="37">
        <v>14.7</v>
      </c>
      <c r="BB65" s="37">
        <v>16.100000000000001</v>
      </c>
      <c r="BC65" s="37">
        <v>14.3</v>
      </c>
      <c r="BD65" s="37">
        <v>16</v>
      </c>
      <c r="BE65" s="37">
        <v>15.9</v>
      </c>
      <c r="BF65" s="37">
        <v>16.7</v>
      </c>
      <c r="BG65" s="37">
        <v>17.3</v>
      </c>
      <c r="BH65" s="37">
        <v>18.2</v>
      </c>
      <c r="BI65" s="37">
        <v>18.899999999999999</v>
      </c>
      <c r="BJ65" s="37">
        <v>17.2</v>
      </c>
      <c r="BK65" s="37">
        <v>19.600000000000001</v>
      </c>
      <c r="BL65" s="37">
        <v>20.2</v>
      </c>
      <c r="BM65" s="37">
        <v>21.3</v>
      </c>
      <c r="BN65" s="37">
        <v>19.8</v>
      </c>
      <c r="BO65" s="37">
        <v>20.7</v>
      </c>
      <c r="BP65" s="37">
        <v>21.4</v>
      </c>
      <c r="BQ65" s="37">
        <v>18.399999999999999</v>
      </c>
      <c r="BR65" s="37">
        <v>18.899999999999999</v>
      </c>
      <c r="BS65" s="37">
        <v>19.7</v>
      </c>
      <c r="BT65" s="37">
        <v>19</v>
      </c>
      <c r="BU65" s="37">
        <v>18.8</v>
      </c>
      <c r="BV65" s="37">
        <v>19.100000000000001</v>
      </c>
      <c r="BW65" s="37">
        <v>20</v>
      </c>
      <c r="BX65" s="37">
        <v>20.5</v>
      </c>
      <c r="BY65" s="37">
        <v>19.399999999999999</v>
      </c>
      <c r="BZ65" s="37">
        <v>20.3</v>
      </c>
      <c r="CA65" s="37">
        <v>20.100000000000001</v>
      </c>
      <c r="CB65" s="37">
        <v>19</v>
      </c>
      <c r="CC65" s="37">
        <v>21.5</v>
      </c>
      <c r="CD65" s="37">
        <v>22.3</v>
      </c>
      <c r="CE65" s="37">
        <v>20.3</v>
      </c>
      <c r="CF65" s="37">
        <v>20.7</v>
      </c>
      <c r="CG65" s="37">
        <v>49.5</v>
      </c>
      <c r="CH65" s="37">
        <v>26</v>
      </c>
      <c r="CI65" s="37">
        <v>22.2</v>
      </c>
      <c r="CJ65" s="37">
        <v>37.1</v>
      </c>
      <c r="CK65" s="37">
        <v>20.8</v>
      </c>
      <c r="CL65" s="37">
        <v>21.6</v>
      </c>
      <c r="CM65" s="37">
        <v>23.2</v>
      </c>
      <c r="CN65" s="37">
        <v>22.5</v>
      </c>
      <c r="CO65" s="37">
        <v>23.2</v>
      </c>
      <c r="CP65" s="37">
        <v>24.4</v>
      </c>
      <c r="CQ65" s="37">
        <v>22.6</v>
      </c>
      <c r="CR65" s="37">
        <v>25.3</v>
      </c>
      <c r="CS65" s="37">
        <v>24.9</v>
      </c>
      <c r="CT65" s="37">
        <v>23.8</v>
      </c>
      <c r="CU65" s="37">
        <v>27.5</v>
      </c>
      <c r="CV65" s="37">
        <v>26.2</v>
      </c>
      <c r="CW65" s="37">
        <v>26.7</v>
      </c>
      <c r="CX65" s="37">
        <v>27.9</v>
      </c>
      <c r="CY65" s="37">
        <v>28.2</v>
      </c>
      <c r="CZ65" s="37">
        <v>28.4</v>
      </c>
      <c r="DA65" s="37">
        <v>27</v>
      </c>
      <c r="DB65" s="37">
        <v>29.3</v>
      </c>
      <c r="DC65" s="37">
        <v>28.1</v>
      </c>
      <c r="DD65" s="37">
        <v>27.3</v>
      </c>
      <c r="DE65" s="37">
        <v>28.9</v>
      </c>
      <c r="DF65" s="37">
        <v>28.6</v>
      </c>
      <c r="DG65" s="37">
        <v>29.5</v>
      </c>
      <c r="DH65" s="37">
        <v>29.7</v>
      </c>
      <c r="DI65" s="37">
        <v>29</v>
      </c>
      <c r="DJ65" s="37">
        <v>27.3</v>
      </c>
      <c r="DK65" s="37">
        <v>27.5</v>
      </c>
      <c r="DL65" s="37">
        <v>29.4</v>
      </c>
      <c r="DM65" s="37">
        <v>31.5</v>
      </c>
      <c r="DN65" s="37">
        <v>29.2</v>
      </c>
      <c r="DO65" s="37">
        <v>33.9</v>
      </c>
      <c r="DP65" s="37">
        <v>35.9</v>
      </c>
      <c r="DQ65" s="37">
        <v>56.3</v>
      </c>
      <c r="DR65" s="37">
        <v>38</v>
      </c>
      <c r="DS65" s="37">
        <v>37.9</v>
      </c>
      <c r="DT65" s="37">
        <v>39.4</v>
      </c>
      <c r="DU65" s="37">
        <v>49.6</v>
      </c>
      <c r="DV65" s="37">
        <v>40.9</v>
      </c>
      <c r="DW65" s="37">
        <v>43.8</v>
      </c>
      <c r="DX65" s="37">
        <v>44.3</v>
      </c>
      <c r="DY65" s="37">
        <v>45.3</v>
      </c>
      <c r="DZ65" s="37">
        <v>59.6</v>
      </c>
      <c r="EA65" s="37">
        <v>47.2</v>
      </c>
      <c r="EB65" s="37">
        <v>43.2</v>
      </c>
      <c r="EC65" s="37">
        <v>63.5</v>
      </c>
      <c r="ED65" s="37">
        <v>65.7</v>
      </c>
      <c r="EE65" s="37">
        <v>75.5</v>
      </c>
      <c r="EF65" s="37">
        <v>71.5</v>
      </c>
      <c r="EG65" s="37">
        <v>66.400000000000006</v>
      </c>
      <c r="EH65" s="37">
        <v>75.3</v>
      </c>
      <c r="EI65" s="37">
        <v>65.2</v>
      </c>
      <c r="EJ65" s="37">
        <v>74.7</v>
      </c>
      <c r="EK65" s="37">
        <v>70.2</v>
      </c>
      <c r="EL65" s="37">
        <v>90.6</v>
      </c>
      <c r="EM65" s="37">
        <v>75</v>
      </c>
      <c r="EN65" s="37">
        <v>141.5</v>
      </c>
      <c r="EO65" s="37">
        <v>82.9</v>
      </c>
      <c r="EP65" s="37">
        <v>80.5</v>
      </c>
      <c r="EQ65" s="37">
        <v>77.5</v>
      </c>
      <c r="ER65" s="37">
        <v>74.8</v>
      </c>
      <c r="ES65" s="37">
        <v>73.900000000000006</v>
      </c>
      <c r="ET65" s="37">
        <v>90.3</v>
      </c>
      <c r="EU65" s="37">
        <v>86.5</v>
      </c>
      <c r="EV65" s="37">
        <v>86.3</v>
      </c>
      <c r="EW65" s="37">
        <v>80.400000000000006</v>
      </c>
      <c r="EX65" s="37">
        <v>87</v>
      </c>
      <c r="EY65" s="37">
        <v>81.400000000000006</v>
      </c>
      <c r="EZ65" s="37">
        <v>91.2</v>
      </c>
      <c r="FA65" s="37">
        <v>348.6</v>
      </c>
      <c r="FB65" s="37">
        <v>301.2</v>
      </c>
      <c r="FC65" s="37">
        <v>226</v>
      </c>
      <c r="FD65" s="37">
        <v>144.9</v>
      </c>
      <c r="FE65" s="37">
        <v>178.4</v>
      </c>
      <c r="FF65" s="37">
        <v>164.3</v>
      </c>
      <c r="FG65" s="37">
        <v>195.8</v>
      </c>
      <c r="FH65" s="37">
        <v>122.5</v>
      </c>
      <c r="FI65" s="37">
        <v>110</v>
      </c>
      <c r="FJ65" s="37">
        <v>110.2</v>
      </c>
      <c r="FK65" s="37">
        <v>142.19999999999999</v>
      </c>
      <c r="FL65" s="37">
        <v>122.8</v>
      </c>
      <c r="FM65" s="37">
        <v>149.69999999999999</v>
      </c>
      <c r="FN65" s="37">
        <v>110.8</v>
      </c>
      <c r="FO65" s="37">
        <v>93</v>
      </c>
      <c r="FP65" s="37">
        <v>90.7</v>
      </c>
      <c r="FQ65" s="37">
        <v>125.3</v>
      </c>
      <c r="FR65" s="37">
        <v>91.2</v>
      </c>
      <c r="FS65" s="37">
        <v>84.4</v>
      </c>
      <c r="FT65" s="37">
        <v>85.3</v>
      </c>
      <c r="FU65" s="37">
        <v>79.7</v>
      </c>
      <c r="FV65" s="37">
        <v>86.8</v>
      </c>
      <c r="FW65" s="37">
        <v>84.1</v>
      </c>
      <c r="FX65" s="37">
        <v>83</v>
      </c>
      <c r="FY65" s="37">
        <v>80.8</v>
      </c>
      <c r="FZ65" s="37">
        <v>83.2</v>
      </c>
      <c r="GA65" s="37">
        <v>77.099999999999994</v>
      </c>
      <c r="GB65" s="37">
        <v>83.9</v>
      </c>
      <c r="GC65" s="37">
        <v>76.400000000000006</v>
      </c>
      <c r="GD65" s="37">
        <v>80.900000000000006</v>
      </c>
      <c r="GE65" s="37">
        <v>77.2</v>
      </c>
      <c r="GF65" s="37">
        <v>79.599999999999994</v>
      </c>
      <c r="GG65" s="37">
        <v>84.5</v>
      </c>
      <c r="GH65" s="37">
        <v>84.3</v>
      </c>
      <c r="GI65" s="37">
        <v>85.5</v>
      </c>
      <c r="GJ65" s="37">
        <v>116.5</v>
      </c>
      <c r="GK65" s="37">
        <v>81</v>
      </c>
      <c r="GL65" s="37">
        <v>79</v>
      </c>
      <c r="GM65" s="37">
        <v>86.3</v>
      </c>
      <c r="GN65" s="37">
        <v>85.1</v>
      </c>
      <c r="GO65" s="37">
        <v>82.9</v>
      </c>
      <c r="GP65" s="37">
        <v>85.9</v>
      </c>
      <c r="GQ65" s="37">
        <v>78.8</v>
      </c>
      <c r="GR65" s="37">
        <v>82.2</v>
      </c>
      <c r="GS65" s="37">
        <v>133.9</v>
      </c>
      <c r="GT65" s="37">
        <v>95.4</v>
      </c>
      <c r="GU65" s="37">
        <v>92.8</v>
      </c>
      <c r="GV65" s="37">
        <v>92.2</v>
      </c>
      <c r="GW65" s="37">
        <v>89.3</v>
      </c>
      <c r="GX65" s="37">
        <v>319.3</v>
      </c>
      <c r="GY65" s="37">
        <v>87.2</v>
      </c>
      <c r="GZ65" s="37">
        <v>98.4</v>
      </c>
      <c r="HA65" s="37">
        <v>89.1</v>
      </c>
      <c r="HB65" s="37">
        <v>89.1</v>
      </c>
      <c r="HC65">
        <v>460.7</v>
      </c>
      <c r="HD65">
        <v>206.4</v>
      </c>
    </row>
    <row r="66" spans="1:212" x14ac:dyDescent="0.3">
      <c r="A66" s="37" t="s">
        <v>1824</v>
      </c>
      <c r="B66" s="37">
        <v>0.58399999999999996</v>
      </c>
      <c r="C66" s="37">
        <v>0.98</v>
      </c>
      <c r="D66" s="37">
        <v>1.256</v>
      </c>
      <c r="E66" s="37">
        <v>1.5920000000000001</v>
      </c>
      <c r="F66" s="37">
        <v>1.62</v>
      </c>
      <c r="G66" s="37">
        <v>1.6</v>
      </c>
      <c r="H66" s="37">
        <v>1.7</v>
      </c>
      <c r="I66" s="37">
        <v>1.8720000000000001</v>
      </c>
      <c r="J66" s="37">
        <v>1.8320000000000001</v>
      </c>
      <c r="K66" s="37">
        <v>1.8240000000000001</v>
      </c>
      <c r="L66" s="37">
        <v>2.1080000000000001</v>
      </c>
      <c r="M66" s="37">
        <v>2.1560000000000001</v>
      </c>
      <c r="N66" s="37">
        <v>2.1560000000000001</v>
      </c>
      <c r="O66" s="37">
        <v>2.1440000000000001</v>
      </c>
      <c r="P66" s="37">
        <v>2.2480000000000002</v>
      </c>
      <c r="Q66" s="37">
        <v>2.2879999999999998</v>
      </c>
      <c r="R66" s="37">
        <v>3.0640000000000001</v>
      </c>
      <c r="S66" s="37">
        <v>3.16</v>
      </c>
      <c r="T66" s="37">
        <v>3.62</v>
      </c>
      <c r="U66" s="37">
        <v>3.8879999999999999</v>
      </c>
      <c r="V66" s="37">
        <v>4.3639999999999999</v>
      </c>
      <c r="W66" s="37">
        <v>4.5119999999999996</v>
      </c>
      <c r="X66" s="37">
        <v>4.8319999999999999</v>
      </c>
      <c r="Y66" s="37">
        <v>4.68</v>
      </c>
      <c r="Z66" s="37">
        <v>4.7679999999999998</v>
      </c>
      <c r="AA66" s="37">
        <v>4.6760000000000002</v>
      </c>
      <c r="AB66" s="37">
        <v>4.4160000000000004</v>
      </c>
      <c r="AC66" s="37">
        <v>4.532</v>
      </c>
      <c r="AD66" s="37">
        <v>4.4960000000000004</v>
      </c>
      <c r="AE66" s="37">
        <v>4.3159999999999998</v>
      </c>
      <c r="AF66" s="37">
        <v>4.38</v>
      </c>
      <c r="AG66" s="37">
        <v>4.3840000000000003</v>
      </c>
      <c r="AH66" s="37">
        <v>4.5839999999999996</v>
      </c>
      <c r="AI66" s="37">
        <v>4.4880000000000004</v>
      </c>
      <c r="AJ66" s="37">
        <v>4.6719999999999997</v>
      </c>
      <c r="AK66" s="37">
        <v>4.5960000000000001</v>
      </c>
      <c r="AL66" s="37">
        <v>5.4240000000000004</v>
      </c>
      <c r="AM66" s="37">
        <v>5.78</v>
      </c>
      <c r="AN66" s="37">
        <v>6.88</v>
      </c>
      <c r="AO66" s="37">
        <v>7.2439999999999998</v>
      </c>
      <c r="AP66" s="37">
        <v>7.7640000000000002</v>
      </c>
      <c r="AQ66" s="37">
        <v>8.14</v>
      </c>
      <c r="AR66" s="37">
        <v>8.44</v>
      </c>
      <c r="AS66" s="37">
        <v>8.5120000000000005</v>
      </c>
      <c r="AT66" s="37">
        <v>10.144</v>
      </c>
      <c r="AU66" s="37">
        <v>10.272</v>
      </c>
      <c r="AV66" s="37">
        <v>10.16</v>
      </c>
      <c r="AW66" s="37">
        <v>9.6839999999999993</v>
      </c>
      <c r="AX66" s="37">
        <v>9.2959999999999994</v>
      </c>
      <c r="AY66" s="37">
        <v>9.4320000000000004</v>
      </c>
      <c r="AZ66" s="37">
        <v>9.6760000000000002</v>
      </c>
      <c r="BA66" s="37">
        <v>11.18</v>
      </c>
      <c r="BB66" s="37">
        <v>11.288</v>
      </c>
      <c r="BC66" s="37">
        <v>11.124000000000001</v>
      </c>
      <c r="BD66" s="37">
        <v>10.964</v>
      </c>
      <c r="BE66" s="37">
        <v>10.888</v>
      </c>
      <c r="BF66" s="37">
        <v>10.8</v>
      </c>
      <c r="BG66" s="37">
        <v>10.624000000000001</v>
      </c>
      <c r="BH66" s="37">
        <v>10.432</v>
      </c>
      <c r="BI66" s="37">
        <v>10.82</v>
      </c>
      <c r="BJ66" s="37">
        <v>10.784000000000001</v>
      </c>
      <c r="BK66" s="37">
        <v>10.72</v>
      </c>
      <c r="BL66" s="37">
        <v>10.612</v>
      </c>
      <c r="BM66" s="37">
        <v>10.644</v>
      </c>
      <c r="BN66" s="37">
        <v>10.488</v>
      </c>
      <c r="BO66" s="37">
        <v>10.564</v>
      </c>
      <c r="BP66" s="37">
        <v>10.576000000000001</v>
      </c>
      <c r="BQ66" s="37">
        <v>10.584</v>
      </c>
      <c r="BR66" s="37">
        <v>10.54</v>
      </c>
      <c r="BS66" s="37">
        <v>10.488</v>
      </c>
      <c r="BT66" s="37">
        <v>10.311999999999999</v>
      </c>
      <c r="BU66" s="37">
        <v>11.087999999999999</v>
      </c>
      <c r="BV66" s="37">
        <v>11.176</v>
      </c>
      <c r="BW66" s="37">
        <v>11.132</v>
      </c>
      <c r="BX66" s="37">
        <v>11.052</v>
      </c>
      <c r="BY66" s="37">
        <v>11.492000000000001</v>
      </c>
      <c r="BZ66" s="37">
        <v>11.656000000000001</v>
      </c>
      <c r="CA66" s="37">
        <v>11.712</v>
      </c>
      <c r="CB66" s="37">
        <v>11.784000000000001</v>
      </c>
      <c r="CC66" s="37">
        <v>14.148</v>
      </c>
      <c r="CD66" s="37">
        <v>13.984</v>
      </c>
      <c r="CE66" s="37">
        <v>14.215999999999999</v>
      </c>
      <c r="CF66" s="37">
        <v>14.404</v>
      </c>
      <c r="CG66" s="37">
        <v>16.36</v>
      </c>
      <c r="CH66" s="37">
        <v>16.995999999999999</v>
      </c>
      <c r="CI66" s="37">
        <v>17.635999999999999</v>
      </c>
      <c r="CJ66" s="37">
        <v>18.091999999999999</v>
      </c>
      <c r="CK66" s="37">
        <v>20.332000000000001</v>
      </c>
      <c r="CL66" s="37">
        <v>20.596</v>
      </c>
      <c r="CM66" s="37">
        <v>20.931999999999999</v>
      </c>
      <c r="CN66" s="37">
        <v>21.792000000000002</v>
      </c>
      <c r="CO66" s="37">
        <v>21.86</v>
      </c>
      <c r="CP66" s="37">
        <v>21.82</v>
      </c>
      <c r="CQ66" s="37">
        <v>22.14</v>
      </c>
      <c r="CR66" s="37">
        <v>22.204000000000001</v>
      </c>
      <c r="CS66" s="37">
        <v>22.68</v>
      </c>
      <c r="CT66" s="37">
        <v>23.06</v>
      </c>
      <c r="CU66" s="37">
        <v>22.58</v>
      </c>
      <c r="CV66" s="37">
        <v>22.504000000000001</v>
      </c>
      <c r="CW66" s="37">
        <v>23.224</v>
      </c>
      <c r="CX66" s="37">
        <v>22.716000000000001</v>
      </c>
      <c r="CY66" s="37">
        <v>22.384</v>
      </c>
      <c r="CZ66" s="37">
        <v>22.052</v>
      </c>
      <c r="DA66" s="37">
        <v>22.635999999999999</v>
      </c>
      <c r="DB66" s="37">
        <v>22.564</v>
      </c>
      <c r="DC66" s="37">
        <v>22.236000000000001</v>
      </c>
      <c r="DD66" s="37">
        <v>21.852</v>
      </c>
      <c r="DE66" s="37">
        <v>21.16</v>
      </c>
      <c r="DF66" s="37">
        <v>20.04</v>
      </c>
      <c r="DG66" s="37">
        <v>19.076000000000001</v>
      </c>
      <c r="DH66" s="37">
        <v>18.143999999999998</v>
      </c>
      <c r="DI66" s="37">
        <v>17.667999999999999</v>
      </c>
      <c r="DJ66" s="37">
        <v>17.123999999999999</v>
      </c>
      <c r="DK66" s="37">
        <v>16.579999999999998</v>
      </c>
      <c r="DL66" s="37">
        <v>15.976000000000001</v>
      </c>
      <c r="DM66" s="37">
        <v>16.18</v>
      </c>
      <c r="DN66" s="37">
        <v>15.788</v>
      </c>
      <c r="DO66" s="37">
        <v>15.464</v>
      </c>
      <c r="DP66" s="37">
        <v>15.284000000000001</v>
      </c>
      <c r="DQ66" s="37">
        <v>15.356</v>
      </c>
      <c r="DR66" s="37">
        <v>13.616</v>
      </c>
      <c r="DS66" s="37">
        <v>14.896000000000001</v>
      </c>
      <c r="DT66" s="37">
        <v>14.84</v>
      </c>
      <c r="DU66" s="37">
        <v>14.907999999999999</v>
      </c>
      <c r="DV66" s="37">
        <v>15.1</v>
      </c>
      <c r="DW66" s="37">
        <v>15.536</v>
      </c>
      <c r="DX66" s="37">
        <v>15.996</v>
      </c>
      <c r="DY66" s="37">
        <v>17.236000000000001</v>
      </c>
      <c r="DZ66" s="37">
        <v>17.898</v>
      </c>
      <c r="EA66" s="37">
        <v>18.222000000000001</v>
      </c>
      <c r="EB66" s="37">
        <v>18.484999999999999</v>
      </c>
      <c r="EC66" s="37">
        <v>19.841999999999999</v>
      </c>
      <c r="ED66" s="37">
        <v>20.652000000000001</v>
      </c>
      <c r="EE66" s="37">
        <v>21.759</v>
      </c>
      <c r="EF66" s="37">
        <v>22.788</v>
      </c>
      <c r="EG66" s="37">
        <v>23.298999999999999</v>
      </c>
      <c r="EH66" s="37">
        <v>24.085999999999999</v>
      </c>
      <c r="EI66" s="37">
        <v>24.969000000000001</v>
      </c>
      <c r="EJ66" s="37">
        <v>25.888000000000002</v>
      </c>
      <c r="EK66" s="37">
        <v>28.838999999999999</v>
      </c>
      <c r="EL66" s="37">
        <v>27.844000000000001</v>
      </c>
      <c r="EM66" s="37">
        <v>28.236999999999998</v>
      </c>
      <c r="EN66" s="37">
        <v>29.613</v>
      </c>
      <c r="EO66" s="37">
        <v>32.274000000000001</v>
      </c>
      <c r="EP66" s="37">
        <v>29.234999999999999</v>
      </c>
      <c r="EQ66" s="37">
        <v>29.263999999999999</v>
      </c>
      <c r="ER66" s="37">
        <v>29.344000000000001</v>
      </c>
      <c r="ES66" s="37">
        <v>29.716999999999999</v>
      </c>
      <c r="ET66" s="37">
        <v>30</v>
      </c>
      <c r="EU66" s="37">
        <v>30.391999999999999</v>
      </c>
      <c r="EV66" s="37">
        <v>30.74</v>
      </c>
      <c r="EW66" s="37">
        <v>32.552999999999997</v>
      </c>
      <c r="EX66" s="37">
        <v>33.466000000000001</v>
      </c>
      <c r="EY66" s="37">
        <v>34.606999999999999</v>
      </c>
      <c r="EZ66" s="37">
        <v>37.1</v>
      </c>
      <c r="FA66" s="37">
        <v>42.963999999999999</v>
      </c>
      <c r="FB66" s="37">
        <v>44.63</v>
      </c>
      <c r="FC66" s="37">
        <v>55.540999999999997</v>
      </c>
      <c r="FD66" s="37">
        <v>58.195</v>
      </c>
      <c r="FE66" s="37">
        <v>60.683</v>
      </c>
      <c r="FF66" s="37">
        <v>63.749000000000002</v>
      </c>
      <c r="FG66" s="37">
        <v>65.742999999999995</v>
      </c>
      <c r="FH66" s="37">
        <v>67.739999999999995</v>
      </c>
      <c r="FI66" s="37">
        <v>68.828000000000003</v>
      </c>
      <c r="FJ66" s="37">
        <v>71.063000000000002</v>
      </c>
      <c r="FK66" s="37">
        <v>72.828999999999994</v>
      </c>
      <c r="FL66" s="37">
        <v>73.527000000000001</v>
      </c>
      <c r="FM66" s="37">
        <v>73.492000000000004</v>
      </c>
      <c r="FN66" s="37">
        <v>74.054000000000002</v>
      </c>
      <c r="FO66" s="37">
        <v>74.347999999999999</v>
      </c>
      <c r="FP66" s="37">
        <v>75.343000000000004</v>
      </c>
      <c r="FQ66" s="37">
        <v>75.66</v>
      </c>
      <c r="FR66" s="37">
        <v>75.959999999999994</v>
      </c>
      <c r="FS66" s="37">
        <v>76.039000000000001</v>
      </c>
      <c r="FT66" s="37">
        <v>75.213999999999999</v>
      </c>
      <c r="FU66" s="37">
        <v>71.414000000000001</v>
      </c>
      <c r="FV66" s="37">
        <v>69.317999999999998</v>
      </c>
      <c r="FW66" s="37">
        <v>69.353999999999999</v>
      </c>
      <c r="FX66" s="37">
        <v>68.644999999999996</v>
      </c>
      <c r="FY66" s="37">
        <v>70.316999999999993</v>
      </c>
      <c r="FZ66" s="37">
        <v>69.766999999999996</v>
      </c>
      <c r="GA66" s="37">
        <v>69.164000000000001</v>
      </c>
      <c r="GB66" s="37">
        <v>68.382000000000005</v>
      </c>
      <c r="GC66" s="37">
        <v>67.638000000000005</v>
      </c>
      <c r="GD66" s="37">
        <v>67.293999999999997</v>
      </c>
      <c r="GE66" s="37">
        <v>65.412999999999997</v>
      </c>
      <c r="GF66" s="37">
        <v>64.802999999999997</v>
      </c>
      <c r="GG66" s="37">
        <v>64.498999999999995</v>
      </c>
      <c r="GH66" s="37">
        <v>63.667000000000002</v>
      </c>
      <c r="GI66" s="37">
        <v>62.198</v>
      </c>
      <c r="GJ66" s="37">
        <v>63.704999999999998</v>
      </c>
      <c r="GK66" s="37">
        <v>67.448999999999998</v>
      </c>
      <c r="GL66" s="37">
        <v>59.862000000000002</v>
      </c>
      <c r="GM66" s="37">
        <v>58.298999999999999</v>
      </c>
      <c r="GN66" s="37">
        <v>57.253999999999998</v>
      </c>
      <c r="GO66" s="37">
        <v>57.347000000000001</v>
      </c>
      <c r="GP66" s="37">
        <v>56.009</v>
      </c>
      <c r="GQ66" s="37">
        <v>54.273000000000003</v>
      </c>
      <c r="GR66" s="37">
        <v>54.103999999999999</v>
      </c>
      <c r="GS66" s="37">
        <v>54.46</v>
      </c>
      <c r="GT66" s="37">
        <v>59.734999999999999</v>
      </c>
      <c r="GU66" s="37">
        <v>100.11799999999999</v>
      </c>
      <c r="GV66" s="37">
        <v>104.89</v>
      </c>
      <c r="GW66" s="37">
        <v>114.726</v>
      </c>
      <c r="GX66" s="37">
        <v>140.75399999999999</v>
      </c>
      <c r="GY66" s="37">
        <v>155.40299999999999</v>
      </c>
      <c r="GZ66" s="37">
        <v>150.172</v>
      </c>
      <c r="HA66" s="37">
        <v>155.43700000000001</v>
      </c>
      <c r="HB66" s="37">
        <v>135.35499999999999</v>
      </c>
      <c r="HC66">
        <v>118.414</v>
      </c>
      <c r="HD66">
        <v>113.163</v>
      </c>
    </row>
    <row r="67" spans="1:212" x14ac:dyDescent="0.3">
      <c r="A67" s="37" t="s">
        <v>1825</v>
      </c>
      <c r="B67" s="37">
        <v>38.1</v>
      </c>
      <c r="C67" s="37">
        <v>38.633333333333297</v>
      </c>
      <c r="D67" s="37">
        <v>39.033333333333303</v>
      </c>
      <c r="E67" s="37">
        <v>39.6</v>
      </c>
      <c r="F67" s="37">
        <v>39.933333333333302</v>
      </c>
      <c r="G67" s="37">
        <v>40.299999999999997</v>
      </c>
      <c r="H67" s="37">
        <v>40.700000000000003</v>
      </c>
      <c r="I67" s="37">
        <v>41</v>
      </c>
      <c r="J67" s="37">
        <v>41.3333333333333</v>
      </c>
      <c r="K67" s="37">
        <v>41.6</v>
      </c>
      <c r="L67" s="37">
        <v>41.933333333333302</v>
      </c>
      <c r="M67" s="37">
        <v>42.366666666666703</v>
      </c>
      <c r="N67" s="37">
        <v>43.033333333333303</v>
      </c>
      <c r="O67" s="37">
        <v>43.933333333333302</v>
      </c>
      <c r="P67" s="37">
        <v>44.8</v>
      </c>
      <c r="Q67" s="37">
        <v>45.933333333333302</v>
      </c>
      <c r="R67" s="37">
        <v>47.3</v>
      </c>
      <c r="S67" s="37">
        <v>48.566666666666698</v>
      </c>
      <c r="T67" s="37">
        <v>49.933333333333302</v>
      </c>
      <c r="U67" s="37">
        <v>51.466666666666697</v>
      </c>
      <c r="V67" s="37">
        <v>52.566666666666698</v>
      </c>
      <c r="W67" s="37">
        <v>53.2</v>
      </c>
      <c r="X67" s="37">
        <v>54.266666666666701</v>
      </c>
      <c r="Y67" s="37">
        <v>55.266666666666701</v>
      </c>
      <c r="Z67" s="37">
        <v>55.9</v>
      </c>
      <c r="AA67" s="37">
        <v>56.4</v>
      </c>
      <c r="AB67" s="37">
        <v>57.3</v>
      </c>
      <c r="AC67" s="37">
        <v>58.133333333333297</v>
      </c>
      <c r="AD67" s="37">
        <v>59.2</v>
      </c>
      <c r="AE67" s="37">
        <v>60.233333333333299</v>
      </c>
      <c r="AF67" s="37">
        <v>61.066666666666698</v>
      </c>
      <c r="AG67" s="37">
        <v>61.966666666666697</v>
      </c>
      <c r="AH67" s="37">
        <v>63.033333333333303</v>
      </c>
      <c r="AI67" s="37">
        <v>64.466666666666697</v>
      </c>
      <c r="AJ67" s="37">
        <v>65.966666666666697</v>
      </c>
      <c r="AK67" s="37">
        <v>67.5</v>
      </c>
      <c r="AL67" s="37">
        <v>69.2</v>
      </c>
      <c r="AM67" s="37">
        <v>71.400000000000006</v>
      </c>
      <c r="AN67" s="37">
        <v>73.7</v>
      </c>
      <c r="AO67" s="37">
        <v>76.033333333333303</v>
      </c>
      <c r="AP67" s="37">
        <v>79.033333333333303</v>
      </c>
      <c r="AQ67" s="37">
        <v>81.7</v>
      </c>
      <c r="AR67" s="37">
        <v>83.233333333333306</v>
      </c>
      <c r="AS67" s="37">
        <v>85.566666666666706</v>
      </c>
      <c r="AT67" s="37">
        <v>87.933333333333294</v>
      </c>
      <c r="AU67" s="37">
        <v>89.766666666666694</v>
      </c>
      <c r="AV67" s="37">
        <v>92.266666666666694</v>
      </c>
      <c r="AW67" s="37">
        <v>93.766666666666694</v>
      </c>
      <c r="AX67" s="37">
        <v>94.6</v>
      </c>
      <c r="AY67" s="37">
        <v>95.966666666666697</v>
      </c>
      <c r="AZ67" s="37">
        <v>97.633333333333297</v>
      </c>
      <c r="BA67" s="37">
        <v>97.933333333333294</v>
      </c>
      <c r="BB67" s="37">
        <v>98</v>
      </c>
      <c r="BC67" s="37">
        <v>99.133333333333297</v>
      </c>
      <c r="BD67" s="37">
        <v>100.1</v>
      </c>
      <c r="BE67" s="37">
        <v>101.1</v>
      </c>
      <c r="BF67" s="37">
        <v>102.533333333333</v>
      </c>
      <c r="BG67" s="37">
        <v>103.5</v>
      </c>
      <c r="BH67" s="37">
        <v>104.4</v>
      </c>
      <c r="BI67" s="37">
        <v>105.3</v>
      </c>
      <c r="BJ67" s="37">
        <v>106.26666666666701</v>
      </c>
      <c r="BK67" s="37">
        <v>107.23333333333299</v>
      </c>
      <c r="BL67" s="37">
        <v>107.9</v>
      </c>
      <c r="BM67" s="37">
        <v>109</v>
      </c>
      <c r="BN67" s="37">
        <v>109.566666666667</v>
      </c>
      <c r="BO67" s="37">
        <v>109.033333333333</v>
      </c>
      <c r="BP67" s="37">
        <v>109.7</v>
      </c>
      <c r="BQ67" s="37">
        <v>110.466666666667</v>
      </c>
      <c r="BR67" s="37">
        <v>111.8</v>
      </c>
      <c r="BS67" s="37">
        <v>113.066666666667</v>
      </c>
      <c r="BT67" s="37">
        <v>114.26666666666701</v>
      </c>
      <c r="BU67" s="37">
        <v>115.333333333333</v>
      </c>
      <c r="BV67" s="37">
        <v>116.23333333333299</v>
      </c>
      <c r="BW67" s="37">
        <v>117.566666666667</v>
      </c>
      <c r="BX67" s="37">
        <v>119</v>
      </c>
      <c r="BY67" s="37">
        <v>120.3</v>
      </c>
      <c r="BZ67" s="37">
        <v>121.666666666667</v>
      </c>
      <c r="CA67" s="37">
        <v>123.633333333333</v>
      </c>
      <c r="CB67" s="37">
        <v>124.6</v>
      </c>
      <c r="CC67" s="37">
        <v>125.866666666667</v>
      </c>
      <c r="CD67" s="37">
        <v>128.03333333333299</v>
      </c>
      <c r="CE67" s="37">
        <v>129.30000000000001</v>
      </c>
      <c r="CF67" s="37">
        <v>131.53333333333299</v>
      </c>
      <c r="CG67" s="37">
        <v>133.76666666666699</v>
      </c>
      <c r="CH67" s="37">
        <v>134.76666666666699</v>
      </c>
      <c r="CI67" s="37">
        <v>135.566666666667</v>
      </c>
      <c r="CJ67" s="37">
        <v>136.6</v>
      </c>
      <c r="CK67" s="37">
        <v>137.73333333333301</v>
      </c>
      <c r="CL67" s="37">
        <v>138.666666666667</v>
      </c>
      <c r="CM67" s="37">
        <v>139.73333333333301</v>
      </c>
      <c r="CN67" s="37">
        <v>140.80000000000001</v>
      </c>
      <c r="CO67" s="37">
        <v>142.03333333333299</v>
      </c>
      <c r="CP67" s="37">
        <v>143.066666666667</v>
      </c>
      <c r="CQ67" s="37">
        <v>144.1</v>
      </c>
      <c r="CR67" s="37">
        <v>144.76666666666699</v>
      </c>
      <c r="CS67" s="37">
        <v>145.96666666666701</v>
      </c>
      <c r="CT67" s="37">
        <v>146.69999999999999</v>
      </c>
      <c r="CU67" s="37">
        <v>147.53333333333299</v>
      </c>
      <c r="CV67" s="37">
        <v>148.9</v>
      </c>
      <c r="CW67" s="37">
        <v>149.76666666666699</v>
      </c>
      <c r="CX67" s="37">
        <v>150.86666666666699</v>
      </c>
      <c r="CY67" s="37">
        <v>152.1</v>
      </c>
      <c r="CZ67" s="37">
        <v>152.86666666666699</v>
      </c>
      <c r="DA67" s="37">
        <v>153.69999999999999</v>
      </c>
      <c r="DB67" s="37">
        <v>155.066666666667</v>
      </c>
      <c r="DC67" s="37">
        <v>156.4</v>
      </c>
      <c r="DD67" s="37">
        <v>157.30000000000001</v>
      </c>
      <c r="DE67" s="37">
        <v>158.666666666667</v>
      </c>
      <c r="DF67" s="37">
        <v>159.63333333333301</v>
      </c>
      <c r="DG67" s="37">
        <v>160</v>
      </c>
      <c r="DH67" s="37">
        <v>160.80000000000001</v>
      </c>
      <c r="DI67" s="37">
        <v>161.666666666667</v>
      </c>
      <c r="DJ67" s="37">
        <v>162</v>
      </c>
      <c r="DK67" s="37">
        <v>162.53333333333299</v>
      </c>
      <c r="DL67" s="37">
        <v>163.36666666666699</v>
      </c>
      <c r="DM67" s="37">
        <v>164.13333333333301</v>
      </c>
      <c r="DN67" s="37">
        <v>164.73333333333301</v>
      </c>
      <c r="DO67" s="37">
        <v>165.96666666666701</v>
      </c>
      <c r="DP67" s="37">
        <v>167.2</v>
      </c>
      <c r="DQ67" s="37">
        <v>168.433333333333</v>
      </c>
      <c r="DR67" s="37">
        <v>170.1</v>
      </c>
      <c r="DS67" s="37">
        <v>171.433333333333</v>
      </c>
      <c r="DT67" s="37">
        <v>173</v>
      </c>
      <c r="DU67" s="37">
        <v>174.23333333333301</v>
      </c>
      <c r="DV67" s="37">
        <v>175.9</v>
      </c>
      <c r="DW67" s="37">
        <v>177.13333333333301</v>
      </c>
      <c r="DX67" s="37">
        <v>177.63333333333301</v>
      </c>
      <c r="DY67" s="37">
        <v>177.5</v>
      </c>
      <c r="DZ67" s="37">
        <v>178.066666666667</v>
      </c>
      <c r="EA67" s="37">
        <v>179.46666666666701</v>
      </c>
      <c r="EB67" s="37">
        <v>180.433333333333</v>
      </c>
      <c r="EC67" s="37">
        <v>181.5</v>
      </c>
      <c r="ED67" s="37">
        <v>183.36666666666699</v>
      </c>
      <c r="EE67" s="37">
        <v>183.066666666667</v>
      </c>
      <c r="EF67" s="37">
        <v>184.433333333333</v>
      </c>
      <c r="EG67" s="37">
        <v>185.13333333333301</v>
      </c>
      <c r="EH67" s="37">
        <v>186.7</v>
      </c>
      <c r="EI67" s="37">
        <v>188.166666666667</v>
      </c>
      <c r="EJ67" s="37">
        <v>189.36666666666699</v>
      </c>
      <c r="EK67" s="37">
        <v>191.4</v>
      </c>
      <c r="EL67" s="37">
        <v>192.36666666666699</v>
      </c>
      <c r="EM67" s="37">
        <v>193.666666666667</v>
      </c>
      <c r="EN67" s="37">
        <v>196.6</v>
      </c>
      <c r="EO67" s="37">
        <v>198.433333333333</v>
      </c>
      <c r="EP67" s="37">
        <v>199.46666666666701</v>
      </c>
      <c r="EQ67" s="37">
        <v>201.26666666666699</v>
      </c>
      <c r="ER67" s="37">
        <v>203.166666666667</v>
      </c>
      <c r="ES67" s="37">
        <v>202.333333333333</v>
      </c>
      <c r="ET67" s="37">
        <v>204.31700000000001</v>
      </c>
      <c r="EU67" s="37">
        <v>206.631</v>
      </c>
      <c r="EV67" s="37">
        <v>207.93899999999999</v>
      </c>
      <c r="EW67" s="37">
        <v>210.48966666666701</v>
      </c>
      <c r="EX67" s="37">
        <v>212.76966666666701</v>
      </c>
      <c r="EY67" s="37">
        <v>215.53766666666701</v>
      </c>
      <c r="EZ67" s="37">
        <v>218.86099999999999</v>
      </c>
      <c r="FA67" s="37">
        <v>213.84866666666699</v>
      </c>
      <c r="FB67" s="37">
        <v>212.37766666666701</v>
      </c>
      <c r="FC67" s="37">
        <v>213.50700000000001</v>
      </c>
      <c r="FD67" s="37">
        <v>215.34399999999999</v>
      </c>
      <c r="FE67" s="37">
        <v>217.03</v>
      </c>
      <c r="FF67" s="37">
        <v>217.374</v>
      </c>
      <c r="FG67" s="37">
        <v>217.297333333333</v>
      </c>
      <c r="FH67" s="37">
        <v>217.934333333333</v>
      </c>
      <c r="FI67" s="37">
        <v>219.69900000000001</v>
      </c>
      <c r="FJ67" s="37">
        <v>222.04366666666701</v>
      </c>
      <c r="FK67" s="37">
        <v>224.56833333333299</v>
      </c>
      <c r="FL67" s="37">
        <v>226.03266666666701</v>
      </c>
      <c r="FM67" s="37">
        <v>227.047333333333</v>
      </c>
      <c r="FN67" s="37">
        <v>228.32599999999999</v>
      </c>
      <c r="FO67" s="37">
        <v>228.80799999999999</v>
      </c>
      <c r="FP67" s="37">
        <v>229.84100000000001</v>
      </c>
      <c r="FQ67" s="37">
        <v>231.369333333333</v>
      </c>
      <c r="FR67" s="37">
        <v>232.29933333333301</v>
      </c>
      <c r="FS67" s="37">
        <v>232.04499999999999</v>
      </c>
      <c r="FT67" s="37">
        <v>233.3</v>
      </c>
      <c r="FU67" s="37">
        <v>234.16266666666701</v>
      </c>
      <c r="FV67" s="37">
        <v>235.62100000000001</v>
      </c>
      <c r="FW67" s="37">
        <v>236.87233333333299</v>
      </c>
      <c r="FX67" s="37">
        <v>237.47833333333301</v>
      </c>
      <c r="FY67" s="37">
        <v>236.88833333333301</v>
      </c>
      <c r="FZ67" s="37">
        <v>235.35499999999999</v>
      </c>
      <c r="GA67" s="37">
        <v>236.96</v>
      </c>
      <c r="GB67" s="37">
        <v>237.85499999999999</v>
      </c>
      <c r="GC67" s="37">
        <v>237.83699999999999</v>
      </c>
      <c r="GD67" s="37">
        <v>237.689333333333</v>
      </c>
      <c r="GE67" s="37">
        <v>239.59033333333301</v>
      </c>
      <c r="GF67" s="37">
        <v>240.607333333333</v>
      </c>
      <c r="GG67" s="37">
        <v>242.13466666666699</v>
      </c>
      <c r="GH67" s="37">
        <v>243.838666666667</v>
      </c>
      <c r="GI67" s="37">
        <v>244.12</v>
      </c>
      <c r="GJ67" s="37">
        <v>245.28700000000001</v>
      </c>
      <c r="GK67" s="37">
        <v>247.238333333333</v>
      </c>
      <c r="GL67" s="37">
        <v>249.25433333333299</v>
      </c>
      <c r="GM67" s="37">
        <v>250.68100000000001</v>
      </c>
      <c r="GN67" s="37">
        <v>251.77033333333301</v>
      </c>
      <c r="GO67" s="37">
        <v>252.69</v>
      </c>
      <c r="GP67" s="37">
        <v>253.292666666667</v>
      </c>
      <c r="GQ67" s="37">
        <v>255.28299999999999</v>
      </c>
      <c r="GR67" s="37">
        <v>256.22500000000002</v>
      </c>
      <c r="GS67" s="37">
        <v>257.78533333333303</v>
      </c>
      <c r="GT67" s="37">
        <v>258.61799999999999</v>
      </c>
      <c r="GU67" s="37">
        <v>256.41833333333301</v>
      </c>
      <c r="GV67" s="37">
        <v>259.43766666666698</v>
      </c>
      <c r="GW67" s="37">
        <v>260.87900000000002</v>
      </c>
      <c r="GX67" s="37">
        <v>263.52466666666697</v>
      </c>
      <c r="GY67" s="37">
        <v>268.76033333333299</v>
      </c>
      <c r="GZ67" s="37">
        <v>273.16333333333301</v>
      </c>
      <c r="HA67" s="37">
        <v>278.41333333333301</v>
      </c>
      <c r="HB67" s="37">
        <v>284.607666666667</v>
      </c>
      <c r="HC67">
        <v>291.821666666667</v>
      </c>
      <c r="HD67">
        <v>295.88400000000001</v>
      </c>
    </row>
    <row r="68" spans="1:212" x14ac:dyDescent="0.3">
      <c r="A68" s="37" t="s">
        <v>1826</v>
      </c>
      <c r="B68" s="37">
        <v>38.299999999999997</v>
      </c>
      <c r="C68" s="37">
        <v>38.8333333333333</v>
      </c>
      <c r="D68" s="37">
        <v>39.233333333333299</v>
      </c>
      <c r="E68" s="37">
        <v>39.799999999999997</v>
      </c>
      <c r="F68" s="37">
        <v>40.1666666666667</v>
      </c>
      <c r="G68" s="37">
        <v>40.533333333333303</v>
      </c>
      <c r="H68" s="37">
        <v>40.966666666666697</v>
      </c>
      <c r="I68" s="37">
        <v>41.233333333333299</v>
      </c>
      <c r="J68" s="37">
        <v>41.6</v>
      </c>
      <c r="K68" s="37">
        <v>41.8</v>
      </c>
      <c r="L68" s="37">
        <v>42.2</v>
      </c>
      <c r="M68" s="37">
        <v>42.633333333333297</v>
      </c>
      <c r="N68" s="37">
        <v>43.266666666666701</v>
      </c>
      <c r="O68" s="37">
        <v>44.1666666666667</v>
      </c>
      <c r="P68" s="37">
        <v>45.066666666666698</v>
      </c>
      <c r="Q68" s="37">
        <v>46.1666666666667</v>
      </c>
      <c r="R68" s="37">
        <v>47.566666666666698</v>
      </c>
      <c r="S68" s="37">
        <v>48.766666666666701</v>
      </c>
      <c r="T68" s="37">
        <v>50.233333333333299</v>
      </c>
      <c r="U68" s="37">
        <v>51.766666666666701</v>
      </c>
      <c r="V68" s="37">
        <v>52.866666666666703</v>
      </c>
      <c r="W68" s="37">
        <v>53.5</v>
      </c>
      <c r="X68" s="37">
        <v>54.566666666666698</v>
      </c>
      <c r="Y68" s="37">
        <v>55.566666666666698</v>
      </c>
      <c r="Z68" s="37">
        <v>56.233333333333299</v>
      </c>
      <c r="AA68" s="37">
        <v>56.733333333333299</v>
      </c>
      <c r="AB68" s="37">
        <v>57.6</v>
      </c>
      <c r="AC68" s="37">
        <v>58.433333333333302</v>
      </c>
      <c r="AD68" s="37">
        <v>59.533333333333303</v>
      </c>
      <c r="AE68" s="37">
        <v>60.6</v>
      </c>
      <c r="AF68" s="37">
        <v>61.433333333333302</v>
      </c>
      <c r="AG68" s="37">
        <v>62.266666666666701</v>
      </c>
      <c r="AH68" s="37">
        <v>63.366666666666703</v>
      </c>
      <c r="AI68" s="37">
        <v>64.766666666666694</v>
      </c>
      <c r="AJ68" s="37">
        <v>66.233333333333306</v>
      </c>
      <c r="AK68" s="37">
        <v>67.8333333333333</v>
      </c>
      <c r="AL68" s="37">
        <v>69.566666666666706</v>
      </c>
      <c r="AM68" s="37">
        <v>71.900000000000006</v>
      </c>
      <c r="AN68" s="37">
        <v>74.233333333333306</v>
      </c>
      <c r="AO68" s="37">
        <v>76.5</v>
      </c>
      <c r="AP68" s="37">
        <v>79.5</v>
      </c>
      <c r="AQ68" s="37">
        <v>82.2</v>
      </c>
      <c r="AR68" s="37">
        <v>83.733333333333306</v>
      </c>
      <c r="AS68" s="37">
        <v>86.1666666666667</v>
      </c>
      <c r="AT68" s="37">
        <v>88.466666666666697</v>
      </c>
      <c r="AU68" s="37">
        <v>90.233333333333306</v>
      </c>
      <c r="AV68" s="37">
        <v>92.733333333333306</v>
      </c>
      <c r="AW68" s="37">
        <v>94.1666666666667</v>
      </c>
      <c r="AX68" s="37">
        <v>94.966666666666697</v>
      </c>
      <c r="AY68" s="37">
        <v>96.233333333333306</v>
      </c>
      <c r="AZ68" s="37">
        <v>98</v>
      </c>
      <c r="BA68" s="37">
        <v>98.3333333333333</v>
      </c>
      <c r="BB68" s="37">
        <v>98.3</v>
      </c>
      <c r="BC68" s="37">
        <v>99.433333333333294</v>
      </c>
      <c r="BD68" s="37">
        <v>100.4</v>
      </c>
      <c r="BE68" s="37">
        <v>101.166666666667</v>
      </c>
      <c r="BF68" s="37">
        <v>101.933333333333</v>
      </c>
      <c r="BG68" s="37">
        <v>102.466666666667</v>
      </c>
      <c r="BH68" s="37">
        <v>103.933333333333</v>
      </c>
      <c r="BI68" s="37">
        <v>104.8</v>
      </c>
      <c r="BJ68" s="37">
        <v>105.666666666667</v>
      </c>
      <c r="BK68" s="37">
        <v>106.633333333333</v>
      </c>
      <c r="BL68" s="37">
        <v>107.133333333333</v>
      </c>
      <c r="BM68" s="37">
        <v>108.2</v>
      </c>
      <c r="BN68" s="37">
        <v>108.666666666667</v>
      </c>
      <c r="BO68" s="37">
        <v>107.933333333333</v>
      </c>
      <c r="BP68" s="37">
        <v>108.5</v>
      </c>
      <c r="BQ68" s="37">
        <v>109.2</v>
      </c>
      <c r="BR68" s="37">
        <v>110.666666666667</v>
      </c>
      <c r="BS68" s="37">
        <v>111.966666666667</v>
      </c>
      <c r="BT68" s="37">
        <v>113.166666666667</v>
      </c>
      <c r="BU68" s="37">
        <v>114.166666666667</v>
      </c>
      <c r="BV68" s="37">
        <v>114.933333333333</v>
      </c>
      <c r="BW68" s="37">
        <v>116.2</v>
      </c>
      <c r="BX68" s="37">
        <v>117.73333333333299</v>
      </c>
      <c r="BY68" s="37">
        <v>118.933333333333</v>
      </c>
      <c r="BZ68" s="37">
        <v>120.366666666667</v>
      </c>
      <c r="CA68" s="37">
        <v>122.4</v>
      </c>
      <c r="CB68" s="37">
        <v>123.26666666666701</v>
      </c>
      <c r="CC68" s="37">
        <v>124.4</v>
      </c>
      <c r="CD68" s="37">
        <v>126.566666666667</v>
      </c>
      <c r="CE68" s="37">
        <v>127.666666666667</v>
      </c>
      <c r="CF68" s="37">
        <v>129.86666666666699</v>
      </c>
      <c r="CG68" s="37">
        <v>132.1</v>
      </c>
      <c r="CH68" s="37">
        <v>132.933333333333</v>
      </c>
      <c r="CI68" s="37">
        <v>133.73333333333301</v>
      </c>
      <c r="CJ68" s="37">
        <v>134.63333333333301</v>
      </c>
      <c r="CK68" s="37">
        <v>135.73333333333301</v>
      </c>
      <c r="CL68" s="37">
        <v>136.53333333333299</v>
      </c>
      <c r="CM68" s="37">
        <v>137.566666666667</v>
      </c>
      <c r="CN68" s="37">
        <v>138.69999999999999</v>
      </c>
      <c r="CO68" s="37">
        <v>139.80000000000001</v>
      </c>
      <c r="CP68" s="37">
        <v>140.76666666666699</v>
      </c>
      <c r="CQ68" s="37">
        <v>141.73333333333301</v>
      </c>
      <c r="CR68" s="37">
        <v>142.333333333333</v>
      </c>
      <c r="CS68" s="37">
        <v>143.433333333333</v>
      </c>
      <c r="CT68" s="37">
        <v>144.03333333333299</v>
      </c>
      <c r="CU68" s="37">
        <v>144.86666666666699</v>
      </c>
      <c r="CV68" s="37">
        <v>146.4</v>
      </c>
      <c r="CW68" s="37">
        <v>147.26666666666699</v>
      </c>
      <c r="CX68" s="37">
        <v>148.333333333333</v>
      </c>
      <c r="CY68" s="37">
        <v>149.5</v>
      </c>
      <c r="CZ68" s="37">
        <v>150.166666666667</v>
      </c>
      <c r="DA68" s="37">
        <v>151</v>
      </c>
      <c r="DB68" s="37">
        <v>152.4</v>
      </c>
      <c r="DC68" s="37">
        <v>153.73333333333301</v>
      </c>
      <c r="DD68" s="37">
        <v>154.566666666667</v>
      </c>
      <c r="DE68" s="37">
        <v>155.86666666666699</v>
      </c>
      <c r="DF68" s="37">
        <v>156.80000000000001</v>
      </c>
      <c r="DG68" s="37">
        <v>157.1</v>
      </c>
      <c r="DH68" s="37">
        <v>157.80000000000001</v>
      </c>
      <c r="DI68" s="37">
        <v>158.53333333333299</v>
      </c>
      <c r="DJ68" s="37">
        <v>158.73333333333301</v>
      </c>
      <c r="DK68" s="37">
        <v>159.19999999999999</v>
      </c>
      <c r="DL68" s="37">
        <v>159.96666666666701</v>
      </c>
      <c r="DM68" s="37">
        <v>160.76666666666699</v>
      </c>
      <c r="DN68" s="37">
        <v>161.36666666666699</v>
      </c>
      <c r="DO68" s="37">
        <v>162.53333333333299</v>
      </c>
      <c r="DP68" s="37">
        <v>163.9</v>
      </c>
      <c r="DQ68" s="37">
        <v>165.2</v>
      </c>
      <c r="DR68" s="37">
        <v>166.833333333333</v>
      </c>
      <c r="DS68" s="37">
        <v>168.166666666667</v>
      </c>
      <c r="DT68" s="37">
        <v>169.7</v>
      </c>
      <c r="DU68" s="37">
        <v>170.833333333333</v>
      </c>
      <c r="DV68" s="37">
        <v>172.433333333333</v>
      </c>
      <c r="DW68" s="37">
        <v>173.73333333333301</v>
      </c>
      <c r="DX68" s="37">
        <v>174.1</v>
      </c>
      <c r="DY68" s="37">
        <v>173.666666666667</v>
      </c>
      <c r="DZ68" s="37">
        <v>174.03333333333299</v>
      </c>
      <c r="EA68" s="37">
        <v>175.53333333333299</v>
      </c>
      <c r="EB68" s="37">
        <v>176.5</v>
      </c>
      <c r="EC68" s="37">
        <v>177.46666666666701</v>
      </c>
      <c r="ED68" s="37">
        <v>179.46666666666701</v>
      </c>
      <c r="EE68" s="37">
        <v>178.933333333333</v>
      </c>
      <c r="EF68" s="37">
        <v>180.2</v>
      </c>
      <c r="EG68" s="37">
        <v>180.73333333333301</v>
      </c>
      <c r="EH68" s="37">
        <v>182.333333333333</v>
      </c>
      <c r="EI68" s="37">
        <v>183.666666666667</v>
      </c>
      <c r="EJ68" s="37">
        <v>184.86666666666699</v>
      </c>
      <c r="EK68" s="37">
        <v>187.066666666667</v>
      </c>
      <c r="EL68" s="37">
        <v>187.933333333333</v>
      </c>
      <c r="EM68" s="37">
        <v>189.23333333333301</v>
      </c>
      <c r="EN68" s="37">
        <v>192.566666666667</v>
      </c>
      <c r="EO68" s="37">
        <v>194.2</v>
      </c>
      <c r="EP68" s="37">
        <v>195.13333333333301</v>
      </c>
      <c r="EQ68" s="37">
        <v>196.933333333333</v>
      </c>
      <c r="ER68" s="37">
        <v>198.8</v>
      </c>
      <c r="ES68" s="37">
        <v>197.566666666667</v>
      </c>
      <c r="ET68" s="37">
        <v>199.553</v>
      </c>
      <c r="EU68" s="37">
        <v>202.077</v>
      </c>
      <c r="EV68" s="37">
        <v>203.37</v>
      </c>
      <c r="EW68" s="37">
        <v>206.08566666666701</v>
      </c>
      <c r="EX68" s="37">
        <v>208.51599999999999</v>
      </c>
      <c r="EY68" s="37">
        <v>211.50266666666701</v>
      </c>
      <c r="EZ68" s="37">
        <v>215.13</v>
      </c>
      <c r="FA68" s="37">
        <v>208.838666666667</v>
      </c>
      <c r="FB68" s="37">
        <v>206.94333333333299</v>
      </c>
      <c r="FC68" s="37">
        <v>208.39033333333299</v>
      </c>
      <c r="FD68" s="37">
        <v>210.69499999999999</v>
      </c>
      <c r="FE68" s="37">
        <v>212.63266666666701</v>
      </c>
      <c r="FF68" s="37">
        <v>213.23699999999999</v>
      </c>
      <c r="FG68" s="37">
        <v>213.15066666666701</v>
      </c>
      <c r="FH68" s="37">
        <v>213.82</v>
      </c>
      <c r="FI68" s="37">
        <v>215.76400000000001</v>
      </c>
      <c r="FJ68" s="37">
        <v>218.41566666666699</v>
      </c>
      <c r="FK68" s="37">
        <v>221.28766666666701</v>
      </c>
      <c r="FL68" s="37">
        <v>222.738</v>
      </c>
      <c r="FM68" s="37">
        <v>223.774666666667</v>
      </c>
      <c r="FN68" s="37">
        <v>225.08733333333299</v>
      </c>
      <c r="FO68" s="37">
        <v>225.45933333333301</v>
      </c>
      <c r="FP68" s="37">
        <v>226.357</v>
      </c>
      <c r="FQ68" s="37">
        <v>227.97166666666701</v>
      </c>
      <c r="FR68" s="37">
        <v>228.83666666666701</v>
      </c>
      <c r="FS68" s="37">
        <v>228.40966666666699</v>
      </c>
      <c r="FT68" s="37">
        <v>229.589</v>
      </c>
      <c r="FU68" s="37">
        <v>230.43366666666699</v>
      </c>
      <c r="FV68" s="37">
        <v>231.95</v>
      </c>
      <c r="FW68" s="37">
        <v>233.101333333333</v>
      </c>
      <c r="FX68" s="37">
        <v>233.494333333333</v>
      </c>
      <c r="FY68" s="37">
        <v>232.43100000000001</v>
      </c>
      <c r="FZ68" s="37">
        <v>230.23666666666699</v>
      </c>
      <c r="GA68" s="37">
        <v>231.957666666667</v>
      </c>
      <c r="GB68" s="37">
        <v>232.69333333333299</v>
      </c>
      <c r="GC68" s="37">
        <v>232.280333333333</v>
      </c>
      <c r="GD68" s="37">
        <v>231.78100000000001</v>
      </c>
      <c r="GE68" s="37">
        <v>233.774</v>
      </c>
      <c r="GF68" s="37">
        <v>234.59666666666701</v>
      </c>
      <c r="GG68" s="37">
        <v>236.14066666666699</v>
      </c>
      <c r="GH68" s="37">
        <v>237.85900000000001</v>
      </c>
      <c r="GI68" s="37">
        <v>237.92533333333299</v>
      </c>
      <c r="GJ68" s="37">
        <v>239.136666666667</v>
      </c>
      <c r="GK68" s="37">
        <v>241.27633333333301</v>
      </c>
      <c r="GL68" s="37">
        <v>243.36033333333299</v>
      </c>
      <c r="GM68" s="37">
        <v>244.732</v>
      </c>
      <c r="GN68" s="37">
        <v>245.84033333333301</v>
      </c>
      <c r="GO68" s="37">
        <v>246.613333333333</v>
      </c>
      <c r="GP68" s="37">
        <v>246.874</v>
      </c>
      <c r="GQ68" s="37">
        <v>248.91200000000001</v>
      </c>
      <c r="GR68" s="37">
        <v>249.72499999999999</v>
      </c>
      <c r="GS68" s="37">
        <v>251.32566666666699</v>
      </c>
      <c r="GT68" s="37">
        <v>251.99033333333301</v>
      </c>
      <c r="GU68" s="37">
        <v>249.54300000000001</v>
      </c>
      <c r="GV68" s="37">
        <v>253.03966666666699</v>
      </c>
      <c r="GW68" s="37">
        <v>254.55600000000001</v>
      </c>
      <c r="GX68" s="37">
        <v>257.47199999999998</v>
      </c>
      <c r="GY68" s="37">
        <v>263.11700000000002</v>
      </c>
      <c r="GZ68" s="37">
        <v>267.898666666667</v>
      </c>
      <c r="HA68" s="37">
        <v>273.53666666666697</v>
      </c>
      <c r="HB68" s="37">
        <v>280.10300000000001</v>
      </c>
      <c r="HC68">
        <v>287.47933333333299</v>
      </c>
      <c r="HD68">
        <v>291.26533333333299</v>
      </c>
    </row>
    <row r="69" spans="1:212" x14ac:dyDescent="0.3">
      <c r="A69" s="37" t="s">
        <v>1827</v>
      </c>
      <c r="B69" s="37">
        <v>4945.1000000000004</v>
      </c>
      <c r="C69" s="37">
        <v>4986.3</v>
      </c>
      <c r="D69" s="37">
        <v>5026.2</v>
      </c>
      <c r="E69" s="37">
        <v>5065</v>
      </c>
      <c r="F69" s="37">
        <v>5103.8999999999996</v>
      </c>
      <c r="G69" s="37">
        <v>5143.6000000000004</v>
      </c>
      <c r="H69" s="37">
        <v>5183.8999999999996</v>
      </c>
      <c r="I69" s="37">
        <v>5224.7</v>
      </c>
      <c r="J69" s="37">
        <v>5266.4</v>
      </c>
      <c r="K69" s="37">
        <v>5308.6</v>
      </c>
      <c r="L69" s="37">
        <v>5351.6</v>
      </c>
      <c r="M69" s="37">
        <v>5395.2</v>
      </c>
      <c r="N69" s="37">
        <v>5439.9</v>
      </c>
      <c r="O69" s="37">
        <v>5486.7</v>
      </c>
      <c r="P69" s="37">
        <v>5534.1</v>
      </c>
      <c r="Q69" s="37">
        <v>5582.5</v>
      </c>
      <c r="R69" s="37">
        <v>5631.6</v>
      </c>
      <c r="S69" s="37">
        <v>5681</v>
      </c>
      <c r="T69" s="37">
        <v>5729.8</v>
      </c>
      <c r="U69" s="37">
        <v>5777.8</v>
      </c>
      <c r="V69" s="37">
        <v>5824.5</v>
      </c>
      <c r="W69" s="37">
        <v>5870.3</v>
      </c>
      <c r="X69" s="37">
        <v>5915.6</v>
      </c>
      <c r="Y69" s="37">
        <v>5960.9</v>
      </c>
      <c r="Z69" s="37">
        <v>6006.2</v>
      </c>
      <c r="AA69" s="37">
        <v>6052.3</v>
      </c>
      <c r="AB69" s="37">
        <v>6099.8</v>
      </c>
      <c r="AC69" s="37">
        <v>6148.1</v>
      </c>
      <c r="AD69" s="37">
        <v>6198</v>
      </c>
      <c r="AE69" s="37">
        <v>6249</v>
      </c>
      <c r="AF69" s="37">
        <v>6300.8</v>
      </c>
      <c r="AG69" s="37">
        <v>6354.1</v>
      </c>
      <c r="AH69" s="37">
        <v>6408.7</v>
      </c>
      <c r="AI69" s="37">
        <v>6464.5</v>
      </c>
      <c r="AJ69" s="37">
        <v>6521.7</v>
      </c>
      <c r="AK69" s="37">
        <v>6580</v>
      </c>
      <c r="AL69" s="37">
        <v>6640</v>
      </c>
      <c r="AM69" s="37">
        <v>6697.9</v>
      </c>
      <c r="AN69" s="37">
        <v>6757</v>
      </c>
      <c r="AO69" s="37">
        <v>6807.4</v>
      </c>
      <c r="AP69" s="37">
        <v>6854</v>
      </c>
      <c r="AQ69" s="37">
        <v>6896.1</v>
      </c>
      <c r="AR69" s="37">
        <v>6933.6</v>
      </c>
      <c r="AS69" s="37">
        <v>6973.3</v>
      </c>
      <c r="AT69" s="37">
        <v>7017.1</v>
      </c>
      <c r="AU69" s="37">
        <v>7064.1</v>
      </c>
      <c r="AV69" s="37">
        <v>7113.7</v>
      </c>
      <c r="AW69" s="37">
        <v>7165.8</v>
      </c>
      <c r="AX69" s="37">
        <v>7219.9</v>
      </c>
      <c r="AY69" s="37">
        <v>7275.2</v>
      </c>
      <c r="AZ69" s="37">
        <v>7331.6</v>
      </c>
      <c r="BA69" s="37">
        <v>7389.2</v>
      </c>
      <c r="BB69" s="37">
        <v>7446.7</v>
      </c>
      <c r="BC69" s="37">
        <v>7505.6</v>
      </c>
      <c r="BD69" s="37">
        <v>7566.2</v>
      </c>
      <c r="BE69" s="37">
        <v>7629.3</v>
      </c>
      <c r="BF69" s="37">
        <v>7701.2</v>
      </c>
      <c r="BG69" s="37">
        <v>7768.9</v>
      </c>
      <c r="BH69" s="37">
        <v>7838.1</v>
      </c>
      <c r="BI69" s="37">
        <v>7908.4</v>
      </c>
      <c r="BJ69" s="37">
        <v>7979</v>
      </c>
      <c r="BK69" s="37">
        <v>8049.7</v>
      </c>
      <c r="BL69" s="37">
        <v>8120.4</v>
      </c>
      <c r="BM69" s="37">
        <v>8190.5</v>
      </c>
      <c r="BN69" s="37">
        <v>8260.1</v>
      </c>
      <c r="BO69" s="37">
        <v>8329.2999999999993</v>
      </c>
      <c r="BP69" s="37">
        <v>8398.2999999999993</v>
      </c>
      <c r="BQ69" s="37">
        <v>8467.2999999999993</v>
      </c>
      <c r="BR69" s="37">
        <v>8535.7999999999993</v>
      </c>
      <c r="BS69" s="37">
        <v>8604.1</v>
      </c>
      <c r="BT69" s="37">
        <v>8672.1</v>
      </c>
      <c r="BU69" s="37">
        <v>8740.4</v>
      </c>
      <c r="BV69" s="37">
        <v>8808.2000000000007</v>
      </c>
      <c r="BW69" s="37">
        <v>8876.4</v>
      </c>
      <c r="BX69" s="37">
        <v>8944.2999999999993</v>
      </c>
      <c r="BY69" s="37">
        <v>9012.2000000000007</v>
      </c>
      <c r="BZ69" s="37">
        <v>9079.7999999999993</v>
      </c>
      <c r="CA69" s="37">
        <v>9146.9</v>
      </c>
      <c r="CB69" s="37">
        <v>9213.7000000000007</v>
      </c>
      <c r="CC69" s="37">
        <v>9280.1</v>
      </c>
      <c r="CD69" s="37">
        <v>9345.7000000000007</v>
      </c>
      <c r="CE69" s="37">
        <v>9410.7000000000007</v>
      </c>
      <c r="CF69" s="37">
        <v>9474.2999999999993</v>
      </c>
      <c r="CG69" s="37">
        <v>9536.7000000000007</v>
      </c>
      <c r="CH69" s="37">
        <v>9598.1</v>
      </c>
      <c r="CI69" s="37">
        <v>9658.7999999999993</v>
      </c>
      <c r="CJ69" s="37">
        <v>9719.1</v>
      </c>
      <c r="CK69" s="37">
        <v>9779.7000000000007</v>
      </c>
      <c r="CL69" s="37">
        <v>9841</v>
      </c>
      <c r="CM69" s="37">
        <v>9903.2000000000007</v>
      </c>
      <c r="CN69" s="37">
        <v>9967.2000000000007</v>
      </c>
      <c r="CO69" s="37">
        <v>10032.200000000001</v>
      </c>
      <c r="CP69" s="37">
        <v>10098.299999999999</v>
      </c>
      <c r="CQ69" s="37">
        <v>10166</v>
      </c>
      <c r="CR69" s="37">
        <v>10234.700000000001</v>
      </c>
      <c r="CS69" s="37">
        <v>10304.200000000001</v>
      </c>
      <c r="CT69" s="37">
        <v>10374.299999999999</v>
      </c>
      <c r="CU69" s="37">
        <v>10444.9</v>
      </c>
      <c r="CV69" s="37">
        <v>10516.4</v>
      </c>
      <c r="CW69" s="37">
        <v>10588.5</v>
      </c>
      <c r="CX69" s="37">
        <v>10660.9</v>
      </c>
      <c r="CY69" s="37">
        <v>10733.9</v>
      </c>
      <c r="CZ69" s="37">
        <v>10807.2</v>
      </c>
      <c r="DA69" s="37">
        <v>10882.1</v>
      </c>
      <c r="DB69" s="37">
        <v>10958.2</v>
      </c>
      <c r="DC69" s="37">
        <v>11039</v>
      </c>
      <c r="DD69" s="37">
        <v>11125.5</v>
      </c>
      <c r="DE69" s="37">
        <v>11217.6</v>
      </c>
      <c r="DF69" s="37">
        <v>11315.1</v>
      </c>
      <c r="DG69" s="37">
        <v>11417.5</v>
      </c>
      <c r="DH69" s="37">
        <v>11525.1</v>
      </c>
      <c r="DI69" s="37">
        <v>11636.5</v>
      </c>
      <c r="DJ69" s="37">
        <v>11751.3</v>
      </c>
      <c r="DK69" s="37">
        <v>11869.8</v>
      </c>
      <c r="DL69" s="37">
        <v>11990.4</v>
      </c>
      <c r="DM69" s="37">
        <v>12113.2</v>
      </c>
      <c r="DN69" s="37">
        <v>12238.5</v>
      </c>
      <c r="DO69" s="37">
        <v>12365.3</v>
      </c>
      <c r="DP69" s="37">
        <v>12493.7</v>
      </c>
      <c r="DQ69" s="37">
        <v>12624.3</v>
      </c>
      <c r="DR69" s="37">
        <v>12756.2</v>
      </c>
      <c r="DS69" s="37">
        <v>12885.5</v>
      </c>
      <c r="DT69" s="37">
        <v>13010</v>
      </c>
      <c r="DU69" s="37">
        <v>13129.1</v>
      </c>
      <c r="DV69" s="37">
        <v>13242.6</v>
      </c>
      <c r="DW69" s="37">
        <v>13350.4</v>
      </c>
      <c r="DX69" s="37">
        <v>13452.5</v>
      </c>
      <c r="DY69" s="37">
        <v>13549.6</v>
      </c>
      <c r="DZ69" s="37">
        <v>13642</v>
      </c>
      <c r="EA69" s="37">
        <v>13731.5</v>
      </c>
      <c r="EB69" s="37">
        <v>13819.4</v>
      </c>
      <c r="EC69" s="37">
        <v>13906.1</v>
      </c>
      <c r="ED69" s="37">
        <v>13992.5</v>
      </c>
      <c r="EE69" s="37">
        <v>14079.7</v>
      </c>
      <c r="EF69" s="37">
        <v>14167</v>
      </c>
      <c r="EG69" s="37">
        <v>14255.3</v>
      </c>
      <c r="EH69" s="37">
        <v>14345.5</v>
      </c>
      <c r="EI69" s="37">
        <v>14437</v>
      </c>
      <c r="EJ69" s="37">
        <v>14530.7</v>
      </c>
      <c r="EK69" s="37">
        <v>14625.5</v>
      </c>
      <c r="EL69" s="37">
        <v>14718.9</v>
      </c>
      <c r="EM69" s="37">
        <v>14810</v>
      </c>
      <c r="EN69" s="37">
        <v>14899.8</v>
      </c>
      <c r="EO69" s="37">
        <v>14987.7</v>
      </c>
      <c r="EP69" s="37">
        <v>15073.7</v>
      </c>
      <c r="EQ69" s="37">
        <v>15158</v>
      </c>
      <c r="ER69" s="37">
        <v>15239.1</v>
      </c>
      <c r="ES69" s="37">
        <v>15316.9</v>
      </c>
      <c r="ET69" s="37">
        <v>15394.6</v>
      </c>
      <c r="EU69" s="37">
        <v>15472.8</v>
      </c>
      <c r="EV69" s="37">
        <v>15551.7</v>
      </c>
      <c r="EW69" s="37">
        <v>15630.2</v>
      </c>
      <c r="EX69" s="37">
        <v>15707.9</v>
      </c>
      <c r="EY69" s="37">
        <v>15782.9</v>
      </c>
      <c r="EZ69" s="37">
        <v>15854.5</v>
      </c>
      <c r="FA69" s="37">
        <v>15921.6</v>
      </c>
      <c r="FB69" s="37">
        <v>15983.3</v>
      </c>
      <c r="FC69" s="37">
        <v>16040.7</v>
      </c>
      <c r="FD69" s="37">
        <v>16094.7</v>
      </c>
      <c r="FE69" s="37">
        <v>16147.1</v>
      </c>
      <c r="FF69" s="37">
        <v>16199.7</v>
      </c>
      <c r="FG69" s="37">
        <v>16253.7</v>
      </c>
      <c r="FH69" s="37">
        <v>16310.4</v>
      </c>
      <c r="FI69" s="37">
        <v>16369.3</v>
      </c>
      <c r="FJ69" s="37">
        <v>16430.5</v>
      </c>
      <c r="FK69" s="37">
        <v>16494.099999999999</v>
      </c>
      <c r="FL69" s="37">
        <v>16560.099999999999</v>
      </c>
      <c r="FM69" s="37">
        <v>16627.900000000001</v>
      </c>
      <c r="FN69" s="37">
        <v>16697.400000000001</v>
      </c>
      <c r="FO69" s="37">
        <v>16769</v>
      </c>
      <c r="FP69" s="37">
        <v>16842.2</v>
      </c>
      <c r="FQ69" s="37">
        <v>16916.7</v>
      </c>
      <c r="FR69" s="37">
        <v>16992.599999999999</v>
      </c>
      <c r="FS69" s="37">
        <v>17069.599999999999</v>
      </c>
      <c r="FT69" s="37">
        <v>17147.2</v>
      </c>
      <c r="FU69" s="37">
        <v>17225.8</v>
      </c>
      <c r="FV69" s="37">
        <v>17305.400000000001</v>
      </c>
      <c r="FW69" s="37">
        <v>17385.7</v>
      </c>
      <c r="FX69" s="37">
        <v>17467.5</v>
      </c>
      <c r="FY69" s="37">
        <v>17550</v>
      </c>
      <c r="FZ69" s="37">
        <v>17632.8</v>
      </c>
      <c r="GA69" s="37">
        <v>17715.599999999999</v>
      </c>
      <c r="GB69" s="37">
        <v>17797.900000000001</v>
      </c>
      <c r="GC69" s="37">
        <v>17879.099999999999</v>
      </c>
      <c r="GD69" s="37">
        <v>17959.5</v>
      </c>
      <c r="GE69" s="37">
        <v>18039.099999999999</v>
      </c>
      <c r="GF69" s="37">
        <v>18117.599999999999</v>
      </c>
      <c r="GG69" s="37">
        <v>18195.900000000001</v>
      </c>
      <c r="GH69" s="37">
        <v>18274.5</v>
      </c>
      <c r="GI69" s="37">
        <v>18353</v>
      </c>
      <c r="GJ69" s="37">
        <v>18433.5</v>
      </c>
      <c r="GK69" s="37">
        <v>18516.099999999999</v>
      </c>
      <c r="GL69" s="37">
        <v>18600.5</v>
      </c>
      <c r="GM69" s="37">
        <v>18687.3</v>
      </c>
      <c r="GN69" s="37">
        <v>18776.099999999999</v>
      </c>
      <c r="GO69" s="37">
        <v>18865.400000000001</v>
      </c>
      <c r="GP69" s="37">
        <v>18954.8</v>
      </c>
      <c r="GQ69" s="37">
        <v>19044.900000000001</v>
      </c>
      <c r="GR69" s="37">
        <v>19135.400000000001</v>
      </c>
      <c r="GS69" s="37">
        <v>19225.599999999999</v>
      </c>
      <c r="GT69" s="37">
        <v>19314.3</v>
      </c>
      <c r="GU69" s="37">
        <v>19399.7</v>
      </c>
      <c r="GV69" s="37">
        <v>19477.2</v>
      </c>
      <c r="GW69" s="37">
        <v>19559.3</v>
      </c>
      <c r="GX69" s="37">
        <v>19644.5</v>
      </c>
      <c r="GY69" s="37">
        <v>19733</v>
      </c>
      <c r="GZ69" s="37">
        <v>19822.8</v>
      </c>
      <c r="HA69" s="37">
        <v>19914.3</v>
      </c>
      <c r="HB69" s="37">
        <v>20005.5</v>
      </c>
      <c r="HC69">
        <v>20101.2</v>
      </c>
      <c r="HD69">
        <v>20197.900000000001</v>
      </c>
    </row>
    <row r="70" spans="1:212" x14ac:dyDescent="0.3">
      <c r="A70" s="37" t="s">
        <v>1828</v>
      </c>
      <c r="B70" s="37">
        <v>1052.3</v>
      </c>
      <c r="C70" s="37">
        <v>1075.9000000000001</v>
      </c>
      <c r="D70" s="37">
        <v>1093.5</v>
      </c>
      <c r="E70" s="37">
        <v>1116.4000000000001</v>
      </c>
      <c r="F70" s="37">
        <v>1142.0999999999999</v>
      </c>
      <c r="G70" s="37">
        <v>1166.0999999999999</v>
      </c>
      <c r="H70" s="37">
        <v>1187.2</v>
      </c>
      <c r="I70" s="37">
        <v>1206.5</v>
      </c>
      <c r="J70" s="37">
        <v>1234.5999999999999</v>
      </c>
      <c r="K70" s="37">
        <v>1252.3</v>
      </c>
      <c r="L70" s="37">
        <v>1274.5</v>
      </c>
      <c r="M70" s="37">
        <v>1301.2</v>
      </c>
      <c r="N70" s="37">
        <v>1327.1</v>
      </c>
      <c r="O70" s="37">
        <v>1359.1</v>
      </c>
      <c r="P70" s="37">
        <v>1397.5</v>
      </c>
      <c r="Q70" s="37">
        <v>1437.9</v>
      </c>
      <c r="R70" s="37">
        <v>1477.9</v>
      </c>
      <c r="S70" s="37">
        <v>1526.1</v>
      </c>
      <c r="T70" s="37">
        <v>1584.3</v>
      </c>
      <c r="U70" s="37">
        <v>1644.6</v>
      </c>
      <c r="V70" s="37">
        <v>1695.5</v>
      </c>
      <c r="W70" s="37">
        <v>1734.3</v>
      </c>
      <c r="X70" s="37">
        <v>1778.5</v>
      </c>
      <c r="Y70" s="37">
        <v>1822.1</v>
      </c>
      <c r="Z70" s="37">
        <v>1855.4</v>
      </c>
      <c r="AA70" s="37">
        <v>1888.4</v>
      </c>
      <c r="AB70" s="37">
        <v>1927.9</v>
      </c>
      <c r="AC70" s="37">
        <v>1978</v>
      </c>
      <c r="AD70" s="37">
        <v>2026</v>
      </c>
      <c r="AE70" s="37">
        <v>2071.6</v>
      </c>
      <c r="AF70" s="37">
        <v>2114.1999999999998</v>
      </c>
      <c r="AG70" s="37">
        <v>2178.1</v>
      </c>
      <c r="AH70" s="37">
        <v>2228.9</v>
      </c>
      <c r="AI70" s="37">
        <v>2291.1</v>
      </c>
      <c r="AJ70" s="37">
        <v>2350.6999999999998</v>
      </c>
      <c r="AK70" s="37">
        <v>2420.1999999999998</v>
      </c>
      <c r="AL70" s="37">
        <v>2486.8000000000002</v>
      </c>
      <c r="AM70" s="37">
        <v>2569.9</v>
      </c>
      <c r="AN70" s="37">
        <v>2649.3</v>
      </c>
      <c r="AO70" s="37">
        <v>2718.6</v>
      </c>
      <c r="AP70" s="37">
        <v>2794.7</v>
      </c>
      <c r="AQ70" s="37">
        <v>2878.8</v>
      </c>
      <c r="AR70" s="37">
        <v>2959.2</v>
      </c>
      <c r="AS70" s="37">
        <v>3053.7</v>
      </c>
      <c r="AT70" s="37">
        <v>3153.7</v>
      </c>
      <c r="AU70" s="37">
        <v>3237.7</v>
      </c>
      <c r="AV70" s="37">
        <v>3321.8</v>
      </c>
      <c r="AW70" s="37">
        <v>3404</v>
      </c>
      <c r="AX70" s="37">
        <v>3476.9</v>
      </c>
      <c r="AY70" s="37">
        <v>3549</v>
      </c>
      <c r="AZ70" s="37">
        <v>3627.3</v>
      </c>
      <c r="BA70" s="37">
        <v>3693.7</v>
      </c>
      <c r="BB70" s="37">
        <v>3750.5</v>
      </c>
      <c r="BC70" s="37">
        <v>3808.2</v>
      </c>
      <c r="BD70" s="37">
        <v>3879.8</v>
      </c>
      <c r="BE70" s="37">
        <v>3941.8</v>
      </c>
      <c r="BF70" s="37">
        <v>4019.2</v>
      </c>
      <c r="BG70" s="37">
        <v>4089.3</v>
      </c>
      <c r="BH70" s="37">
        <v>4162.3999999999996</v>
      </c>
      <c r="BI70" s="37">
        <v>4231.2</v>
      </c>
      <c r="BJ70" s="37">
        <v>4311.1000000000004</v>
      </c>
      <c r="BK70" s="37">
        <v>4377.3</v>
      </c>
      <c r="BL70" s="37">
        <v>4442.3999999999996</v>
      </c>
      <c r="BM70" s="37">
        <v>4505.8</v>
      </c>
      <c r="BN70" s="37">
        <v>4566.7</v>
      </c>
      <c r="BO70" s="37">
        <v>4622.3</v>
      </c>
      <c r="BP70" s="37">
        <v>4679.8</v>
      </c>
      <c r="BQ70" s="37">
        <v>4743.8999999999996</v>
      </c>
      <c r="BR70" s="37">
        <v>4812.7</v>
      </c>
      <c r="BS70" s="37">
        <v>4884.8</v>
      </c>
      <c r="BT70" s="37">
        <v>4960.7</v>
      </c>
      <c r="BU70" s="37">
        <v>5039.5</v>
      </c>
      <c r="BV70" s="37">
        <v>5118.5</v>
      </c>
      <c r="BW70" s="37">
        <v>5208.2</v>
      </c>
      <c r="BX70" s="37">
        <v>5310.8</v>
      </c>
      <c r="BY70" s="37">
        <v>5397.4</v>
      </c>
      <c r="BZ70" s="37">
        <v>5494.6</v>
      </c>
      <c r="CA70" s="37">
        <v>5594.2</v>
      </c>
      <c r="CB70" s="37">
        <v>5676.2</v>
      </c>
      <c r="CC70" s="37">
        <v>5757.8</v>
      </c>
      <c r="CD70" s="37">
        <v>5861.1</v>
      </c>
      <c r="CE70" s="37">
        <v>5967.9</v>
      </c>
      <c r="CF70" s="37">
        <v>6059.7</v>
      </c>
      <c r="CG70" s="37">
        <v>6145</v>
      </c>
      <c r="CH70" s="37">
        <v>6245.3</v>
      </c>
      <c r="CI70" s="37">
        <v>6330.9</v>
      </c>
      <c r="CJ70" s="37">
        <v>6420.1</v>
      </c>
      <c r="CK70" s="37">
        <v>6498.5</v>
      </c>
      <c r="CL70" s="37">
        <v>6563.6</v>
      </c>
      <c r="CM70" s="37">
        <v>6644.8</v>
      </c>
      <c r="CN70" s="37">
        <v>6720.3</v>
      </c>
      <c r="CO70" s="37">
        <v>6810.7</v>
      </c>
      <c r="CP70" s="37">
        <v>6894.1</v>
      </c>
      <c r="CQ70" s="37">
        <v>6981.5</v>
      </c>
      <c r="CR70" s="37">
        <v>7070.5</v>
      </c>
      <c r="CS70" s="37">
        <v>7157.4</v>
      </c>
      <c r="CT70" s="37">
        <v>7240.6</v>
      </c>
      <c r="CU70" s="37">
        <v>7325</v>
      </c>
      <c r="CV70" s="37">
        <v>7417.5</v>
      </c>
      <c r="CW70" s="37">
        <v>7508.8</v>
      </c>
      <c r="CX70" s="37">
        <v>7601.1</v>
      </c>
      <c r="CY70" s="37">
        <v>7690.1</v>
      </c>
      <c r="CZ70" s="37">
        <v>7780.7</v>
      </c>
      <c r="DA70" s="37">
        <v>7872.4</v>
      </c>
      <c r="DB70" s="37">
        <v>7965.6</v>
      </c>
      <c r="DC70" s="37">
        <v>8057.5</v>
      </c>
      <c r="DD70" s="37">
        <v>8147.2</v>
      </c>
      <c r="DE70" s="37">
        <v>8258.6</v>
      </c>
      <c r="DF70" s="37">
        <v>8380</v>
      </c>
      <c r="DG70" s="37">
        <v>8472.9</v>
      </c>
      <c r="DH70" s="37">
        <v>8589.9</v>
      </c>
      <c r="DI70" s="37">
        <v>8701.5</v>
      </c>
      <c r="DJ70" s="37">
        <v>8800.1</v>
      </c>
      <c r="DK70" s="37">
        <v>8909.9</v>
      </c>
      <c r="DL70" s="37">
        <v>9039.1</v>
      </c>
      <c r="DM70" s="37">
        <v>9156.7999999999993</v>
      </c>
      <c r="DN70" s="37">
        <v>9281</v>
      </c>
      <c r="DO70" s="37">
        <v>9412.7000000000007</v>
      </c>
      <c r="DP70" s="37">
        <v>9544.2999999999993</v>
      </c>
      <c r="DQ70" s="37">
        <v>9697.4</v>
      </c>
      <c r="DR70" s="37">
        <v>9863.7000000000007</v>
      </c>
      <c r="DS70" s="37">
        <v>10025.799999999999</v>
      </c>
      <c r="DT70" s="37">
        <v>10182.1</v>
      </c>
      <c r="DU70" s="37">
        <v>10330.9</v>
      </c>
      <c r="DV70" s="37">
        <v>10488.7</v>
      </c>
      <c r="DW70" s="37">
        <v>10638</v>
      </c>
      <c r="DX70" s="37">
        <v>10761.5</v>
      </c>
      <c r="DY70" s="37">
        <v>10872.9</v>
      </c>
      <c r="DZ70" s="37">
        <v>10982.4</v>
      </c>
      <c r="EA70" s="37">
        <v>11092.8</v>
      </c>
      <c r="EB70" s="37">
        <v>11217.6</v>
      </c>
      <c r="EC70" s="37">
        <v>11352.6</v>
      </c>
      <c r="ED70" s="37">
        <v>11480.2</v>
      </c>
      <c r="EE70" s="37">
        <v>11591.6</v>
      </c>
      <c r="EF70" s="37">
        <v>11729.6</v>
      </c>
      <c r="EG70" s="37">
        <v>11875.4</v>
      </c>
      <c r="EH70" s="37">
        <v>12035.1</v>
      </c>
      <c r="EI70" s="37">
        <v>12209.2</v>
      </c>
      <c r="EJ70" s="37">
        <v>12367.3</v>
      </c>
      <c r="EK70" s="37">
        <v>12544.3</v>
      </c>
      <c r="EL70" s="37">
        <v>12725</v>
      </c>
      <c r="EM70" s="37">
        <v>12896.8</v>
      </c>
      <c r="EN70" s="37">
        <v>13092.9</v>
      </c>
      <c r="EO70" s="37">
        <v>13276.8</v>
      </c>
      <c r="EP70" s="37">
        <v>13447.2</v>
      </c>
      <c r="EQ70" s="37">
        <v>13642.3</v>
      </c>
      <c r="ER70" s="37">
        <v>13810.9</v>
      </c>
      <c r="ES70" s="37">
        <v>13933.5</v>
      </c>
      <c r="ET70" s="37">
        <v>14138.2</v>
      </c>
      <c r="EU70" s="37">
        <v>14305</v>
      </c>
      <c r="EV70" s="37">
        <v>14452.7</v>
      </c>
      <c r="EW70" s="37">
        <v>14587.3</v>
      </c>
      <c r="EX70" s="37">
        <v>14711.2</v>
      </c>
      <c r="EY70" s="37">
        <v>14856.4</v>
      </c>
      <c r="EZ70" s="37">
        <v>15036.4</v>
      </c>
      <c r="FA70" s="37">
        <v>15135.9</v>
      </c>
      <c r="FB70" s="37">
        <v>15187.1</v>
      </c>
      <c r="FC70" s="37">
        <v>15214.9</v>
      </c>
      <c r="FD70" s="37">
        <v>15282.7</v>
      </c>
      <c r="FE70" s="37">
        <v>15382.7</v>
      </c>
      <c r="FF70" s="37">
        <v>15474.9</v>
      </c>
      <c r="FG70" s="37">
        <v>15602.3</v>
      </c>
      <c r="FH70" s="37">
        <v>15704</v>
      </c>
      <c r="FI70" s="37">
        <v>15853.1</v>
      </c>
      <c r="FJ70" s="37">
        <v>15994.4</v>
      </c>
      <c r="FK70" s="37">
        <v>16162.4</v>
      </c>
      <c r="FL70" s="37">
        <v>16327.4</v>
      </c>
      <c r="FM70" s="37">
        <v>16414</v>
      </c>
      <c r="FN70" s="37">
        <v>16582.599999999999</v>
      </c>
      <c r="FO70" s="37">
        <v>16720.900000000001</v>
      </c>
      <c r="FP70" s="37">
        <v>16880.7</v>
      </c>
      <c r="FQ70" s="37">
        <v>17041.599999999999</v>
      </c>
      <c r="FR70" s="37">
        <v>17186.5</v>
      </c>
      <c r="FS70" s="37">
        <v>17313.400000000001</v>
      </c>
      <c r="FT70" s="37">
        <v>17474.099999999999</v>
      </c>
      <c r="FU70" s="37">
        <v>17659</v>
      </c>
      <c r="FV70" s="37">
        <v>17814.7</v>
      </c>
      <c r="FW70" s="37">
        <v>17998.599999999999</v>
      </c>
      <c r="FX70" s="37">
        <v>18162.2</v>
      </c>
      <c r="FY70" s="37">
        <v>18278.3</v>
      </c>
      <c r="FZ70" s="37">
        <v>18357.900000000001</v>
      </c>
      <c r="GA70" s="37">
        <v>18544.099999999999</v>
      </c>
      <c r="GB70" s="37">
        <v>18685.8</v>
      </c>
      <c r="GC70" s="37">
        <v>18769.3</v>
      </c>
      <c r="GD70" s="37">
        <v>18838.599999999999</v>
      </c>
      <c r="GE70" s="37">
        <v>19055.8</v>
      </c>
      <c r="GF70" s="37">
        <v>19192</v>
      </c>
      <c r="GG70" s="37">
        <v>19376.099999999999</v>
      </c>
      <c r="GH70" s="37">
        <v>19558.400000000001</v>
      </c>
      <c r="GI70" s="37">
        <v>19705.3</v>
      </c>
      <c r="GJ70" s="37">
        <v>19890.3</v>
      </c>
      <c r="GK70" s="37">
        <v>20121.400000000001</v>
      </c>
      <c r="GL70" s="37">
        <v>20323.2</v>
      </c>
      <c r="GM70" s="37">
        <v>20599.8</v>
      </c>
      <c r="GN70" s="37">
        <v>20765.8</v>
      </c>
      <c r="GO70" s="37">
        <v>20973.5</v>
      </c>
      <c r="GP70" s="37">
        <v>21137.200000000001</v>
      </c>
      <c r="GQ70" s="37">
        <v>21359.3</v>
      </c>
      <c r="GR70" s="37">
        <v>21530.6</v>
      </c>
      <c r="GS70" s="37">
        <v>21720.799999999999</v>
      </c>
      <c r="GT70" s="37">
        <v>21892.1</v>
      </c>
      <c r="GU70" s="37">
        <v>21894.2</v>
      </c>
      <c r="GV70" s="37">
        <v>22182.3</v>
      </c>
      <c r="GW70" s="37">
        <v>22383.3</v>
      </c>
      <c r="GX70" s="37">
        <v>22719.200000000001</v>
      </c>
      <c r="GY70" s="37">
        <v>23169.200000000001</v>
      </c>
      <c r="GZ70" s="37">
        <v>23612</v>
      </c>
      <c r="HA70" s="37">
        <v>24134.2</v>
      </c>
      <c r="HB70" s="37">
        <v>24577</v>
      </c>
      <c r="HC70">
        <v>24971.1</v>
      </c>
      <c r="HD70">
        <v>25289.599999999999</v>
      </c>
    </row>
    <row r="71" spans="1:212" x14ac:dyDescent="0.3">
      <c r="A71" s="37" t="s">
        <v>1829</v>
      </c>
      <c r="B71" s="37">
        <v>1</v>
      </c>
      <c r="C71" s="37">
        <v>1</v>
      </c>
      <c r="D71" s="37">
        <v>1</v>
      </c>
      <c r="E71" s="37">
        <v>1</v>
      </c>
      <c r="F71" s="37">
        <v>-1</v>
      </c>
      <c r="G71" s="37">
        <v>-1</v>
      </c>
      <c r="H71" s="37">
        <v>-1</v>
      </c>
      <c r="I71" s="37">
        <v>-1</v>
      </c>
      <c r="J71" s="37">
        <v>-1</v>
      </c>
      <c r="K71" s="37">
        <v>-1</v>
      </c>
      <c r="L71" s="37">
        <v>-1</v>
      </c>
      <c r="M71" s="37">
        <v>-1</v>
      </c>
      <c r="N71" s="37">
        <v>-1</v>
      </c>
      <c r="O71" s="37">
        <v>-1</v>
      </c>
      <c r="P71" s="37">
        <v>-1</v>
      </c>
      <c r="Q71" s="37">
        <v>1</v>
      </c>
      <c r="R71" s="37">
        <v>1</v>
      </c>
      <c r="S71" s="37">
        <v>1</v>
      </c>
      <c r="T71" s="37">
        <v>1</v>
      </c>
      <c r="U71" s="37">
        <v>1</v>
      </c>
      <c r="V71" s="37">
        <v>1</v>
      </c>
      <c r="W71" s="37">
        <v>-1</v>
      </c>
      <c r="X71" s="37">
        <v>-1</v>
      </c>
      <c r="Y71" s="37">
        <v>-1</v>
      </c>
      <c r="Z71" s="37">
        <v>-1</v>
      </c>
      <c r="AA71" s="37">
        <v>-1</v>
      </c>
      <c r="AB71" s="37">
        <v>-1</v>
      </c>
      <c r="AC71" s="37">
        <v>-1</v>
      </c>
      <c r="AD71" s="37">
        <v>-1</v>
      </c>
      <c r="AE71" s="37">
        <v>-1</v>
      </c>
      <c r="AF71" s="37">
        <v>-1</v>
      </c>
      <c r="AG71" s="37">
        <v>-1</v>
      </c>
      <c r="AH71" s="37">
        <v>-1</v>
      </c>
      <c r="AI71" s="37">
        <v>-1</v>
      </c>
      <c r="AJ71" s="37">
        <v>-1</v>
      </c>
      <c r="AK71" s="37">
        <v>-1</v>
      </c>
      <c r="AL71" s="37">
        <v>-1</v>
      </c>
      <c r="AM71" s="37">
        <v>-1</v>
      </c>
      <c r="AN71" s="37">
        <v>-1</v>
      </c>
      <c r="AO71" s="37">
        <v>-1</v>
      </c>
      <c r="AP71" s="37">
        <v>1</v>
      </c>
      <c r="AQ71" s="37">
        <v>1</v>
      </c>
      <c r="AR71" s="37">
        <v>1</v>
      </c>
      <c r="AS71" s="37">
        <v>-1</v>
      </c>
      <c r="AT71" s="37">
        <v>-1</v>
      </c>
      <c r="AU71" s="37">
        <v>-1</v>
      </c>
      <c r="AV71" s="37">
        <v>1</v>
      </c>
      <c r="AW71" s="37">
        <v>1</v>
      </c>
      <c r="AX71" s="37">
        <v>1</v>
      </c>
      <c r="AY71" s="37">
        <v>1</v>
      </c>
      <c r="AZ71" s="37">
        <v>1</v>
      </c>
      <c r="BA71" s="37">
        <v>1</v>
      </c>
      <c r="BB71" s="37">
        <v>-1</v>
      </c>
      <c r="BC71" s="37">
        <v>-1</v>
      </c>
      <c r="BD71" s="37">
        <v>-1</v>
      </c>
      <c r="BE71" s="37">
        <v>-1</v>
      </c>
      <c r="BF71" s="37">
        <v>-1</v>
      </c>
      <c r="BG71" s="37">
        <v>-1</v>
      </c>
      <c r="BH71" s="37">
        <v>-1</v>
      </c>
      <c r="BI71" s="37">
        <v>-1</v>
      </c>
      <c r="BJ71" s="37">
        <v>-1</v>
      </c>
      <c r="BK71" s="37">
        <v>-1</v>
      </c>
      <c r="BL71" s="37">
        <v>-1</v>
      </c>
      <c r="BM71" s="37">
        <v>-1</v>
      </c>
      <c r="BN71" s="37">
        <v>-1</v>
      </c>
      <c r="BO71" s="37">
        <v>-1</v>
      </c>
      <c r="BP71" s="37">
        <v>-1</v>
      </c>
      <c r="BQ71" s="37">
        <v>-1</v>
      </c>
      <c r="BR71" s="37">
        <v>-1</v>
      </c>
      <c r="BS71" s="37">
        <v>-1</v>
      </c>
      <c r="BT71" s="37">
        <v>-1</v>
      </c>
      <c r="BU71" s="37">
        <v>-1</v>
      </c>
      <c r="BV71" s="37">
        <v>-1</v>
      </c>
      <c r="BW71" s="37">
        <v>-1</v>
      </c>
      <c r="BX71" s="37">
        <v>-1</v>
      </c>
      <c r="BY71" s="37">
        <v>-1</v>
      </c>
      <c r="BZ71" s="37">
        <v>-1</v>
      </c>
      <c r="CA71" s="37">
        <v>-1</v>
      </c>
      <c r="CB71" s="37">
        <v>-1</v>
      </c>
      <c r="CC71" s="37">
        <v>-1</v>
      </c>
      <c r="CD71" s="37">
        <v>-1</v>
      </c>
      <c r="CE71" s="37">
        <v>-1</v>
      </c>
      <c r="CF71" s="37">
        <v>1</v>
      </c>
      <c r="CG71" s="37">
        <v>1</v>
      </c>
      <c r="CH71" s="37">
        <v>1</v>
      </c>
      <c r="CI71" s="37">
        <v>-1</v>
      </c>
      <c r="CJ71" s="37">
        <v>-1</v>
      </c>
      <c r="CK71" s="37">
        <v>-1</v>
      </c>
      <c r="CL71" s="37">
        <v>-1</v>
      </c>
      <c r="CM71" s="37">
        <v>-1</v>
      </c>
      <c r="CN71" s="37">
        <v>-1</v>
      </c>
      <c r="CO71" s="37">
        <v>-1</v>
      </c>
      <c r="CP71" s="37">
        <v>-1</v>
      </c>
      <c r="CQ71" s="37">
        <v>-1</v>
      </c>
      <c r="CR71" s="37">
        <v>-1</v>
      </c>
      <c r="CS71" s="37">
        <v>-1</v>
      </c>
      <c r="CT71" s="37">
        <v>-1</v>
      </c>
      <c r="CU71" s="37">
        <v>-1</v>
      </c>
      <c r="CV71" s="37">
        <v>-1</v>
      </c>
      <c r="CW71" s="37">
        <v>-1</v>
      </c>
      <c r="CX71" s="37">
        <v>-1</v>
      </c>
      <c r="CY71" s="37">
        <v>-1</v>
      </c>
      <c r="CZ71" s="37">
        <v>-1</v>
      </c>
      <c r="DA71" s="37">
        <v>-1</v>
      </c>
      <c r="DB71" s="37">
        <v>-1</v>
      </c>
      <c r="DC71" s="37">
        <v>-1</v>
      </c>
      <c r="DD71" s="37">
        <v>-1</v>
      </c>
      <c r="DE71" s="37">
        <v>-1</v>
      </c>
      <c r="DF71" s="37">
        <v>-1</v>
      </c>
      <c r="DG71" s="37">
        <v>-1</v>
      </c>
      <c r="DH71" s="37">
        <v>-1</v>
      </c>
      <c r="DI71" s="37">
        <v>-1</v>
      </c>
      <c r="DJ71" s="37">
        <v>-1</v>
      </c>
      <c r="DK71" s="37">
        <v>-1</v>
      </c>
      <c r="DL71" s="37">
        <v>-1</v>
      </c>
      <c r="DM71" s="37">
        <v>-1</v>
      </c>
      <c r="DN71" s="37">
        <v>-1</v>
      </c>
      <c r="DO71" s="37">
        <v>-1</v>
      </c>
      <c r="DP71" s="37">
        <v>-1</v>
      </c>
      <c r="DQ71" s="37">
        <v>-1</v>
      </c>
      <c r="DR71" s="37">
        <v>-1</v>
      </c>
      <c r="DS71" s="37">
        <v>-1</v>
      </c>
      <c r="DT71" s="37">
        <v>-1</v>
      </c>
      <c r="DU71" s="37">
        <v>-1</v>
      </c>
      <c r="DV71" s="37">
        <v>1</v>
      </c>
      <c r="DW71" s="37">
        <v>1</v>
      </c>
      <c r="DX71" s="37">
        <v>1</v>
      </c>
      <c r="DY71" s="37">
        <v>1</v>
      </c>
      <c r="DZ71" s="37">
        <v>-1</v>
      </c>
      <c r="EA71" s="37">
        <v>-1</v>
      </c>
      <c r="EB71" s="37">
        <v>-1</v>
      </c>
      <c r="EC71" s="37">
        <v>-1</v>
      </c>
      <c r="ED71" s="37">
        <v>-1</v>
      </c>
      <c r="EE71" s="37">
        <v>-1</v>
      </c>
      <c r="EF71" s="37">
        <v>-1</v>
      </c>
      <c r="EG71" s="37">
        <v>-1</v>
      </c>
      <c r="EH71" s="37">
        <v>-1</v>
      </c>
      <c r="EI71" s="37">
        <v>-1</v>
      </c>
      <c r="EJ71" s="37">
        <v>-1</v>
      </c>
      <c r="EK71" s="37">
        <v>-1</v>
      </c>
      <c r="EL71" s="37">
        <v>-1</v>
      </c>
      <c r="EM71" s="37">
        <v>-1</v>
      </c>
      <c r="EN71" s="37">
        <v>-1</v>
      </c>
      <c r="EO71" s="37">
        <v>-1</v>
      </c>
      <c r="EP71" s="37">
        <v>-1</v>
      </c>
      <c r="EQ71" s="37">
        <v>-1</v>
      </c>
      <c r="ER71" s="37">
        <v>-1</v>
      </c>
      <c r="ES71" s="37">
        <v>-1</v>
      </c>
      <c r="ET71" s="37">
        <v>-1</v>
      </c>
      <c r="EU71" s="37">
        <v>-1</v>
      </c>
      <c r="EV71" s="37">
        <v>-1</v>
      </c>
      <c r="EW71" s="37">
        <v>1</v>
      </c>
      <c r="EX71" s="37">
        <v>1</v>
      </c>
      <c r="EY71" s="37">
        <v>1</v>
      </c>
      <c r="EZ71" s="37">
        <v>1</v>
      </c>
      <c r="FA71" s="37">
        <v>1</v>
      </c>
      <c r="FB71" s="37">
        <v>1</v>
      </c>
      <c r="FC71" s="37">
        <v>1</v>
      </c>
      <c r="FD71" s="37">
        <v>-1</v>
      </c>
      <c r="FE71" s="37">
        <v>-1</v>
      </c>
      <c r="FF71" s="37">
        <v>-1</v>
      </c>
      <c r="FG71" s="37">
        <v>-1</v>
      </c>
      <c r="FH71" s="37">
        <v>-1</v>
      </c>
      <c r="FI71" s="37">
        <v>-1</v>
      </c>
      <c r="FJ71" s="37">
        <v>-1</v>
      </c>
      <c r="FK71" s="37">
        <v>-1</v>
      </c>
      <c r="FL71" s="37">
        <v>-1</v>
      </c>
      <c r="FM71" s="37">
        <v>-1</v>
      </c>
      <c r="FN71" s="37">
        <v>-1</v>
      </c>
      <c r="FO71" s="37">
        <v>-1</v>
      </c>
      <c r="FP71" s="37">
        <v>-1</v>
      </c>
      <c r="FQ71" s="37">
        <v>-1</v>
      </c>
      <c r="FR71" s="37">
        <v>-1</v>
      </c>
      <c r="FS71" s="37">
        <v>-1</v>
      </c>
      <c r="FT71" s="37">
        <v>-1</v>
      </c>
      <c r="FU71" s="37">
        <v>-1</v>
      </c>
      <c r="FV71" s="37">
        <v>-1</v>
      </c>
      <c r="FW71" s="37">
        <v>-1</v>
      </c>
      <c r="FX71" s="37">
        <v>-1</v>
      </c>
      <c r="FY71" s="37">
        <v>-1</v>
      </c>
      <c r="FZ71" s="37">
        <v>-1</v>
      </c>
      <c r="GA71" s="37">
        <v>-1</v>
      </c>
      <c r="GB71" s="37">
        <v>-1</v>
      </c>
      <c r="GC71" s="37">
        <v>-1</v>
      </c>
      <c r="GD71" s="37">
        <v>-1</v>
      </c>
      <c r="GE71" s="37">
        <v>-1</v>
      </c>
      <c r="GF71" s="37">
        <v>-1</v>
      </c>
      <c r="GG71" s="37">
        <v>-1</v>
      </c>
      <c r="GH71" s="37">
        <v>-1</v>
      </c>
      <c r="GI71" s="37">
        <v>-1</v>
      </c>
      <c r="GJ71" s="37">
        <v>-1</v>
      </c>
      <c r="GK71" s="37">
        <v>-1</v>
      </c>
      <c r="GL71" s="37">
        <v>-1</v>
      </c>
      <c r="GM71" s="37">
        <v>-1</v>
      </c>
      <c r="GN71" s="37">
        <v>-1</v>
      </c>
      <c r="GO71" s="37">
        <v>-1</v>
      </c>
      <c r="GP71" s="37">
        <v>-1</v>
      </c>
      <c r="GQ71" s="37">
        <v>-1</v>
      </c>
      <c r="GR71" s="37">
        <v>-1</v>
      </c>
      <c r="GS71" s="37">
        <v>1</v>
      </c>
      <c r="GT71" s="37">
        <v>1</v>
      </c>
      <c r="GU71" s="37">
        <v>1</v>
      </c>
      <c r="GV71" s="37">
        <v>-1</v>
      </c>
      <c r="GW71" s="37">
        <v>-1</v>
      </c>
      <c r="GX71" s="37">
        <v>-1</v>
      </c>
      <c r="GY71" s="37">
        <v>-1</v>
      </c>
      <c r="GZ71" s="37">
        <v>-1</v>
      </c>
      <c r="HA71" s="37">
        <v>-1</v>
      </c>
      <c r="HB71" s="37">
        <v>-1</v>
      </c>
      <c r="HC71">
        <v>-1</v>
      </c>
      <c r="HD71">
        <v>-1</v>
      </c>
    </row>
    <row r="72" spans="1:212" x14ac:dyDescent="0.3">
      <c r="A72" s="37" t="s">
        <v>1830</v>
      </c>
      <c r="B72" s="37">
        <v>2613.3333333333298</v>
      </c>
      <c r="C72" s="37">
        <v>2648.3333333333298</v>
      </c>
      <c r="D72" s="37">
        <v>2681.6666666666702</v>
      </c>
      <c r="E72" s="37">
        <v>2716.3333333333298</v>
      </c>
      <c r="F72" s="37">
        <v>2719.3333333333298</v>
      </c>
      <c r="G72" s="37">
        <v>2739.6666666666702</v>
      </c>
      <c r="H72" s="37">
        <v>2751.6666666666702</v>
      </c>
      <c r="I72" s="37">
        <v>2781</v>
      </c>
      <c r="J72" s="37">
        <v>2815</v>
      </c>
      <c r="K72" s="37">
        <v>2849</v>
      </c>
      <c r="L72" s="37">
        <v>2874</v>
      </c>
      <c r="M72" s="37">
        <v>2901.3333333333298</v>
      </c>
      <c r="N72" s="37">
        <v>2899.6666666666702</v>
      </c>
      <c r="O72" s="37">
        <v>2911.6666666666702</v>
      </c>
      <c r="P72" s="37">
        <v>2926.3333333333298</v>
      </c>
      <c r="Q72" s="37">
        <v>2953.3333333333298</v>
      </c>
      <c r="R72" s="37">
        <v>2988.6666666666702</v>
      </c>
      <c r="S72" s="37">
        <v>3018</v>
      </c>
      <c r="T72" s="37">
        <v>3048.3333333333298</v>
      </c>
      <c r="U72" s="37">
        <v>3099</v>
      </c>
      <c r="V72" s="37">
        <v>3161.6666666666702</v>
      </c>
      <c r="W72" s="37">
        <v>3177.3333333333298</v>
      </c>
      <c r="X72" s="37">
        <v>3178</v>
      </c>
      <c r="Y72" s="37">
        <v>3197.3333333333298</v>
      </c>
      <c r="Z72" s="37">
        <v>3214.3333333333298</v>
      </c>
      <c r="AA72" s="37">
        <v>3241.6666666666702</v>
      </c>
      <c r="AB72" s="37">
        <v>3290.6666666666702</v>
      </c>
      <c r="AC72" s="37">
        <v>3342</v>
      </c>
      <c r="AD72" s="37">
        <v>3341.3333333333298</v>
      </c>
      <c r="AE72" s="37">
        <v>3374.6666666666702</v>
      </c>
      <c r="AF72" s="37">
        <v>3385</v>
      </c>
      <c r="AG72" s="37">
        <v>3404.6666666666702</v>
      </c>
      <c r="AH72" s="37">
        <v>3442.3333333333298</v>
      </c>
      <c r="AI72" s="37">
        <v>3479</v>
      </c>
      <c r="AJ72" s="37">
        <v>3477.3333333333298</v>
      </c>
      <c r="AK72" s="37">
        <v>3494</v>
      </c>
      <c r="AL72" s="37">
        <v>3504.3333333333298</v>
      </c>
      <c r="AM72" s="37">
        <v>3518</v>
      </c>
      <c r="AN72" s="37">
        <v>3560.6666666666702</v>
      </c>
      <c r="AO72" s="37">
        <v>3579.3333333333298</v>
      </c>
      <c r="AP72" s="37">
        <v>3582</v>
      </c>
      <c r="AQ72" s="37">
        <v>3602.6666666666702</v>
      </c>
      <c r="AR72" s="37">
        <v>3624</v>
      </c>
      <c r="AS72" s="37">
        <v>3630.6666666666702</v>
      </c>
      <c r="AT72" s="37">
        <v>3636</v>
      </c>
      <c r="AU72" s="37">
        <v>3631.6666666666702</v>
      </c>
      <c r="AV72" s="37">
        <v>3640</v>
      </c>
      <c r="AW72" s="37">
        <v>3653</v>
      </c>
      <c r="AX72" s="37">
        <v>3645.6666666666702</v>
      </c>
      <c r="AY72" s="37">
        <v>3647.3333333333298</v>
      </c>
      <c r="AZ72" s="37">
        <v>3625.6666666666702</v>
      </c>
      <c r="BA72" s="37">
        <v>3640.3333333333298</v>
      </c>
      <c r="BB72" s="37">
        <v>3650.3333333333298</v>
      </c>
      <c r="BC72" s="37">
        <v>3656</v>
      </c>
      <c r="BD72" s="37">
        <v>3671.3333333333298</v>
      </c>
      <c r="BE72" s="37">
        <v>3671.6666666666702</v>
      </c>
      <c r="BF72" s="37">
        <v>3687</v>
      </c>
      <c r="BG72" s="37">
        <v>3720</v>
      </c>
      <c r="BH72" s="37">
        <v>3758</v>
      </c>
      <c r="BI72" s="37">
        <v>3773</v>
      </c>
      <c r="BJ72" s="37">
        <v>3798.3333333333298</v>
      </c>
      <c r="BK72" s="37">
        <v>3819.3333333333298</v>
      </c>
      <c r="BL72" s="37">
        <v>3844.3333333333298</v>
      </c>
      <c r="BM72" s="37">
        <v>3864.3333333333298</v>
      </c>
      <c r="BN72" s="37">
        <v>3872.3333333333298</v>
      </c>
      <c r="BO72" s="37">
        <v>3883</v>
      </c>
      <c r="BP72" s="37">
        <v>3889.3333333333298</v>
      </c>
      <c r="BQ72" s="37">
        <v>3926.6666666666702</v>
      </c>
      <c r="BR72" s="37">
        <v>3943.6666666666702</v>
      </c>
      <c r="BS72" s="37">
        <v>3953</v>
      </c>
      <c r="BT72" s="37">
        <v>3969</v>
      </c>
      <c r="BU72" s="37">
        <v>4000.6666666666702</v>
      </c>
      <c r="BV72" s="37">
        <v>4030.6666666666702</v>
      </c>
      <c r="BW72" s="37">
        <v>4065.3333333333298</v>
      </c>
      <c r="BX72" s="37">
        <v>4094.3333333333298</v>
      </c>
      <c r="BY72" s="37">
        <v>4114.6666666666697</v>
      </c>
      <c r="BZ72" s="37">
        <v>4135.6666666666697</v>
      </c>
      <c r="CA72" s="37">
        <v>4169</v>
      </c>
      <c r="CB72" s="37">
        <v>4201.3333333333303</v>
      </c>
      <c r="CC72" s="37">
        <v>4221</v>
      </c>
      <c r="CD72" s="37">
        <v>4258</v>
      </c>
      <c r="CE72" s="37">
        <v>4295.6666666666697</v>
      </c>
      <c r="CF72" s="37">
        <v>4322.6666666666697</v>
      </c>
      <c r="CG72" s="37">
        <v>4342.6666666666697</v>
      </c>
      <c r="CH72" s="37">
        <v>4358</v>
      </c>
      <c r="CI72" s="37">
        <v>4362.3333333333303</v>
      </c>
      <c r="CJ72" s="37">
        <v>4345</v>
      </c>
      <c r="CK72" s="37">
        <v>4354.3333333333303</v>
      </c>
      <c r="CL72" s="37">
        <v>4372</v>
      </c>
      <c r="CM72" s="37">
        <v>4395.6666666666697</v>
      </c>
      <c r="CN72" s="37">
        <v>4425.3333333333303</v>
      </c>
      <c r="CO72" s="37">
        <v>4438</v>
      </c>
      <c r="CP72" s="37">
        <v>4456</v>
      </c>
      <c r="CQ72" s="37">
        <v>4478</v>
      </c>
      <c r="CR72" s="37">
        <v>4496</v>
      </c>
      <c r="CS72" s="37">
        <v>4515</v>
      </c>
      <c r="CT72" s="37">
        <v>4523.6666666666697</v>
      </c>
      <c r="CU72" s="37">
        <v>4555.3333333333303</v>
      </c>
      <c r="CV72" s="37">
        <v>4600</v>
      </c>
      <c r="CW72" s="37">
        <v>4626.3333333333303</v>
      </c>
      <c r="CX72" s="37">
        <v>4649.6666666666697</v>
      </c>
      <c r="CY72" s="37">
        <v>4643</v>
      </c>
      <c r="CZ72" s="37">
        <v>4623.6666666666697</v>
      </c>
      <c r="DA72" s="37">
        <v>4624.6666666666697</v>
      </c>
      <c r="DB72" s="37">
        <v>4621.3333333333303</v>
      </c>
      <c r="DC72" s="37">
        <v>4618.3333333333303</v>
      </c>
      <c r="DD72" s="37">
        <v>4600.3333333333303</v>
      </c>
      <c r="DE72" s="37">
        <v>4581.3333333333303</v>
      </c>
      <c r="DF72" s="37">
        <v>4574.3333333333303</v>
      </c>
      <c r="DG72" s="37">
        <v>4577</v>
      </c>
      <c r="DH72" s="37">
        <v>4589</v>
      </c>
      <c r="DI72" s="37">
        <v>4583</v>
      </c>
      <c r="DJ72" s="37">
        <v>4578</v>
      </c>
      <c r="DK72" s="37">
        <v>4596.6666666666697</v>
      </c>
      <c r="DL72" s="37">
        <v>4631.6666666666697</v>
      </c>
      <c r="DM72" s="37">
        <v>4640.6666666666697</v>
      </c>
      <c r="DN72" s="37">
        <v>4669</v>
      </c>
      <c r="DO72" s="37">
        <v>4688.3333333333303</v>
      </c>
      <c r="DP72" s="37">
        <v>4717.3333333333303</v>
      </c>
      <c r="DQ72" s="37">
        <v>4757.3333333333303</v>
      </c>
      <c r="DR72" s="37">
        <v>4768</v>
      </c>
      <c r="DS72" s="37">
        <v>4779.3333333333303</v>
      </c>
      <c r="DT72" s="37">
        <v>4793.3333333333303</v>
      </c>
      <c r="DU72" s="37">
        <v>4809</v>
      </c>
      <c r="DV72" s="37">
        <v>4832</v>
      </c>
      <c r="DW72" s="37">
        <v>4877.6666666666697</v>
      </c>
      <c r="DX72" s="37">
        <v>4936.6666666666697</v>
      </c>
      <c r="DY72" s="37">
        <v>4977.3333333333303</v>
      </c>
      <c r="DZ72" s="37">
        <v>5004.3333333333303</v>
      </c>
      <c r="EA72" s="37">
        <v>5039</v>
      </c>
      <c r="EB72" s="37">
        <v>5052.6666666666697</v>
      </c>
      <c r="EC72" s="37">
        <v>5020.6666666666697</v>
      </c>
      <c r="ED72" s="37">
        <v>5029.3333333333303</v>
      </c>
      <c r="EE72" s="37">
        <v>5007.6666666666697</v>
      </c>
      <c r="EF72" s="37">
        <v>4978.6666666666697</v>
      </c>
      <c r="EG72" s="37">
        <v>4985.3333333333303</v>
      </c>
      <c r="EH72" s="37">
        <v>4968.3333333333303</v>
      </c>
      <c r="EI72" s="37">
        <v>4974</v>
      </c>
      <c r="EJ72" s="37">
        <v>4984</v>
      </c>
      <c r="EK72" s="37">
        <v>4995.3333333333303</v>
      </c>
      <c r="EL72" s="37">
        <v>5015.6666666666697</v>
      </c>
      <c r="EM72" s="37">
        <v>5023.3333333333303</v>
      </c>
      <c r="EN72" s="37">
        <v>5039.3333333333303</v>
      </c>
      <c r="EO72" s="37">
        <v>5047.6666666666697</v>
      </c>
      <c r="EP72" s="37">
        <v>5047</v>
      </c>
      <c r="EQ72" s="37">
        <v>5068.3333333333303</v>
      </c>
      <c r="ER72" s="37">
        <v>5086</v>
      </c>
      <c r="ES72" s="37">
        <v>5098.3333333333303</v>
      </c>
      <c r="ET72" s="37">
        <v>5106.3333333333303</v>
      </c>
      <c r="EU72" s="37">
        <v>5124.3333333333303</v>
      </c>
      <c r="EV72" s="37">
        <v>5122</v>
      </c>
      <c r="EW72" s="37">
        <v>5136</v>
      </c>
      <c r="EX72" s="37">
        <v>5148.6666666666697</v>
      </c>
      <c r="EY72" s="37">
        <v>5166</v>
      </c>
      <c r="EZ72" s="37">
        <v>5196.3333333333303</v>
      </c>
      <c r="FA72" s="37">
        <v>5189</v>
      </c>
      <c r="FB72" s="37">
        <v>5192</v>
      </c>
      <c r="FC72" s="37">
        <v>5181.6666666666697</v>
      </c>
      <c r="FD72" s="37">
        <v>5145.3333333333303</v>
      </c>
      <c r="FE72" s="37">
        <v>5153.3333333333303</v>
      </c>
      <c r="FF72" s="37">
        <v>5144</v>
      </c>
      <c r="FG72" s="37">
        <v>5136.6666666666697</v>
      </c>
      <c r="FH72" s="37">
        <v>5129.3333333333303</v>
      </c>
      <c r="FI72" s="37">
        <v>5137</v>
      </c>
      <c r="FJ72" s="37">
        <v>5113.3333333333303</v>
      </c>
      <c r="FK72" s="37">
        <v>5084.3333333333303</v>
      </c>
      <c r="FL72" s="37">
        <v>5069.6666666666697</v>
      </c>
      <c r="FM72" s="37">
        <v>5051</v>
      </c>
      <c r="FN72" s="37">
        <v>5048</v>
      </c>
      <c r="FO72" s="37">
        <v>5055.3333333333303</v>
      </c>
      <c r="FP72" s="37">
        <v>5064.6666666666697</v>
      </c>
      <c r="FQ72" s="37">
        <v>5051.6666666666697</v>
      </c>
      <c r="FR72" s="37">
        <v>5042</v>
      </c>
      <c r="FS72" s="37">
        <v>5044.6666666666697</v>
      </c>
      <c r="FT72" s="37">
        <v>5040</v>
      </c>
      <c r="FU72" s="37">
        <v>5055.3333333333303</v>
      </c>
      <c r="FV72" s="37">
        <v>5054.6666666666697</v>
      </c>
      <c r="FW72" s="37">
        <v>5054.6666666666697</v>
      </c>
      <c r="FX72" s="37">
        <v>5030.6666666666697</v>
      </c>
      <c r="FY72" s="37">
        <v>5052.6666666666697</v>
      </c>
      <c r="FZ72" s="37">
        <v>5067.6666666666697</v>
      </c>
      <c r="GA72" s="37">
        <v>5072.3333333333303</v>
      </c>
      <c r="GB72" s="37">
        <v>5077.6666666666697</v>
      </c>
      <c r="GC72" s="37">
        <v>5087.3333333333303</v>
      </c>
      <c r="GD72" s="37">
        <v>5089</v>
      </c>
      <c r="GE72" s="37">
        <v>5098.6666666666697</v>
      </c>
      <c r="GF72" s="37">
        <v>5126.6666666666697</v>
      </c>
      <c r="GG72" s="37">
        <v>5135.3333333333303</v>
      </c>
      <c r="GH72" s="37">
        <v>5159.6666666666697</v>
      </c>
      <c r="GI72" s="37">
        <v>5174.6666666666697</v>
      </c>
      <c r="GJ72" s="37">
        <v>5163.6666666666697</v>
      </c>
      <c r="GK72" s="37">
        <v>5157.3333333333303</v>
      </c>
      <c r="GL72" s="37">
        <v>5152</v>
      </c>
      <c r="GM72" s="37">
        <v>5177.6666666666697</v>
      </c>
      <c r="GN72" s="37">
        <v>5182.6666666666697</v>
      </c>
      <c r="GO72" s="37">
        <v>5174</v>
      </c>
      <c r="GP72" s="37">
        <v>5175</v>
      </c>
      <c r="GQ72" s="37">
        <v>5182</v>
      </c>
      <c r="GR72" s="37">
        <v>5214.6666666666697</v>
      </c>
      <c r="GS72" s="37">
        <v>5244</v>
      </c>
      <c r="GT72" s="37">
        <v>5273.6666666666697</v>
      </c>
      <c r="GU72" s="37">
        <v>5082.3333333333303</v>
      </c>
      <c r="GV72" s="37">
        <v>5100</v>
      </c>
      <c r="GW72" s="37">
        <v>5078</v>
      </c>
      <c r="GX72" s="37">
        <v>5160.3333333333303</v>
      </c>
      <c r="GY72" s="37">
        <v>5218.3333333333303</v>
      </c>
      <c r="GZ72" s="37">
        <v>5230.3333333333303</v>
      </c>
      <c r="HA72" s="37">
        <v>5227</v>
      </c>
      <c r="HB72" s="37">
        <v>5214.6666666666697</v>
      </c>
      <c r="HC72">
        <v>5238</v>
      </c>
      <c r="HD72">
        <v>5256</v>
      </c>
    </row>
    <row r="73" spans="1:212" x14ac:dyDescent="0.3">
      <c r="A73" s="37" t="s">
        <v>1831</v>
      </c>
      <c r="B73" s="37">
        <v>7048.6666666666697</v>
      </c>
      <c r="C73" s="37">
        <v>7104.3333333333303</v>
      </c>
      <c r="D73" s="37">
        <v>7204.3333333333303</v>
      </c>
      <c r="E73" s="37">
        <v>7279.3333333333303</v>
      </c>
      <c r="F73" s="37">
        <v>7353.3333333333303</v>
      </c>
      <c r="G73" s="37">
        <v>7419.6666666666697</v>
      </c>
      <c r="H73" s="37">
        <v>7443.6666666666697</v>
      </c>
      <c r="I73" s="37">
        <v>7534</v>
      </c>
      <c r="J73" s="37">
        <v>7651.6666666666697</v>
      </c>
      <c r="K73" s="37">
        <v>7726.3333333333303</v>
      </c>
      <c r="L73" s="37">
        <v>7855</v>
      </c>
      <c r="M73" s="37">
        <v>7931.3333333333303</v>
      </c>
      <c r="N73" s="37">
        <v>8016</v>
      </c>
      <c r="O73" s="37">
        <v>8115</v>
      </c>
      <c r="P73" s="37">
        <v>8183.6666666666697</v>
      </c>
      <c r="Q73" s="37">
        <v>8272.3333333333303</v>
      </c>
      <c r="R73" s="37">
        <v>8307.6666666666697</v>
      </c>
      <c r="S73" s="37">
        <v>8346.3333333333303</v>
      </c>
      <c r="T73" s="37">
        <v>8424.6666666666697</v>
      </c>
      <c r="U73" s="37">
        <v>8551.3333333333303</v>
      </c>
      <c r="V73" s="37">
        <v>8673</v>
      </c>
      <c r="W73" s="37">
        <v>8751.3333333333303</v>
      </c>
      <c r="X73" s="37">
        <v>8786.3333333333303</v>
      </c>
      <c r="Y73" s="37">
        <v>8824.6666666666697</v>
      </c>
      <c r="Z73" s="37">
        <v>8883</v>
      </c>
      <c r="AA73" s="37">
        <v>8868.6666666666697</v>
      </c>
      <c r="AB73" s="37">
        <v>8845</v>
      </c>
      <c r="AC73" s="37">
        <v>8861</v>
      </c>
      <c r="AD73" s="37">
        <v>8860.6666666666697</v>
      </c>
      <c r="AE73" s="37">
        <v>8907.3333333333303</v>
      </c>
      <c r="AF73" s="37">
        <v>9099.3333333333303</v>
      </c>
      <c r="AG73" s="37">
        <v>9231</v>
      </c>
      <c r="AH73" s="37">
        <v>9348.3333333333303</v>
      </c>
      <c r="AI73" s="37">
        <v>9466</v>
      </c>
      <c r="AJ73" s="37">
        <v>9492.3333333333303</v>
      </c>
      <c r="AK73" s="37">
        <v>9482.6666666666697</v>
      </c>
      <c r="AL73" s="37">
        <v>9531.3333333333303</v>
      </c>
      <c r="AM73" s="37">
        <v>9604.3333333333303</v>
      </c>
      <c r="AN73" s="37">
        <v>9710.6666666666697</v>
      </c>
      <c r="AO73" s="37">
        <v>9697.3333333333303</v>
      </c>
      <c r="AP73" s="37">
        <v>9741.3333333333303</v>
      </c>
      <c r="AQ73" s="37">
        <v>9749.3333333333303</v>
      </c>
      <c r="AR73" s="37">
        <v>9782.3333333333303</v>
      </c>
      <c r="AS73" s="37">
        <v>9793</v>
      </c>
      <c r="AT73" s="37">
        <v>9750.3333333333303</v>
      </c>
      <c r="AU73" s="37">
        <v>9665</v>
      </c>
      <c r="AV73" s="37">
        <v>9547.6666666666697</v>
      </c>
      <c r="AW73" s="37">
        <v>9507</v>
      </c>
      <c r="AX73" s="37">
        <v>9484.3333333333303</v>
      </c>
      <c r="AY73" s="37">
        <v>9495.6666666666697</v>
      </c>
      <c r="AZ73" s="37">
        <v>9409.6666666666697</v>
      </c>
      <c r="BA73" s="37">
        <v>9437</v>
      </c>
      <c r="BB73" s="37">
        <v>9447.3333333333303</v>
      </c>
      <c r="BC73" s="37">
        <v>9445.3333333333303</v>
      </c>
      <c r="BD73" s="37">
        <v>9433</v>
      </c>
      <c r="BE73" s="37">
        <v>9401.6666666666697</v>
      </c>
      <c r="BF73" s="37">
        <v>9412</v>
      </c>
      <c r="BG73" s="37">
        <v>9445.3333333333303</v>
      </c>
      <c r="BH73" s="37">
        <v>9509</v>
      </c>
      <c r="BI73" s="37">
        <v>9555</v>
      </c>
      <c r="BJ73" s="37">
        <v>9595.6666666666697</v>
      </c>
      <c r="BK73" s="37">
        <v>9640.3333333333303</v>
      </c>
      <c r="BL73" s="37">
        <v>9746.6666666666697</v>
      </c>
      <c r="BM73" s="37">
        <v>9764.3333333333303</v>
      </c>
      <c r="BN73" s="37">
        <v>9815.3333333333303</v>
      </c>
      <c r="BO73" s="37">
        <v>9854.3333333333303</v>
      </c>
      <c r="BP73" s="37">
        <v>9906.6666666666697</v>
      </c>
      <c r="BQ73" s="37">
        <v>10024.333333333299</v>
      </c>
      <c r="BR73" s="37">
        <v>10039.333333333299</v>
      </c>
      <c r="BS73" s="37">
        <v>10083.333333333299</v>
      </c>
      <c r="BT73" s="37">
        <v>10092.333333333299</v>
      </c>
      <c r="BU73" s="37">
        <v>10184.666666666701</v>
      </c>
      <c r="BV73" s="37">
        <v>10250.666666666701</v>
      </c>
      <c r="BW73" s="37">
        <v>10315.333333333299</v>
      </c>
      <c r="BX73" s="37">
        <v>10341.666666666701</v>
      </c>
      <c r="BY73" s="37">
        <v>10446.666666666701</v>
      </c>
      <c r="BZ73" s="37">
        <v>10510.666666666701</v>
      </c>
      <c r="CA73" s="37">
        <v>10566.333333333299</v>
      </c>
      <c r="CB73" s="37">
        <v>10640.666666666701</v>
      </c>
      <c r="CC73" s="37">
        <v>10719.666666666701</v>
      </c>
      <c r="CD73" s="37">
        <v>10814</v>
      </c>
      <c r="CE73" s="37">
        <v>10873</v>
      </c>
      <c r="CF73" s="37">
        <v>10967.333333333299</v>
      </c>
      <c r="CG73" s="37">
        <v>11000.333333333299</v>
      </c>
      <c r="CH73" s="37">
        <v>11027</v>
      </c>
      <c r="CI73" s="37">
        <v>11057.333333333299</v>
      </c>
      <c r="CJ73" s="37">
        <v>11099.333333333299</v>
      </c>
      <c r="CK73" s="37">
        <v>11139.333333333299</v>
      </c>
      <c r="CL73" s="37">
        <v>11199</v>
      </c>
      <c r="CM73" s="37">
        <v>11238</v>
      </c>
      <c r="CN73" s="37">
        <v>11306.666666666701</v>
      </c>
      <c r="CO73" s="37">
        <v>11319.666666666701</v>
      </c>
      <c r="CP73" s="37">
        <v>11366.666666666701</v>
      </c>
      <c r="CQ73" s="37">
        <v>11407.666666666701</v>
      </c>
      <c r="CR73" s="37">
        <v>11483</v>
      </c>
      <c r="CS73" s="37">
        <v>11520.666666666701</v>
      </c>
      <c r="CT73" s="37">
        <v>11591.333333333299</v>
      </c>
      <c r="CU73" s="37">
        <v>11672.333333333299</v>
      </c>
      <c r="CV73" s="37">
        <v>11710.333333333299</v>
      </c>
      <c r="CW73" s="37">
        <v>11752</v>
      </c>
      <c r="CX73" s="37">
        <v>11791.333333333299</v>
      </c>
      <c r="CY73" s="37">
        <v>11828.666666666701</v>
      </c>
      <c r="CZ73" s="37">
        <v>11868</v>
      </c>
      <c r="DA73" s="37">
        <v>11923</v>
      </c>
      <c r="DB73" s="37">
        <v>11966</v>
      </c>
      <c r="DC73" s="37">
        <v>12017.333333333299</v>
      </c>
      <c r="DD73" s="37">
        <v>12067</v>
      </c>
      <c r="DE73" s="37">
        <v>12139</v>
      </c>
      <c r="DF73" s="37">
        <v>12185.666666666701</v>
      </c>
      <c r="DG73" s="37">
        <v>12229.666666666701</v>
      </c>
      <c r="DH73" s="37">
        <v>12296</v>
      </c>
      <c r="DI73" s="37">
        <v>12380</v>
      </c>
      <c r="DJ73" s="37">
        <v>12437.333333333299</v>
      </c>
      <c r="DK73" s="37">
        <v>12501.333333333299</v>
      </c>
      <c r="DL73" s="37">
        <v>12553.333333333299</v>
      </c>
      <c r="DM73" s="37">
        <v>12616.333333333299</v>
      </c>
      <c r="DN73" s="37">
        <v>12694.666666666701</v>
      </c>
      <c r="DO73" s="37">
        <v>12783.333333333299</v>
      </c>
      <c r="DP73" s="37">
        <v>12887.333333333299</v>
      </c>
      <c r="DQ73" s="37">
        <v>12972.333333333299</v>
      </c>
      <c r="DR73" s="37">
        <v>13050.333333333299</v>
      </c>
      <c r="DS73" s="37">
        <v>13113</v>
      </c>
      <c r="DT73" s="37">
        <v>13168</v>
      </c>
      <c r="DU73" s="37">
        <v>13220.666666666701</v>
      </c>
      <c r="DV73" s="37">
        <v>13310</v>
      </c>
      <c r="DW73" s="37">
        <v>13410.666666666701</v>
      </c>
      <c r="DX73" s="37">
        <v>13500.666666666701</v>
      </c>
      <c r="DY73" s="37">
        <v>13583.666666666701</v>
      </c>
      <c r="DZ73" s="37">
        <v>13639</v>
      </c>
      <c r="EA73" s="37">
        <v>13699.333333333299</v>
      </c>
      <c r="EB73" s="37">
        <v>13744.666666666701</v>
      </c>
      <c r="EC73" s="37">
        <v>13775</v>
      </c>
      <c r="ED73" s="37">
        <v>13801</v>
      </c>
      <c r="EE73" s="37">
        <v>13820</v>
      </c>
      <c r="EF73" s="37">
        <v>13832.333333333299</v>
      </c>
      <c r="EG73" s="37">
        <v>13824.333333333299</v>
      </c>
      <c r="EH73" s="37">
        <v>13859</v>
      </c>
      <c r="EI73" s="37">
        <v>13898</v>
      </c>
      <c r="EJ73" s="37">
        <v>13909.333333333299</v>
      </c>
      <c r="EK73" s="37">
        <v>13958.666666666701</v>
      </c>
      <c r="EL73" s="37">
        <v>13994.666666666701</v>
      </c>
      <c r="EM73" s="37">
        <v>14012</v>
      </c>
      <c r="EN73" s="37">
        <v>14085.333333333299</v>
      </c>
      <c r="EO73" s="37">
        <v>14072.333333333299</v>
      </c>
      <c r="EP73" s="37">
        <v>14098</v>
      </c>
      <c r="EQ73" s="37">
        <v>14119.666666666701</v>
      </c>
      <c r="ER73" s="37">
        <v>14201</v>
      </c>
      <c r="ES73" s="37">
        <v>14251.333333333299</v>
      </c>
      <c r="ET73" s="37">
        <v>14287.333333333299</v>
      </c>
      <c r="EU73" s="37">
        <v>14336</v>
      </c>
      <c r="EV73" s="37">
        <v>14369.333333333299</v>
      </c>
      <c r="EW73" s="37">
        <v>14455</v>
      </c>
      <c r="EX73" s="37">
        <v>14521.666666666701</v>
      </c>
      <c r="EY73" s="37">
        <v>14560.333333333299</v>
      </c>
      <c r="EZ73" s="37">
        <v>14594</v>
      </c>
      <c r="FA73" s="37">
        <v>14591</v>
      </c>
      <c r="FB73" s="37">
        <v>14587</v>
      </c>
      <c r="FC73" s="37">
        <v>14576.333333333299</v>
      </c>
      <c r="FD73" s="37">
        <v>14532</v>
      </c>
      <c r="FE73" s="37">
        <v>14521</v>
      </c>
      <c r="FF73" s="37">
        <v>14466</v>
      </c>
      <c r="FG73" s="37">
        <v>14434</v>
      </c>
      <c r="FH73" s="37">
        <v>14327.666666666701</v>
      </c>
      <c r="FI73" s="37">
        <v>14279</v>
      </c>
      <c r="FJ73" s="37">
        <v>14232.666666666701</v>
      </c>
      <c r="FK73" s="37">
        <v>14207.666666666701</v>
      </c>
      <c r="FL73" s="37">
        <v>14094</v>
      </c>
      <c r="FM73" s="37">
        <v>14080.666666666701</v>
      </c>
      <c r="FN73" s="37">
        <v>14067.666666666701</v>
      </c>
      <c r="FO73" s="37">
        <v>14044.333333333299</v>
      </c>
      <c r="FP73" s="37">
        <v>14034.333333333299</v>
      </c>
      <c r="FQ73" s="37">
        <v>14026.333333333299</v>
      </c>
      <c r="FR73" s="37">
        <v>14029.333333333299</v>
      </c>
      <c r="FS73" s="37">
        <v>14033</v>
      </c>
      <c r="FT73" s="37">
        <v>14031</v>
      </c>
      <c r="FU73" s="37">
        <v>14033.666666666701</v>
      </c>
      <c r="FV73" s="37">
        <v>14037.666666666701</v>
      </c>
      <c r="FW73" s="37">
        <v>14077</v>
      </c>
      <c r="FX73" s="37">
        <v>14120</v>
      </c>
      <c r="FY73" s="37">
        <v>14140</v>
      </c>
      <c r="FZ73" s="37">
        <v>14155</v>
      </c>
      <c r="GA73" s="37">
        <v>14181.666666666701</v>
      </c>
      <c r="GB73" s="37">
        <v>14214</v>
      </c>
      <c r="GC73" s="37">
        <v>14223.666666666701</v>
      </c>
      <c r="GD73" s="37">
        <v>14277</v>
      </c>
      <c r="GE73" s="37">
        <v>14297.666666666701</v>
      </c>
      <c r="GF73" s="37">
        <v>14369</v>
      </c>
      <c r="GG73" s="37">
        <v>14351</v>
      </c>
      <c r="GH73" s="37">
        <v>14352.333333333299</v>
      </c>
      <c r="GI73" s="37">
        <v>14369</v>
      </c>
      <c r="GJ73" s="37">
        <v>14373</v>
      </c>
      <c r="GK73" s="37">
        <v>14421.666666666701</v>
      </c>
      <c r="GL73" s="37">
        <v>14453.666666666701</v>
      </c>
      <c r="GM73" s="37">
        <v>14486</v>
      </c>
      <c r="GN73" s="37">
        <v>14482</v>
      </c>
      <c r="GO73" s="37">
        <v>14507</v>
      </c>
      <c r="GP73" s="37">
        <v>14550</v>
      </c>
      <c r="GQ73" s="37">
        <v>14587.666666666701</v>
      </c>
      <c r="GR73" s="37">
        <v>14542.666666666701</v>
      </c>
      <c r="GS73" s="37">
        <v>14625.666666666701</v>
      </c>
      <c r="GT73" s="37">
        <v>14691.333333333299</v>
      </c>
      <c r="GU73" s="37">
        <v>13620</v>
      </c>
      <c r="GV73" s="37">
        <v>13637.333333333299</v>
      </c>
      <c r="GW73" s="37">
        <v>13719</v>
      </c>
      <c r="GX73" s="37">
        <v>13769.666666666701</v>
      </c>
      <c r="GY73" s="37">
        <v>13862.333333333299</v>
      </c>
      <c r="GZ73" s="37">
        <v>13978</v>
      </c>
      <c r="HA73" s="37">
        <v>14009.333333333299</v>
      </c>
      <c r="HB73" s="37">
        <v>14071.666666666701</v>
      </c>
      <c r="HC73">
        <v>14093.333333333299</v>
      </c>
      <c r="HD73">
        <v>14184</v>
      </c>
    </row>
    <row r="74" spans="1:212" x14ac:dyDescent="0.3">
      <c r="A74" s="37" t="s">
        <v>1832</v>
      </c>
      <c r="B74" s="37">
        <v>23545.666666666701</v>
      </c>
      <c r="C74" s="37">
        <v>24037</v>
      </c>
      <c r="D74" s="37">
        <v>25485.666666666701</v>
      </c>
      <c r="E74" s="37">
        <v>25754.666666666701</v>
      </c>
      <c r="F74" s="37">
        <v>25713</v>
      </c>
      <c r="G74" s="37">
        <v>25998.666666666701</v>
      </c>
      <c r="H74" s="37">
        <v>25691</v>
      </c>
      <c r="I74" s="37">
        <v>26178.666666666701</v>
      </c>
      <c r="J74" s="37">
        <v>25519</v>
      </c>
      <c r="K74" s="37">
        <v>24875</v>
      </c>
      <c r="L74" s="37">
        <v>25641</v>
      </c>
      <c r="M74" s="37">
        <v>27114.333333333299</v>
      </c>
      <c r="N74" s="37">
        <v>27472.666666666701</v>
      </c>
      <c r="O74" s="37">
        <v>27079.333333333299</v>
      </c>
      <c r="P74" s="37">
        <v>27510</v>
      </c>
      <c r="Q74" s="37">
        <v>28620</v>
      </c>
      <c r="R74" s="37">
        <v>30923.666666666701</v>
      </c>
      <c r="S74" s="37">
        <v>33400.666666666701</v>
      </c>
      <c r="T74" s="37">
        <v>33701.666666666701</v>
      </c>
      <c r="U74" s="37">
        <v>33884</v>
      </c>
      <c r="V74" s="37">
        <v>37820.333333333299</v>
      </c>
      <c r="W74" s="37">
        <v>35429.666666666701</v>
      </c>
      <c r="X74" s="37">
        <v>36988.333333333299</v>
      </c>
      <c r="Y74" s="37">
        <v>39554</v>
      </c>
      <c r="Z74" s="37">
        <v>42554</v>
      </c>
      <c r="AA74" s="37">
        <v>38830.666666666701</v>
      </c>
      <c r="AB74" s="37">
        <v>36130</v>
      </c>
      <c r="AC74" s="37">
        <v>34359.666666666701</v>
      </c>
      <c r="AD74" s="37">
        <v>36034</v>
      </c>
      <c r="AE74" s="37">
        <v>37037.666666666701</v>
      </c>
      <c r="AF74" s="37">
        <v>35666.333333333299</v>
      </c>
      <c r="AG74" s="37">
        <v>35160</v>
      </c>
      <c r="AH74" s="37">
        <v>34095.333333333299</v>
      </c>
      <c r="AI74" s="37">
        <v>41889.666666666701</v>
      </c>
      <c r="AJ74" s="37">
        <v>43760.666666666701</v>
      </c>
      <c r="AK74" s="37">
        <v>45015.333333333299</v>
      </c>
      <c r="AL74" s="37">
        <v>40794</v>
      </c>
      <c r="AM74" s="37">
        <v>45875.333333333299</v>
      </c>
      <c r="AN74" s="37">
        <v>49343.666666666701</v>
      </c>
      <c r="AO74" s="37">
        <v>52609</v>
      </c>
      <c r="AP74" s="37">
        <v>55934.333333333299</v>
      </c>
      <c r="AQ74" s="37">
        <v>54112</v>
      </c>
      <c r="AR74" s="37">
        <v>52797</v>
      </c>
      <c r="AS74" s="37">
        <v>54381</v>
      </c>
      <c r="AT74" s="37">
        <v>60484</v>
      </c>
      <c r="AU74" s="37">
        <v>53862</v>
      </c>
      <c r="AV74" s="37">
        <v>52044</v>
      </c>
      <c r="AW74" s="37">
        <v>54313.666666666701</v>
      </c>
      <c r="AX74" s="37">
        <v>51944</v>
      </c>
      <c r="AY74" s="37">
        <v>52182.666666666701</v>
      </c>
      <c r="AZ74" s="37">
        <v>52486.333333333299</v>
      </c>
      <c r="BA74" s="37">
        <v>54765.333333333299</v>
      </c>
      <c r="BB74" s="37">
        <v>52678.333333333299</v>
      </c>
      <c r="BC74" s="37">
        <v>51386</v>
      </c>
      <c r="BD74" s="37">
        <v>53662.333333333299</v>
      </c>
      <c r="BE74" s="37">
        <v>53249</v>
      </c>
      <c r="BF74" s="37">
        <v>55752.333333333299</v>
      </c>
      <c r="BG74" s="37">
        <v>57382.666666666701</v>
      </c>
      <c r="BH74" s="37">
        <v>59910.333333333299</v>
      </c>
      <c r="BI74" s="37">
        <v>60890.666666666701</v>
      </c>
      <c r="BJ74" s="37">
        <v>62514.666666666701</v>
      </c>
      <c r="BK74" s="37">
        <v>65739.333333333299</v>
      </c>
      <c r="BL74" s="37">
        <v>67220</v>
      </c>
      <c r="BM74" s="37">
        <v>66558.333333333299</v>
      </c>
      <c r="BN74" s="37">
        <v>70815.333333333299</v>
      </c>
      <c r="BO74" s="37">
        <v>72215.333333333299</v>
      </c>
      <c r="BP74" s="37">
        <v>73843.333333333299</v>
      </c>
      <c r="BQ74" s="37">
        <v>71122.666666666701</v>
      </c>
      <c r="BR74" s="37">
        <v>75290</v>
      </c>
      <c r="BS74" s="37">
        <v>75025.666666666701</v>
      </c>
      <c r="BT74" s="37">
        <v>77047</v>
      </c>
      <c r="BU74" s="37">
        <v>78058</v>
      </c>
      <c r="BV74" s="37">
        <v>79349.666666666701</v>
      </c>
      <c r="BW74" s="37">
        <v>83348</v>
      </c>
      <c r="BX74" s="37">
        <v>82022.666666666701</v>
      </c>
      <c r="BY74" s="37">
        <v>84604</v>
      </c>
      <c r="BZ74" s="37">
        <v>83566.666666666701</v>
      </c>
      <c r="CA74" s="37">
        <v>85684</v>
      </c>
      <c r="CB74" s="37">
        <v>85730.333333333299</v>
      </c>
      <c r="CC74" s="37">
        <v>89358.333333333299</v>
      </c>
      <c r="CD74" s="37">
        <v>94388.333333333299</v>
      </c>
      <c r="CE74" s="37">
        <v>93807</v>
      </c>
      <c r="CF74" s="37">
        <v>94972</v>
      </c>
      <c r="CG74" s="37">
        <v>98807.666666666701</v>
      </c>
      <c r="CH74" s="37">
        <v>95253.666666666701</v>
      </c>
      <c r="CI74" s="37">
        <v>96128.666666666701</v>
      </c>
      <c r="CJ74" s="37">
        <v>97326.333333333299</v>
      </c>
      <c r="CK74" s="37">
        <v>99221</v>
      </c>
      <c r="CL74" s="37">
        <v>106368.66666666701</v>
      </c>
      <c r="CM74" s="37">
        <v>103446</v>
      </c>
      <c r="CN74" s="37">
        <v>99580.333333333299</v>
      </c>
      <c r="CO74" s="37">
        <v>98022.333333333299</v>
      </c>
      <c r="CP74" s="37">
        <v>102495</v>
      </c>
      <c r="CQ74" s="37">
        <v>111962</v>
      </c>
      <c r="CR74" s="37">
        <v>116124.66666666701</v>
      </c>
      <c r="CS74" s="37">
        <v>118029</v>
      </c>
      <c r="CT74" s="37">
        <v>111803</v>
      </c>
      <c r="CU74" s="37">
        <v>113545</v>
      </c>
      <c r="CV74" s="37">
        <v>118942</v>
      </c>
      <c r="CW74" s="37">
        <v>117294.33333333299</v>
      </c>
      <c r="CX74" s="37">
        <v>116848.66666666701</v>
      </c>
      <c r="CY74" s="37">
        <v>124434.33333333299</v>
      </c>
      <c r="CZ74" s="37">
        <v>125240</v>
      </c>
      <c r="DA74" s="37">
        <v>127572.66666666701</v>
      </c>
      <c r="DB74" s="37">
        <v>126179.33333333299</v>
      </c>
      <c r="DC74" s="37">
        <v>131672</v>
      </c>
      <c r="DD74" s="37">
        <v>131615</v>
      </c>
      <c r="DE74" s="37">
        <v>135638.66666666701</v>
      </c>
      <c r="DF74" s="37">
        <v>135471.66666666701</v>
      </c>
      <c r="DG74" s="37">
        <v>139479.33333333299</v>
      </c>
      <c r="DH74" s="37">
        <v>141385.33333333299</v>
      </c>
      <c r="DI74" s="37">
        <v>140102.66666666701</v>
      </c>
      <c r="DJ74" s="37">
        <v>133975</v>
      </c>
      <c r="DK74" s="37">
        <v>137818</v>
      </c>
      <c r="DL74" s="37">
        <v>143529.33333333299</v>
      </c>
      <c r="DM74" s="37">
        <v>144434.66666666701</v>
      </c>
      <c r="DN74" s="37">
        <v>150497</v>
      </c>
      <c r="DO74" s="37">
        <v>152515.33333333299</v>
      </c>
      <c r="DP74" s="37">
        <v>155465.33333333299</v>
      </c>
      <c r="DQ74" s="37">
        <v>163365.33333333299</v>
      </c>
      <c r="DR74" s="37">
        <v>168776.33333333299</v>
      </c>
      <c r="DS74" s="37">
        <v>165200.66666666701</v>
      </c>
      <c r="DT74" s="37">
        <v>166145</v>
      </c>
      <c r="DU74" s="37">
        <v>170616.66666666701</v>
      </c>
      <c r="DV74" s="37">
        <v>176411.33333333299</v>
      </c>
      <c r="DW74" s="37">
        <v>189275.66666666701</v>
      </c>
      <c r="DX74" s="37">
        <v>187116</v>
      </c>
      <c r="DY74" s="37">
        <v>193037.66666666701</v>
      </c>
      <c r="DZ74" s="37">
        <v>198023.33333333299</v>
      </c>
      <c r="EA74" s="37">
        <v>194794</v>
      </c>
      <c r="EB74" s="37">
        <v>196443.66666666701</v>
      </c>
      <c r="EC74" s="37">
        <v>199770.66666666701</v>
      </c>
      <c r="ED74" s="37">
        <v>197410.66666666701</v>
      </c>
      <c r="EE74" s="37">
        <v>195858</v>
      </c>
      <c r="EF74" s="37">
        <v>200686</v>
      </c>
      <c r="EG74" s="37">
        <v>199340</v>
      </c>
      <c r="EH74" s="37">
        <v>197322.33333333299</v>
      </c>
      <c r="EI74" s="37">
        <v>202356.33333333299</v>
      </c>
      <c r="EJ74" s="37">
        <v>202328</v>
      </c>
      <c r="EK74" s="37">
        <v>204931</v>
      </c>
      <c r="EL74" s="37">
        <v>207202</v>
      </c>
      <c r="EM74" s="37">
        <v>215946</v>
      </c>
      <c r="EN74" s="37">
        <v>219407.66666666701</v>
      </c>
      <c r="EO74" s="37">
        <v>222763.66666666701</v>
      </c>
      <c r="EP74" s="37">
        <v>230117.66666666701</v>
      </c>
      <c r="EQ74" s="37">
        <v>238436</v>
      </c>
      <c r="ER74" s="37">
        <v>238965</v>
      </c>
      <c r="ES74" s="37">
        <v>242956.33333333299</v>
      </c>
      <c r="ET74" s="37">
        <v>258254.33333333299</v>
      </c>
      <c r="EU74" s="37">
        <v>266203.66666666698</v>
      </c>
      <c r="EV74" s="37">
        <v>271640.33333333302</v>
      </c>
      <c r="EW74" s="37">
        <v>276454.66666666698</v>
      </c>
      <c r="EX74" s="37">
        <v>278038.33333333302</v>
      </c>
      <c r="EY74" s="37">
        <v>283074.33333333302</v>
      </c>
      <c r="EZ74" s="37">
        <v>287093.66666666698</v>
      </c>
      <c r="FA74" s="37">
        <v>288334</v>
      </c>
      <c r="FB74" s="37">
        <v>289591.33333333302</v>
      </c>
      <c r="FC74" s="37">
        <v>292223.66666666698</v>
      </c>
      <c r="FD74" s="37">
        <v>287368</v>
      </c>
      <c r="FE74" s="37">
        <v>274301</v>
      </c>
      <c r="FF74" s="37">
        <v>268022</v>
      </c>
      <c r="FG74" s="37">
        <v>274526.66666666698</v>
      </c>
      <c r="FH74" s="37">
        <v>277232.33333333302</v>
      </c>
      <c r="FI74" s="37">
        <v>269906.33333333302</v>
      </c>
      <c r="FJ74" s="37">
        <v>258077</v>
      </c>
      <c r="FK74" s="37">
        <v>251739</v>
      </c>
      <c r="FL74" s="37">
        <v>253215.33333333299</v>
      </c>
      <c r="FM74" s="37">
        <v>258046</v>
      </c>
      <c r="FN74" s="37">
        <v>254528.33333333299</v>
      </c>
      <c r="FO74" s="37">
        <v>254598.66666666701</v>
      </c>
      <c r="FP74" s="37">
        <v>252248.66666666701</v>
      </c>
      <c r="FQ74" s="37">
        <v>246424.33333333299</v>
      </c>
      <c r="FR74" s="37">
        <v>242924.33333333299</v>
      </c>
      <c r="FS74" s="37">
        <v>245991.66666666701</v>
      </c>
      <c r="FT74" s="37">
        <v>249225</v>
      </c>
      <c r="FU74" s="37">
        <v>247543.33333333299</v>
      </c>
      <c r="FV74" s="37">
        <v>242281</v>
      </c>
      <c r="FW74" s="37">
        <v>251080</v>
      </c>
      <c r="FX74" s="37">
        <v>258128</v>
      </c>
      <c r="FY74" s="37">
        <v>260687.66666666701</v>
      </c>
      <c r="FZ74" s="37">
        <v>259584</v>
      </c>
      <c r="GA74" s="37">
        <v>273165.33333333302</v>
      </c>
      <c r="GB74" s="37">
        <v>279160.66666666698</v>
      </c>
      <c r="GC74" s="37">
        <v>269714.66666666698</v>
      </c>
      <c r="GD74" s="37">
        <v>278563.66666666698</v>
      </c>
      <c r="GE74" s="37">
        <v>273593</v>
      </c>
      <c r="GF74" s="37">
        <v>272377.33333333302</v>
      </c>
      <c r="GG74" s="37">
        <v>276592.66666666698</v>
      </c>
      <c r="GH74" s="37">
        <v>271856</v>
      </c>
      <c r="GI74" s="37">
        <v>273771.33333333302</v>
      </c>
      <c r="GJ74" s="37">
        <v>275470.66666666698</v>
      </c>
      <c r="GK74" s="37">
        <v>281189</v>
      </c>
      <c r="GL74" s="37">
        <v>280599.33333333302</v>
      </c>
      <c r="GM74" s="37">
        <v>290744</v>
      </c>
      <c r="GN74" s="37">
        <v>293899.66666666698</v>
      </c>
      <c r="GO74" s="37">
        <v>285701.33333333302</v>
      </c>
      <c r="GP74" s="37">
        <v>301796.66666666698</v>
      </c>
      <c r="GQ74" s="37">
        <v>321096.66666666698</v>
      </c>
      <c r="GR74" s="37">
        <v>323544.66666666698</v>
      </c>
      <c r="GS74" s="37">
        <v>324180</v>
      </c>
      <c r="GT74" s="37">
        <v>343321</v>
      </c>
      <c r="GU74" s="37">
        <v>343294.66666666698</v>
      </c>
      <c r="GV74" s="37">
        <v>335480.33333333302</v>
      </c>
      <c r="GW74" s="37">
        <v>340639.33333333302</v>
      </c>
      <c r="GX74" s="37">
        <v>333692.33333333302</v>
      </c>
      <c r="GY74" s="37">
        <v>326769.33333333302</v>
      </c>
      <c r="GZ74" s="37">
        <v>316338.33333333302</v>
      </c>
      <c r="HA74" s="37">
        <v>316806</v>
      </c>
      <c r="HB74">
        <v>319298.66666666698</v>
      </c>
      <c r="HC74">
        <v>323005.66666666698</v>
      </c>
      <c r="HD74">
        <v>337751.66666666698</v>
      </c>
    </row>
    <row r="75" spans="1:212" x14ac:dyDescent="0.3">
      <c r="A75" s="37" t="s">
        <v>1833</v>
      </c>
      <c r="B75" s="37">
        <v>1.4432117337345E-2</v>
      </c>
      <c r="C75" s="37">
        <v>1.4432117337345E-2</v>
      </c>
      <c r="D75" s="37">
        <v>8.2024190184901702E-3</v>
      </c>
      <c r="E75" s="37">
        <v>1.30998345284059E-2</v>
      </c>
      <c r="F75" s="37">
        <v>1.51535774238918E-2</v>
      </c>
      <c r="G75" s="37">
        <v>1.336312849162E-2</v>
      </c>
      <c r="H75" s="37">
        <v>1.0099673635000301E-2</v>
      </c>
      <c r="I75" s="37">
        <v>8.2521940357158704E-3</v>
      </c>
      <c r="J75" s="37">
        <v>1.60661701022E-2</v>
      </c>
      <c r="K75" s="37">
        <v>6.0947022972339697E-3</v>
      </c>
      <c r="L75" s="37">
        <v>9.0654918241124295E-3</v>
      </c>
      <c r="M75" s="37">
        <v>1.13350125944585E-2</v>
      </c>
      <c r="N75" s="37">
        <v>1.2702366127023801E-2</v>
      </c>
      <c r="O75" s="37">
        <v>1.6560091818330801E-2</v>
      </c>
      <c r="P75" s="37">
        <v>1.9072580645161302E-2</v>
      </c>
      <c r="Q75" s="37">
        <v>1.73307482293357E-2</v>
      </c>
      <c r="R75" s="37">
        <v>2.0263700361712999E-2</v>
      </c>
      <c r="S75" s="37">
        <v>2.2224763647453499E-2</v>
      </c>
      <c r="T75" s="37">
        <v>3.0803654670893001E-2</v>
      </c>
      <c r="U75" s="37">
        <v>3.03172822980355E-2</v>
      </c>
      <c r="V75" s="37">
        <v>2.2648267144211399E-2</v>
      </c>
      <c r="W75" s="37">
        <v>1.4489767889026299E-2</v>
      </c>
      <c r="X75" s="37">
        <v>1.76673661409328E-2</v>
      </c>
      <c r="Y75" s="37">
        <v>1.6695490222163E-2</v>
      </c>
      <c r="Z75" s="37">
        <v>1.0958456002617E-2</v>
      </c>
      <c r="AA75" s="37">
        <v>9.9660249150623804E-3</v>
      </c>
      <c r="AB75" s="37">
        <v>1.2751097299202201E-2</v>
      </c>
      <c r="AC75" s="37">
        <v>1.6987757426212498E-2</v>
      </c>
      <c r="AD75" s="37">
        <v>1.6175189747418099E-2</v>
      </c>
      <c r="AE75" s="37">
        <v>1.5795273662299499E-2</v>
      </c>
      <c r="AF75" s="37">
        <v>1.37716972034716E-2</v>
      </c>
      <c r="AG75" s="37">
        <v>1.67058054160103E-2</v>
      </c>
      <c r="AH75" s="37">
        <v>1.6372832792445099E-2</v>
      </c>
      <c r="AI75" s="37">
        <v>1.9963754566637099E-2</v>
      </c>
      <c r="AJ75" s="37">
        <v>1.7655187974165799E-2</v>
      </c>
      <c r="AK75" s="37">
        <v>1.9759997782889501E-2</v>
      </c>
      <c r="AL75" s="37">
        <v>1.8670507663876498E-2</v>
      </c>
      <c r="AM75" s="37">
        <v>2.41442787396953E-2</v>
      </c>
      <c r="AN75" s="37">
        <v>2.0891945399603901E-2</v>
      </c>
      <c r="AO75" s="37">
        <v>1.8244450114825301E-2</v>
      </c>
      <c r="AP75" s="37">
        <v>2.1851898258363499E-2</v>
      </c>
      <c r="AQ75" s="37">
        <v>2.3738872403560801E-2</v>
      </c>
      <c r="AR75" s="37">
        <v>2.23020721044438E-2</v>
      </c>
      <c r="AS75" s="37">
        <v>2.6502015184178399E-2</v>
      </c>
      <c r="AT75" s="37">
        <v>2.65026137375306E-2</v>
      </c>
      <c r="AU75" s="37">
        <v>1.8791140366482901E-2</v>
      </c>
      <c r="AV75" s="37">
        <v>1.9426800253203199E-2</v>
      </c>
      <c r="AW75" s="37">
        <v>1.65299873669786E-2</v>
      </c>
      <c r="AX75" s="37">
        <v>1.4323328067404001E-2</v>
      </c>
      <c r="AY75" s="37">
        <v>1.32904163638252E-2</v>
      </c>
      <c r="AZ75" s="37">
        <v>1.3874372374218701E-2</v>
      </c>
      <c r="BA75" s="37">
        <v>1.01269404915911E-2</v>
      </c>
      <c r="BB75" s="37">
        <v>7.9843115282252092E-3</v>
      </c>
      <c r="BC75" s="37">
        <v>7.4247597871834898E-3</v>
      </c>
      <c r="BD75" s="37">
        <v>1.0621526819847699E-2</v>
      </c>
      <c r="BE75" s="37">
        <v>7.4875694647558201E-3</v>
      </c>
      <c r="BF75" s="37">
        <v>9.8511680117672196E-3</v>
      </c>
      <c r="BG75" s="37">
        <v>8.9884625704319508E-3</v>
      </c>
      <c r="BH75" s="37">
        <v>9.0223564495603998E-3</v>
      </c>
      <c r="BI75" s="37">
        <v>7.0027483904972999E-3</v>
      </c>
      <c r="BJ75" s="37">
        <v>1.0225445844393799E-2</v>
      </c>
      <c r="BK75" s="37">
        <v>5.92143002535117E-3</v>
      </c>
      <c r="BL75" s="37">
        <v>6.6407902724381403E-3</v>
      </c>
      <c r="BM75" s="37">
        <v>5.18986879134542E-3</v>
      </c>
      <c r="BN75" s="37">
        <v>4.9449151001708103E-3</v>
      </c>
      <c r="BO75" s="37">
        <v>3.5095336300157202E-3</v>
      </c>
      <c r="BP75" s="37">
        <v>4.7411306605133997E-3</v>
      </c>
      <c r="BQ75" s="37">
        <v>5.9388176190904298E-3</v>
      </c>
      <c r="BR75" s="37">
        <v>5.7967395569507004E-3</v>
      </c>
      <c r="BS75" s="37">
        <v>6.79186394992115E-3</v>
      </c>
      <c r="BT75" s="37">
        <v>7.7147990277239798E-3</v>
      </c>
      <c r="BU75" s="37">
        <v>7.4984269034468198E-3</v>
      </c>
      <c r="BV75" s="37">
        <v>7.7375479259556004E-3</v>
      </c>
      <c r="BW75" s="37">
        <v>9.98502246630051E-3</v>
      </c>
      <c r="BX75" s="37">
        <v>1.2238566826324701E-2</v>
      </c>
      <c r="BY75" s="37">
        <v>9.2110802391176493E-3</v>
      </c>
      <c r="BZ75" s="37">
        <v>9.6108923446573992E-3</v>
      </c>
      <c r="CA75" s="37">
        <v>1.08250148740661E-2</v>
      </c>
      <c r="CB75" s="37">
        <v>7.42278828703635E-3</v>
      </c>
      <c r="CC75" s="37">
        <v>6.8163006962365102E-3</v>
      </c>
      <c r="CD75" s="37">
        <v>1.08967229234167E-2</v>
      </c>
      <c r="CE75" s="37">
        <v>1.1193851354583499E-2</v>
      </c>
      <c r="CF75" s="37">
        <v>8.6414886067964804E-3</v>
      </c>
      <c r="CG75" s="37">
        <v>7.6450447915199504E-3</v>
      </c>
      <c r="CH75" s="37">
        <v>9.7126543784522602E-3</v>
      </c>
      <c r="CI75" s="37">
        <v>7.2067365315466904E-3</v>
      </c>
      <c r="CJ75" s="37">
        <v>7.6738828626787799E-3</v>
      </c>
      <c r="CK75" s="37">
        <v>5.8137774413322702E-3</v>
      </c>
      <c r="CL75" s="37">
        <v>4.0039738688022498E-3</v>
      </c>
      <c r="CM75" s="37">
        <v>5.9670164917540198E-3</v>
      </c>
      <c r="CN75" s="37">
        <v>4.7840472145219701E-3</v>
      </c>
      <c r="CO75" s="37">
        <v>7.0454916269895298E-3</v>
      </c>
      <c r="CP75" s="37">
        <v>5.9504521754498701E-3</v>
      </c>
      <c r="CQ75" s="37">
        <v>5.9006120237781196E-3</v>
      </c>
      <c r="CR75" s="37">
        <v>5.0217609641782799E-3</v>
      </c>
      <c r="CS75" s="37">
        <v>5.8801378790949198E-3</v>
      </c>
      <c r="CT75" s="37">
        <v>5.1114438749064704E-3</v>
      </c>
      <c r="CU75" s="37">
        <v>4.7702952425974204E-3</v>
      </c>
      <c r="CV75" s="37">
        <v>5.33219275734242E-3</v>
      </c>
      <c r="CW75" s="37">
        <v>5.5733613183197601E-3</v>
      </c>
      <c r="CX75" s="37">
        <v>5.6976039037051097E-3</v>
      </c>
      <c r="CY75" s="37">
        <v>4.9080786975359602E-3</v>
      </c>
      <c r="CZ75" s="37">
        <v>4.47942395445211E-3</v>
      </c>
      <c r="DA75" s="37">
        <v>4.7234030729905703E-3</v>
      </c>
      <c r="DB75" s="37">
        <v>4.6044080639362503E-3</v>
      </c>
      <c r="DC75" s="37">
        <v>4.0878122634366897E-3</v>
      </c>
      <c r="DD75" s="37">
        <v>4.8525057572101904E-3</v>
      </c>
      <c r="DE75" s="37">
        <v>4.2288489346029596E-3</v>
      </c>
      <c r="DF75" s="37">
        <v>4.4827211475766404E-3</v>
      </c>
      <c r="DG75" s="37">
        <v>4.9766045492656303E-3</v>
      </c>
      <c r="DH75" s="37">
        <v>2.9738676427053501E-3</v>
      </c>
      <c r="DI75" s="37">
        <v>3.5822097001410001E-3</v>
      </c>
      <c r="DJ75" s="37">
        <v>1.0160156145557801E-3</v>
      </c>
      <c r="DK75" s="37">
        <v>2.59088116669792E-3</v>
      </c>
      <c r="DL75" s="37">
        <v>3.87627877237851E-3</v>
      </c>
      <c r="DM75" s="37">
        <v>2.6803603890504001E-3</v>
      </c>
      <c r="DN75" s="37">
        <v>2.6996625421822399E-3</v>
      </c>
      <c r="DO75" s="37">
        <v>4.5269173408648599E-3</v>
      </c>
      <c r="DP75" s="37">
        <v>3.83645154509149E-3</v>
      </c>
      <c r="DQ75" s="37">
        <v>5.2615046332653596E-3</v>
      </c>
      <c r="DR75" s="37">
        <v>6.6661458740202599E-3</v>
      </c>
      <c r="DS75" s="37">
        <v>6.0141234900024099E-3</v>
      </c>
      <c r="DT75" s="37">
        <v>6.26100818945008E-3</v>
      </c>
      <c r="DU75" s="37">
        <v>5.4171457774372404E-3</v>
      </c>
      <c r="DV75" s="37">
        <v>6.8493150684931798E-3</v>
      </c>
      <c r="DW75" s="37">
        <v>6.6638900458142504E-3</v>
      </c>
      <c r="DX75" s="37">
        <v>3.0340642669976999E-3</v>
      </c>
      <c r="DY75" s="37">
        <v>3.2248790670348399E-3</v>
      </c>
      <c r="DZ75" s="37">
        <v>2.6663011923600002E-3</v>
      </c>
      <c r="EA75" s="37">
        <v>3.96396396396392E-3</v>
      </c>
      <c r="EB75" s="37">
        <v>4.4681535757606899E-3</v>
      </c>
      <c r="EC75" s="37">
        <v>5.8160310516910396E-3</v>
      </c>
      <c r="ED75" s="37">
        <v>5.4026241317211001E-3</v>
      </c>
      <c r="EE75" s="37">
        <v>3.4239898620656E-3</v>
      </c>
      <c r="EF75" s="37">
        <v>5.7438463126449103E-3</v>
      </c>
      <c r="EG75" s="37">
        <v>5.7955615657676596E-3</v>
      </c>
      <c r="EH75" s="37">
        <v>7.1666946771986604E-3</v>
      </c>
      <c r="EI75" s="37">
        <v>8.1169024660603401E-3</v>
      </c>
      <c r="EJ75" s="37">
        <v>6.33719555450463E-3</v>
      </c>
      <c r="EK75" s="37">
        <v>7.7071290944123998E-3</v>
      </c>
      <c r="EL75" s="37">
        <v>7.6715011891992403E-3</v>
      </c>
      <c r="EM75" s="37">
        <v>7.3122758301513704E-3</v>
      </c>
      <c r="EN75" s="37">
        <v>9.4415474030002892E-3</v>
      </c>
      <c r="EO75" s="37">
        <v>7.9650448318238105E-3</v>
      </c>
      <c r="EP75" s="37">
        <v>6.9990065926126598E-3</v>
      </c>
      <c r="EQ75" s="37">
        <v>8.84489484776463E-3</v>
      </c>
      <c r="ER75" s="37">
        <v>7.3227917726934599E-3</v>
      </c>
      <c r="ES75" s="37">
        <v>3.8057626969067999E-3</v>
      </c>
      <c r="ET75" s="37">
        <v>1.00113190544744E-2</v>
      </c>
      <c r="EU75" s="37">
        <v>6.3432998215606799E-3</v>
      </c>
      <c r="EV75" s="37">
        <v>4.2274383453526597E-3</v>
      </c>
      <c r="EW75" s="37">
        <v>4.8448569152257396E-3</v>
      </c>
      <c r="EX75" s="37">
        <v>4.31791882741184E-3</v>
      </c>
      <c r="EY75" s="37">
        <v>3.6272470261908799E-3</v>
      </c>
      <c r="EZ75" s="37">
        <v>7.7491363273982598E-3</v>
      </c>
      <c r="FA75" s="37">
        <v>1.80372136196771E-3</v>
      </c>
      <c r="FB75" s="37">
        <v>2.7375625164527401E-4</v>
      </c>
      <c r="FC75" s="37">
        <v>-1.3789328533383399E-3</v>
      </c>
      <c r="FD75" s="37">
        <v>6.1136291767671701E-4</v>
      </c>
      <c r="FE75" s="37">
        <v>3.6764705882352802E-3</v>
      </c>
      <c r="FF75" s="37">
        <v>2.5294667128477099E-3</v>
      </c>
      <c r="FG75" s="37">
        <v>4.65880776398153E-3</v>
      </c>
      <c r="FH75" s="37">
        <v>3.6368183570751902E-3</v>
      </c>
      <c r="FI75" s="37">
        <v>5.7313730376278302E-3</v>
      </c>
      <c r="FJ75" s="37">
        <v>4.9037826230591301E-3</v>
      </c>
      <c r="FK75" s="37">
        <v>7.22218227021032E-3</v>
      </c>
      <c r="FL75" s="37">
        <v>5.2936496603497299E-3</v>
      </c>
      <c r="FM75" s="37">
        <v>1.2783961201692201E-3</v>
      </c>
      <c r="FN75" s="37">
        <v>5.9784976744656796E-3</v>
      </c>
      <c r="FO75" s="37">
        <v>4.16007735930779E-3</v>
      </c>
      <c r="FP75" s="37">
        <v>6.1590931888855201E-3</v>
      </c>
      <c r="FQ75" s="37">
        <v>4.2470888498964401E-3</v>
      </c>
      <c r="FR75" s="37">
        <v>3.9114464409808498E-3</v>
      </c>
      <c r="FS75" s="37">
        <v>3.0062101973813401E-3</v>
      </c>
      <c r="FT75" s="37">
        <v>5.3732697085617804E-3</v>
      </c>
      <c r="FU75" s="37">
        <v>5.6583605464191099E-3</v>
      </c>
      <c r="FV75" s="37">
        <v>4.0468064358849497E-3</v>
      </c>
      <c r="FW75" s="37">
        <v>5.7009663477880501E-3</v>
      </c>
      <c r="FX75" s="37">
        <v>4.6063813349812603E-3</v>
      </c>
      <c r="FY75" s="37">
        <v>7.2095281123529798E-4</v>
      </c>
      <c r="FZ75" s="37">
        <v>-1.1526934603856E-4</v>
      </c>
      <c r="GA75" s="37">
        <v>5.6776697536795604E-3</v>
      </c>
      <c r="GB75" s="37">
        <v>2.4454782533933602E-3</v>
      </c>
      <c r="GC75" s="37">
        <v>-6.6705419338730602E-5</v>
      </c>
      <c r="GD75" s="37">
        <v>-5.6226889795296697E-4</v>
      </c>
      <c r="GE75" s="37">
        <v>6.7033459517700199E-3</v>
      </c>
      <c r="GF75" s="37">
        <v>3.0120481927711201E-3</v>
      </c>
      <c r="GG75" s="37">
        <v>5.4394016658168001E-3</v>
      </c>
      <c r="GH75" s="37">
        <v>5.1845590307129097E-3</v>
      </c>
      <c r="GI75" s="37">
        <v>3.1862607688137902E-3</v>
      </c>
      <c r="GJ75" s="37">
        <v>5.4488045229734699E-3</v>
      </c>
      <c r="GK75" s="37">
        <v>6.40123022195871E-3</v>
      </c>
      <c r="GL75" s="37">
        <v>6.6826830143871304E-3</v>
      </c>
      <c r="GM75" s="37">
        <v>7.4155351346409902E-3</v>
      </c>
      <c r="GN75" s="37">
        <v>4.5744989834446397E-3</v>
      </c>
      <c r="GO75" s="37">
        <v>4.2916516082398496E-3</v>
      </c>
      <c r="GP75" s="37">
        <v>3.6435607934865999E-3</v>
      </c>
      <c r="GQ75" s="37">
        <v>5.5934026532806803E-3</v>
      </c>
      <c r="GR75" s="37">
        <v>3.3338087427798898E-3</v>
      </c>
      <c r="GS75" s="37">
        <v>3.1272766040617598E-3</v>
      </c>
      <c r="GT75" s="37">
        <v>4.5788681250553704E-3</v>
      </c>
      <c r="GU75" s="37">
        <v>-3.29727489927456E-3</v>
      </c>
      <c r="GV75" s="37">
        <v>8.6596552059652297E-3</v>
      </c>
      <c r="GW75" s="37">
        <v>6.2438613722464202E-3</v>
      </c>
      <c r="GX75" s="37">
        <v>1.2680401589625599E-2</v>
      </c>
      <c r="GY75" s="37">
        <v>1.52755187221922E-2</v>
      </c>
      <c r="GZ75" s="37">
        <v>1.51643582484275E-2</v>
      </c>
      <c r="HA75" s="37">
        <v>1.6657899351218499E-2</v>
      </c>
      <c r="HB75" s="37">
        <v>2.01300941211255E-2</v>
      </c>
      <c r="HC75">
        <v>2.1777809981563302E-2</v>
      </c>
      <c r="HD75">
        <v>1.05110547299745E-2</v>
      </c>
    </row>
    <row r="76" spans="1:212" x14ac:dyDescent="0.3">
      <c r="A76" s="37" t="s">
        <v>1834</v>
      </c>
      <c r="B76" s="37">
        <v>1.1084103062712699E-2</v>
      </c>
      <c r="C76" s="37">
        <v>1.1084103062712699E-2</v>
      </c>
      <c r="D76" s="37">
        <v>9.7124723531110107E-3</v>
      </c>
      <c r="E76" s="37">
        <v>1.29523809523808E-2</v>
      </c>
      <c r="F76" s="37">
        <v>9.4960511470478792E-3</v>
      </c>
      <c r="G76" s="37">
        <v>1.1362578001303801E-2</v>
      </c>
      <c r="H76" s="37">
        <v>9.8535776775023898E-3</v>
      </c>
      <c r="I76" s="37">
        <v>6.2009848623016898E-3</v>
      </c>
      <c r="J76" s="37">
        <v>1.05582744245059E-2</v>
      </c>
      <c r="K76" s="37">
        <v>5.7396529303619399E-3</v>
      </c>
      <c r="L76" s="37">
        <v>8.7832716572295907E-3</v>
      </c>
      <c r="M76" s="37">
        <v>8.1764341907539801E-3</v>
      </c>
      <c r="N76" s="37">
        <v>1.20555872166936E-2</v>
      </c>
      <c r="O76" s="37">
        <v>1.9232435242138201E-2</v>
      </c>
      <c r="P76" s="37">
        <v>1.81895452613683E-2</v>
      </c>
      <c r="Q76" s="37">
        <v>2.0452458468987599E-2</v>
      </c>
      <c r="R76" s="37">
        <v>2.9777486910994602E-2</v>
      </c>
      <c r="S76" s="37">
        <v>2.8320622815379799E-2</v>
      </c>
      <c r="T76" s="37">
        <v>2.69612576770057E-2</v>
      </c>
      <c r="U76" s="37">
        <v>2.5425960055666299E-2</v>
      </c>
      <c r="V76" s="37">
        <v>1.8816711293694801E-2</v>
      </c>
      <c r="W76" s="37">
        <v>1.2276785714285801E-2</v>
      </c>
      <c r="X76" s="37">
        <v>1.8707543479034E-2</v>
      </c>
      <c r="Y76" s="37">
        <v>1.6792933701078799E-2</v>
      </c>
      <c r="Z76" s="37">
        <v>1.0987501716797099E-2</v>
      </c>
      <c r="AA76" s="37">
        <v>8.3888058687677809E-3</v>
      </c>
      <c r="AB76" s="37">
        <v>1.5189788151291701E-2</v>
      </c>
      <c r="AC76" s="37">
        <v>1.5791918253599501E-2</v>
      </c>
      <c r="AD76" s="37">
        <v>1.8028610621203301E-2</v>
      </c>
      <c r="AE76" s="37">
        <v>1.7131857555341599E-2</v>
      </c>
      <c r="AF76" s="37">
        <v>1.50454201362602E-2</v>
      </c>
      <c r="AG76" s="37">
        <v>1.4200926012243299E-2</v>
      </c>
      <c r="AH76" s="37">
        <v>1.6422574912678501E-2</v>
      </c>
      <c r="AI76" s="37">
        <v>2.05281244347983E-2</v>
      </c>
      <c r="AJ76" s="37">
        <v>1.7545414266725699E-2</v>
      </c>
      <c r="AK76" s="37">
        <v>1.8897500653139599E-2</v>
      </c>
      <c r="AL76" s="37">
        <v>1.8860398860398801E-2</v>
      </c>
      <c r="AM76" s="37">
        <v>2.7319501146468202E-2</v>
      </c>
      <c r="AN76" s="37">
        <v>2.4796537739187201E-2</v>
      </c>
      <c r="AO76" s="37">
        <v>2.4223107569721E-2</v>
      </c>
      <c r="AP76" s="37">
        <v>3.0003630517089399E-2</v>
      </c>
      <c r="AQ76" s="37">
        <v>2.4471915204310201E-2</v>
      </c>
      <c r="AR76" s="37">
        <v>2.3395836917254401E-2</v>
      </c>
      <c r="AS76" s="37">
        <v>2.47340489397978E-2</v>
      </c>
      <c r="AT76" s="37">
        <v>2.59414618142619E-2</v>
      </c>
      <c r="AU76" s="37">
        <v>1.6788487894015401E-2</v>
      </c>
      <c r="AV76" s="37">
        <v>1.6466359654049099E-2</v>
      </c>
      <c r="AW76" s="37">
        <v>1.53155940594061E-2</v>
      </c>
      <c r="AX76" s="37">
        <v>1.2711956640038199E-2</v>
      </c>
      <c r="AY76" s="37">
        <v>9.6292315959161101E-3</v>
      </c>
      <c r="AZ76" s="37">
        <v>1.5796308517659102E-2</v>
      </c>
      <c r="BA76" s="37">
        <v>1.1023787069055701E-2</v>
      </c>
      <c r="BB76" s="37">
        <v>8.2709728239465097E-3</v>
      </c>
      <c r="BC76" s="37">
        <v>9.1488486842106198E-3</v>
      </c>
      <c r="BD76" s="37">
        <v>1.31404706122031E-2</v>
      </c>
      <c r="BE76" s="37">
        <v>6.5956163281721799E-3</v>
      </c>
      <c r="BF76" s="37">
        <v>1.08074633425226E-2</v>
      </c>
      <c r="BG76" s="37">
        <v>9.6839858495227898E-3</v>
      </c>
      <c r="BH76" s="37">
        <v>7.7120319442540702E-3</v>
      </c>
      <c r="BI76" s="37">
        <v>6.1767962239964698E-3</v>
      </c>
      <c r="BJ76" s="37">
        <v>1.1795139089978901E-2</v>
      </c>
      <c r="BK76" s="37">
        <v>8.1088300389224894E-3</v>
      </c>
      <c r="BL76" s="37">
        <v>7.8354183621325308E-3</v>
      </c>
      <c r="BM76" s="37">
        <v>6.9857843045200204E-3</v>
      </c>
      <c r="BN76" s="37">
        <v>7.08651138504002E-3</v>
      </c>
      <c r="BO76" s="37">
        <v>-1.0554969168380399E-3</v>
      </c>
      <c r="BP76" s="37">
        <v>5.2645237830422102E-3</v>
      </c>
      <c r="BQ76" s="37">
        <v>6.0483127420247803E-3</v>
      </c>
      <c r="BR76" s="37">
        <v>9.4211664650463208E-3</v>
      </c>
      <c r="BS76" s="37">
        <v>9.6419233004068107E-3</v>
      </c>
      <c r="BT76" s="37">
        <v>9.4779058683884792E-3</v>
      </c>
      <c r="BU76" s="37">
        <v>8.6406556208800094E-3</v>
      </c>
      <c r="BV76" s="37">
        <v>7.8954340722423594E-3</v>
      </c>
      <c r="BW76" s="37">
        <v>1.10406224808104E-2</v>
      </c>
      <c r="BX76" s="37">
        <v>1.23240657283505E-2</v>
      </c>
      <c r="BY76" s="37">
        <v>1.01022207763299E-2</v>
      </c>
      <c r="BZ76" s="37">
        <v>1.14928889868289E-2</v>
      </c>
      <c r="CA76" s="37">
        <v>1.34738817851219E-2</v>
      </c>
      <c r="CB76" s="37">
        <v>5.9032658123190397E-3</v>
      </c>
      <c r="CC76" s="37">
        <v>7.8577064702787195E-3</v>
      </c>
      <c r="CD76" s="37">
        <v>1.4500081552764501E-2</v>
      </c>
      <c r="CE76" s="37">
        <v>9.0837473271274706E-3</v>
      </c>
      <c r="CF76" s="37">
        <v>1.2698362118411801E-2</v>
      </c>
      <c r="CG76" s="37">
        <v>1.3231384024795101E-2</v>
      </c>
      <c r="CH76" s="37">
        <v>5.2482842147758601E-3</v>
      </c>
      <c r="CI76" s="37">
        <v>5.4680259499535503E-3</v>
      </c>
      <c r="CJ76" s="37">
        <v>6.7901803545642502E-3</v>
      </c>
      <c r="CK76" s="37">
        <v>7.26318359375E-3</v>
      </c>
      <c r="CL76" s="37">
        <v>6.2564382233532001E-3</v>
      </c>
      <c r="CM76" s="37">
        <v>6.6541211893114101E-3</v>
      </c>
      <c r="CN76" s="37">
        <v>6.3858106390295398E-3</v>
      </c>
      <c r="CO76" s="37">
        <v>6.9694177787025203E-3</v>
      </c>
      <c r="CP76" s="37">
        <v>5.9619556395083002E-3</v>
      </c>
      <c r="CQ76" s="37">
        <v>6.7041236962166496E-3</v>
      </c>
      <c r="CR76" s="37">
        <v>4.3570762415483504E-3</v>
      </c>
      <c r="CS76" s="37">
        <v>5.7600510714854699E-3</v>
      </c>
      <c r="CT76" s="37">
        <v>3.5776110790537402E-3</v>
      </c>
      <c r="CU76" s="37">
        <v>5.5772769089237296E-3</v>
      </c>
      <c r="CV76" s="37">
        <v>7.1902338612841498E-3</v>
      </c>
      <c r="CW76" s="37">
        <v>4.6835748449451896E-3</v>
      </c>
      <c r="CX76" s="37">
        <v>4.9018915368206403E-3</v>
      </c>
      <c r="CY76" s="37">
        <v>5.8057804768332196E-3</v>
      </c>
      <c r="CZ76" s="37">
        <v>4.0950956687024797E-3</v>
      </c>
      <c r="DA76" s="37">
        <v>4.3985412432838702E-3</v>
      </c>
      <c r="DB76" s="37">
        <v>5.5572493694391297E-3</v>
      </c>
      <c r="DC76" s="37">
        <v>6.6842156038533504E-3</v>
      </c>
      <c r="DD76" s="37">
        <v>4.2713980614423903E-3</v>
      </c>
      <c r="DE76" s="37">
        <v>6.8160750313539503E-3</v>
      </c>
      <c r="DF76" s="37">
        <v>4.4139948006933797E-3</v>
      </c>
      <c r="DG76" s="37">
        <v>2.50734679571862E-3</v>
      </c>
      <c r="DH76" s="37">
        <v>2.6355421686745698E-3</v>
      </c>
      <c r="DI76" s="37">
        <v>3.1382436564562099E-3</v>
      </c>
      <c r="DJ76" s="37">
        <v>8.0216048557346694E-5</v>
      </c>
      <c r="DK76" s="37">
        <v>1.80471632533008E-3</v>
      </c>
      <c r="DL76" s="37">
        <v>3.0825071057794E-3</v>
      </c>
      <c r="DM76" s="37">
        <v>2.6473327125182702E-3</v>
      </c>
      <c r="DN76" s="37">
        <v>1.9636720667648398E-3</v>
      </c>
      <c r="DO76" s="37">
        <v>5.6940821272031296E-3</v>
      </c>
      <c r="DP76" s="37">
        <v>5.5038382029572999E-3</v>
      </c>
      <c r="DQ76" s="37">
        <v>6.06298697047092E-3</v>
      </c>
      <c r="DR76" s="37">
        <v>8.1220388400062796E-3</v>
      </c>
      <c r="DS76" s="37">
        <v>4.7642410783452797E-3</v>
      </c>
      <c r="DT76" s="37">
        <v>6.4507009676051403E-3</v>
      </c>
      <c r="DU76" s="37">
        <v>5.6560652681845198E-3</v>
      </c>
      <c r="DV76" s="37">
        <v>7.4016707716526601E-3</v>
      </c>
      <c r="DW76" s="37">
        <v>4.6881498191533302E-3</v>
      </c>
      <c r="DX76" s="37">
        <v>5.0174985261097803E-4</v>
      </c>
      <c r="DY76" s="37">
        <v>4.1373603640870699E-4</v>
      </c>
      <c r="DZ76" s="37">
        <v>2.0051632954858302E-3</v>
      </c>
      <c r="EA76" s="37">
        <v>7.41676463966789E-3</v>
      </c>
      <c r="EB76" s="37">
        <v>5.1771015680286397E-3</v>
      </c>
      <c r="EC76" s="37">
        <v>4.6687416629613799E-3</v>
      </c>
      <c r="ED76" s="37">
        <v>7.6467261685231299E-3</v>
      </c>
      <c r="EE76" s="37">
        <v>1.0004392172173701E-3</v>
      </c>
      <c r="EF76" s="37">
        <v>6.5938619798648901E-3</v>
      </c>
      <c r="EG76" s="37">
        <v>4.9160279462867598E-3</v>
      </c>
      <c r="EH76" s="37">
        <v>7.7114937404358904E-3</v>
      </c>
      <c r="EI76" s="37">
        <v>6.7317924742624803E-3</v>
      </c>
      <c r="EJ76" s="37">
        <v>4.9170981994395299E-3</v>
      </c>
      <c r="EK76" s="37">
        <v>8.5450892329512803E-3</v>
      </c>
      <c r="EL76" s="37">
        <v>5.8125227051668603E-3</v>
      </c>
      <c r="EM76" s="37">
        <v>6.3148819163685302E-3</v>
      </c>
      <c r="EN76" s="37">
        <v>1.08022368619098E-2</v>
      </c>
      <c r="EO76" s="37">
        <v>7.9606890864105696E-3</v>
      </c>
      <c r="EP76" s="37">
        <v>5.1932408322823403E-3</v>
      </c>
      <c r="EQ76" s="37">
        <v>8.772723161798E-3</v>
      </c>
      <c r="ER76" s="37">
        <v>7.1947283485744896E-3</v>
      </c>
      <c r="ES76" s="37">
        <v>-1.6467498942963599E-3</v>
      </c>
      <c r="ET76" s="37">
        <v>9.1389340882241897E-3</v>
      </c>
      <c r="EU76" s="37">
        <v>8.4929207253770008E-3</v>
      </c>
      <c r="EV76" s="37">
        <v>5.6507693150085201E-3</v>
      </c>
      <c r="EW76" s="37">
        <v>1.0170857335758E-2</v>
      </c>
      <c r="EX76" s="37">
        <v>8.1388454697353101E-3</v>
      </c>
      <c r="EY76" s="37">
        <v>9.7305389221558104E-3</v>
      </c>
      <c r="EZ76" s="37">
        <v>1.06745737583394E-2</v>
      </c>
      <c r="FA76" s="37">
        <v>-1.59684821559547E-2</v>
      </c>
      <c r="FB76" s="37">
        <v>-6.7508571671954804E-3</v>
      </c>
      <c r="FC76" s="37">
        <v>3.9772727272726601E-3</v>
      </c>
      <c r="FD76" s="37">
        <v>6.88727296024605E-3</v>
      </c>
      <c r="FE76" s="37">
        <v>7.7203698990413504E-3</v>
      </c>
      <c r="FF76" s="37">
        <v>3.8621821855531202E-3</v>
      </c>
      <c r="FG76" s="37">
        <v>1.5515090522166799E-3</v>
      </c>
      <c r="FH76" s="37">
        <v>1.925915071332E-3</v>
      </c>
      <c r="FI76" s="37">
        <v>6.4038945707927102E-3</v>
      </c>
      <c r="FJ76" s="37">
        <v>8.3976914133865304E-3</v>
      </c>
      <c r="FK76" s="37">
        <v>9.8306655000257592E-3</v>
      </c>
      <c r="FL76" s="37">
        <v>4.6279306829766203E-3</v>
      </c>
      <c r="FM76" s="37">
        <v>3.2976845181322801E-3</v>
      </c>
      <c r="FN76" s="37">
        <v>6.6242579314110799E-3</v>
      </c>
      <c r="FO76" s="37">
        <v>2.4212831796171E-3</v>
      </c>
      <c r="FP76" s="37">
        <v>2.90653971435728E-3</v>
      </c>
      <c r="FQ76" s="37">
        <v>5.6063558686854104E-3</v>
      </c>
      <c r="FR76" s="37">
        <v>3.60741756603655E-3</v>
      </c>
      <c r="FS76" s="37">
        <v>7.1294893503259804E-4</v>
      </c>
      <c r="FT76" s="37">
        <v>4.0569557000227404E-3</v>
      </c>
      <c r="FU76" s="37">
        <v>4.1883888007410199E-3</v>
      </c>
      <c r="FV76" s="37">
        <v>4.8088246839914604E-3</v>
      </c>
      <c r="FW76" s="37">
        <v>5.0104506475494599E-3</v>
      </c>
      <c r="FX76" s="37">
        <v>2.8280158213393998E-3</v>
      </c>
      <c r="FY76" s="37">
        <v>-1.15321252059308E-3</v>
      </c>
      <c r="FZ76" s="37">
        <v>-4.1524774184784601E-3</v>
      </c>
      <c r="GA76" s="37">
        <v>4.8517677776371802E-3</v>
      </c>
      <c r="GB76" s="37">
        <v>2.4141708922735799E-3</v>
      </c>
      <c r="GC76" s="37">
        <v>-9.8655575974471209E-4</v>
      </c>
      <c r="GD76" s="37">
        <v>5.3249167376656604E-4</v>
      </c>
      <c r="GE76" s="37">
        <v>6.2800576720243298E-3</v>
      </c>
      <c r="GF76" s="37">
        <v>3.7502884837294901E-3</v>
      </c>
      <c r="GG76" s="37">
        <v>4.7326167346859504E-3</v>
      </c>
      <c r="GH76" s="37">
        <v>5.9212784621838202E-3</v>
      </c>
      <c r="GI76" s="37">
        <v>2.4740040001136601E-3</v>
      </c>
      <c r="GJ76" s="37">
        <v>3.6309309933999501E-3</v>
      </c>
      <c r="GK76" s="37">
        <v>6.3688266661641197E-3</v>
      </c>
      <c r="GL76" s="37">
        <v>7.2085229081240198E-3</v>
      </c>
      <c r="GM76" s="37">
        <v>5.37234635832995E-3</v>
      </c>
      <c r="GN76" s="37">
        <v>3.56858902057966E-3</v>
      </c>
      <c r="GO76" s="37">
        <v>3.7677794973836102E-3</v>
      </c>
      <c r="GP76" s="37">
        <v>2.0833142133425101E-3</v>
      </c>
      <c r="GQ76" s="37">
        <v>6.1270469282337396E-3</v>
      </c>
      <c r="GR76" s="37">
        <v>2.6124871423760499E-3</v>
      </c>
      <c r="GS76" s="37">
        <v>3.6225305055199702E-3</v>
      </c>
      <c r="GT76" s="37">
        <v>3.6456401581284E-3</v>
      </c>
      <c r="GU76" s="37">
        <v>-4.5157103455735204E-3</v>
      </c>
      <c r="GV76" s="37">
        <v>8.3389922585903609E-3</v>
      </c>
      <c r="GW76" s="37">
        <v>4.08562757035358E-3</v>
      </c>
      <c r="GX76" s="37">
        <v>1.1071265683547901E-2</v>
      </c>
      <c r="GY76" s="37">
        <v>1.57351471355665E-2</v>
      </c>
      <c r="GZ76" s="37">
        <v>1.3714972395896899E-2</v>
      </c>
      <c r="HA76" s="37">
        <v>1.51185864121706E-2</v>
      </c>
      <c r="HB76" s="37">
        <v>1.8193665219635499E-2</v>
      </c>
      <c r="HC76">
        <v>1.7752216949378001E-2</v>
      </c>
      <c r="HD76">
        <v>1.0485141965882501E-2</v>
      </c>
    </row>
    <row r="77" spans="1:212" x14ac:dyDescent="0.3">
      <c r="A77" s="37" t="s">
        <v>1835</v>
      </c>
      <c r="B77" s="37">
        <v>1.32057313943541E-2</v>
      </c>
      <c r="C77" s="37">
        <v>1.32057313943541E-2</v>
      </c>
      <c r="D77" s="37">
        <v>1.7043955464091501E-2</v>
      </c>
      <c r="E77" s="37">
        <v>1.2711424717235501E-2</v>
      </c>
      <c r="F77" s="37">
        <v>3.1661458066499303E-2</v>
      </c>
      <c r="G77" s="37">
        <v>1.86720961414313E-2</v>
      </c>
      <c r="H77" s="37">
        <v>1.4478623312046E-2</v>
      </c>
      <c r="I77" s="37">
        <v>2.03267659778954E-2</v>
      </c>
      <c r="J77" s="37">
        <v>4.11623416380162E-2</v>
      </c>
      <c r="K77" s="37">
        <v>1.00873026643145E-2</v>
      </c>
      <c r="L77" s="37">
        <v>8.1952530228392995E-3</v>
      </c>
      <c r="M77" s="37">
        <v>2.17652023275441E-2</v>
      </c>
      <c r="N77" s="37">
        <v>1.60848584967179E-2</v>
      </c>
      <c r="O77" s="37">
        <v>1.74132546100201E-2</v>
      </c>
      <c r="P77" s="37">
        <v>2.0689655172413599E-2</v>
      </c>
      <c r="Q77" s="37">
        <v>2.13826631509559E-2</v>
      </c>
      <c r="R77" s="37">
        <v>1.0245653664636501E-2</v>
      </c>
      <c r="S77" s="37">
        <v>1.8087442603314002E-2</v>
      </c>
      <c r="T77" s="37">
        <v>2.9178759118362301E-2</v>
      </c>
      <c r="U77" s="37">
        <v>3.32291746055942E-2</v>
      </c>
      <c r="V77" s="37">
        <v>1.8182488751198499E-2</v>
      </c>
      <c r="W77" s="37">
        <v>1.4452856159669699E-2</v>
      </c>
      <c r="X77" s="37">
        <v>1.34971077626223E-2</v>
      </c>
      <c r="Y77" s="37">
        <v>2.29706877113867E-2</v>
      </c>
      <c r="Z77" s="37">
        <v>1.4602562336409899E-2</v>
      </c>
      <c r="AA77" s="37">
        <v>8.3842498302784101E-3</v>
      </c>
      <c r="AB77" s="37">
        <v>1.1445113946208001E-2</v>
      </c>
      <c r="AC77" s="37">
        <v>2.67580790095516E-2</v>
      </c>
      <c r="AD77" s="37">
        <v>1.41324430326408E-2</v>
      </c>
      <c r="AE77" s="37">
        <v>1.1378527823057601E-2</v>
      </c>
      <c r="AF77" s="37">
        <v>4.9300003160255299E-3</v>
      </c>
      <c r="AG77" s="37">
        <v>2.89946224724047E-2</v>
      </c>
      <c r="AH77" s="37">
        <v>1.14299685217445E-2</v>
      </c>
      <c r="AI77" s="37">
        <v>1.9640429067834898E-2</v>
      </c>
      <c r="AJ77" s="37">
        <v>1.6713587198103501E-2</v>
      </c>
      <c r="AK77" s="37">
        <v>1.7254947681366602E-2</v>
      </c>
      <c r="AL77" s="37">
        <v>1.8423540872754201E-2</v>
      </c>
      <c r="AM77" s="37">
        <v>1.51080351114115E-2</v>
      </c>
      <c r="AN77" s="37">
        <v>2.3336382029322901E-2</v>
      </c>
      <c r="AO77" s="37">
        <v>2.2018795872491299E-2</v>
      </c>
      <c r="AP77" s="37">
        <v>1.97689209243164E-2</v>
      </c>
      <c r="AQ77" s="37">
        <v>3.8667428927810402E-2</v>
      </c>
      <c r="AR77" s="37">
        <v>1.0132599449587099E-2</v>
      </c>
      <c r="AS77" s="37">
        <v>3.0092879256966101E-2</v>
      </c>
      <c r="AT77" s="37">
        <v>1.9980764606876599E-2</v>
      </c>
      <c r="AU77" s="37">
        <v>2.32432050163833E-2</v>
      </c>
      <c r="AV77" s="37">
        <v>2.19549842191353E-2</v>
      </c>
      <c r="AW77" s="37">
        <v>1.9138863841298599E-2</v>
      </c>
      <c r="AX77" s="37">
        <v>1.5992390895618099E-2</v>
      </c>
      <c r="AY77" s="37">
        <v>1.9790124531916801E-2</v>
      </c>
      <c r="AZ77" s="37">
        <v>8.4114344271044601E-3</v>
      </c>
      <c r="BA77" s="37">
        <v>1.17921033132211E-2</v>
      </c>
      <c r="BB77" s="37">
        <v>1.8831603615667701E-3</v>
      </c>
      <c r="BC77" s="37">
        <v>7.7273296854769597E-3</v>
      </c>
      <c r="BD77" s="37">
        <v>1.1066898781397499E-2</v>
      </c>
      <c r="BE77" s="37">
        <v>6.5387611199934099E-3</v>
      </c>
      <c r="BF77" s="37">
        <v>1.2951837898381099E-2</v>
      </c>
      <c r="BG77" s="37">
        <v>9.9716531633864403E-3</v>
      </c>
      <c r="BH77" s="37">
        <v>1.48695184823935E-2</v>
      </c>
      <c r="BI77" s="37">
        <v>1.23175898321042E-2</v>
      </c>
      <c r="BJ77" s="37">
        <v>-3.9913198480974197E-3</v>
      </c>
      <c r="BK77" s="37">
        <v>2.3538108392016101E-3</v>
      </c>
      <c r="BL77" s="37">
        <v>5.3370077823275998E-3</v>
      </c>
      <c r="BM77" s="37">
        <v>6.5634531485272403E-3</v>
      </c>
      <c r="BN77" s="37">
        <v>-2.53154846381043E-3</v>
      </c>
      <c r="BO77" s="37">
        <v>-2.48029225149005E-3</v>
      </c>
      <c r="BP77" s="37">
        <v>1.4070661706597799E-3</v>
      </c>
      <c r="BQ77" s="37">
        <v>1.13561997151312E-3</v>
      </c>
      <c r="BR77" s="37">
        <v>-1.71111068386742E-3</v>
      </c>
      <c r="BS77" s="37">
        <v>4.7569524689932098E-3</v>
      </c>
      <c r="BT77" s="37">
        <v>7.2262367982212101E-3</v>
      </c>
      <c r="BU77" s="37">
        <v>2.0933241988276802E-3</v>
      </c>
      <c r="BV77" s="37">
        <v>1.36351551521137E-2</v>
      </c>
      <c r="BW77" s="37">
        <v>9.8358812949641498E-3</v>
      </c>
      <c r="BX77" s="37">
        <v>5.7141796998201296E-3</v>
      </c>
      <c r="BY77" s="37">
        <v>8.0429448984487006E-3</v>
      </c>
      <c r="BZ77" s="37">
        <v>7.42977399579092E-3</v>
      </c>
      <c r="CA77" s="37">
        <v>7.3386496158107696E-3</v>
      </c>
      <c r="CB77" s="37">
        <v>4.9770083851772302E-3</v>
      </c>
      <c r="CC77" s="37">
        <v>3.5886669896465499E-3</v>
      </c>
      <c r="CD77" s="37">
        <v>7.0086356403427103E-3</v>
      </c>
      <c r="CE77" s="37">
        <v>1.7168829785345199E-2</v>
      </c>
      <c r="CF77" s="37">
        <v>1.34403909931913E-3</v>
      </c>
      <c r="CG77" s="37">
        <v>1.19057995014555E-2</v>
      </c>
      <c r="CH77" s="37">
        <v>8.9750215331609907E-3</v>
      </c>
      <c r="CI77" s="37">
        <v>4.9341824452373596E-3</v>
      </c>
      <c r="CJ77" s="37">
        <v>1.2844036697247801E-2</v>
      </c>
      <c r="CK77" s="37">
        <v>1.0114734299516899E-2</v>
      </c>
      <c r="CL77" s="37">
        <v>1.4613328019394999E-3</v>
      </c>
      <c r="CM77" s="37">
        <v>3.6480010612367502E-3</v>
      </c>
      <c r="CN77" s="37">
        <v>8.7233796487518108E-3</v>
      </c>
      <c r="CO77" s="37">
        <v>6.2894111866349496E-3</v>
      </c>
      <c r="CP77" s="37">
        <v>2.49027490681808E-3</v>
      </c>
      <c r="CQ77" s="37">
        <v>4.3999220678010396E-3</v>
      </c>
      <c r="CR77" s="37">
        <v>7.2418085123580099E-3</v>
      </c>
      <c r="CS77" s="37">
        <v>8.9711286931681792E-3</v>
      </c>
      <c r="CT77" s="37">
        <v>4.58088118339428E-3</v>
      </c>
      <c r="CU77" s="37">
        <v>8.3916526805789503E-3</v>
      </c>
      <c r="CV77" s="37">
        <v>5.7467654817233704E-3</v>
      </c>
      <c r="CW77" s="37">
        <v>8.2118212757984494E-3</v>
      </c>
      <c r="CX77" s="37">
        <v>8.4236605760297199E-3</v>
      </c>
      <c r="CY77" s="37">
        <v>6.6642098151221702E-3</v>
      </c>
      <c r="CZ77" s="37">
        <v>5.1709936239665603E-3</v>
      </c>
      <c r="DA77" s="37">
        <v>1.3809429867824E-2</v>
      </c>
      <c r="DB77" s="37">
        <v>2.3500531381441801E-3</v>
      </c>
      <c r="DC77" s="37">
        <v>-5.3610895406486199E-3</v>
      </c>
      <c r="DD77" s="37">
        <v>5.8103745965016902E-3</v>
      </c>
      <c r="DE77" s="37">
        <v>3.4332457606875998E-3</v>
      </c>
      <c r="DF77" s="37">
        <v>3.40662283181103E-3</v>
      </c>
      <c r="DG77" s="37">
        <v>6.5825562260011204E-3</v>
      </c>
      <c r="DH77" s="37">
        <v>2.29766551292454E-3</v>
      </c>
      <c r="DI77" s="37">
        <v>7.0094487957561603E-3</v>
      </c>
      <c r="DJ77" s="37">
        <v>-4.1880691104366798E-3</v>
      </c>
      <c r="DK77" s="37">
        <v>6.4330827508389801E-3</v>
      </c>
      <c r="DL77" s="37">
        <v>6.5375655212580597E-3</v>
      </c>
      <c r="DM77" s="37">
        <v>3.2113874061536801E-3</v>
      </c>
      <c r="DN77" s="37">
        <v>2.9703969661576402E-3</v>
      </c>
      <c r="DO77" s="37">
        <v>8.4103684747760497E-3</v>
      </c>
      <c r="DP77" s="37">
        <v>9.0815773716175201E-3</v>
      </c>
      <c r="DQ77" s="37">
        <v>1.22917814606027E-2</v>
      </c>
      <c r="DR77" s="37">
        <v>9.7419363843178602E-3</v>
      </c>
      <c r="DS77" s="37">
        <v>3.84259195267256E-3</v>
      </c>
      <c r="DT77" s="37">
        <v>7.16006884681586E-3</v>
      </c>
      <c r="DU77" s="37">
        <v>4.5252580490806604E-3</v>
      </c>
      <c r="DV77" s="37">
        <v>1.7012357776688999E-3</v>
      </c>
      <c r="DW77" s="37">
        <v>5.2580807325988098E-3</v>
      </c>
      <c r="DX77" s="37">
        <v>6.4064442882629802E-3</v>
      </c>
      <c r="DY77" s="37">
        <v>6.4731003733446996E-3</v>
      </c>
      <c r="DZ77" s="37">
        <v>6.4848420153715801E-3</v>
      </c>
      <c r="EA77" s="37">
        <v>9.4524724910511893E-3</v>
      </c>
      <c r="EB77" s="37">
        <v>8.5891020842361297E-3</v>
      </c>
      <c r="EC77" s="37">
        <v>1.85293696368347E-2</v>
      </c>
      <c r="ED77" s="37">
        <v>1.11480439785221E-2</v>
      </c>
      <c r="EE77" s="37">
        <v>7.1056491174834599E-3</v>
      </c>
      <c r="EF77" s="37">
        <v>9.0516483792402198E-3</v>
      </c>
      <c r="EG77" s="37">
        <v>7.4898911353034102E-3</v>
      </c>
      <c r="EH77" s="37">
        <v>8.5085888585647602E-3</v>
      </c>
      <c r="EI77" s="37">
        <v>8.6817035241104606E-3</v>
      </c>
      <c r="EJ77" s="37">
        <v>9.1532625189680895E-3</v>
      </c>
      <c r="EK77" s="37">
        <v>9.7318625269160498E-3</v>
      </c>
      <c r="EL77" s="37">
        <v>1.3164478543687101E-2</v>
      </c>
      <c r="EM77" s="37">
        <v>9.0189668755804604E-3</v>
      </c>
      <c r="EN77" s="37">
        <v>1.0441673464631099E-2</v>
      </c>
      <c r="EO77" s="37">
        <v>7.1852005628214597E-3</v>
      </c>
      <c r="EP77" s="37">
        <v>8.4164481443735895E-3</v>
      </c>
      <c r="EQ77" s="37">
        <v>6.9608466569768303E-3</v>
      </c>
      <c r="ER77" s="37">
        <v>7.4089109915760299E-3</v>
      </c>
      <c r="ES77" s="37">
        <v>5.2051850359326997E-3</v>
      </c>
      <c r="ET77" s="37">
        <v>8.5524337687501503E-3</v>
      </c>
      <c r="EU77" s="37">
        <v>7.9940817295483003E-3</v>
      </c>
      <c r="EV77" s="37">
        <v>6.8900548794514904E-3</v>
      </c>
      <c r="EW77" s="37">
        <v>8.0178416013925204E-3</v>
      </c>
      <c r="EX77" s="37">
        <v>8.4289368315399998E-3</v>
      </c>
      <c r="EY77" s="37">
        <v>1.02420856610801E-2</v>
      </c>
      <c r="EZ77" s="37">
        <v>7.5003972668044004E-3</v>
      </c>
      <c r="FA77" s="37">
        <v>-4.7632566795998699E-3</v>
      </c>
      <c r="FB77" s="37">
        <v>-8.3888008452193095E-3</v>
      </c>
      <c r="FC77" s="37">
        <v>1.81128537333874E-4</v>
      </c>
      <c r="FD77" s="37">
        <v>3.0573221267029501E-3</v>
      </c>
      <c r="FE77" s="37">
        <v>7.6890399320306297E-3</v>
      </c>
      <c r="FF77" s="37">
        <v>6.3656675519581096E-3</v>
      </c>
      <c r="FG77" s="37">
        <v>7.6658847184987201E-3</v>
      </c>
      <c r="FH77" s="37">
        <v>3.97006859280813E-3</v>
      </c>
      <c r="FI77" s="37">
        <v>8.1364775056416098E-3</v>
      </c>
      <c r="FJ77" s="37">
        <v>8.9846798373516296E-3</v>
      </c>
      <c r="FK77" s="37">
        <v>9.0471489777432801E-3</v>
      </c>
      <c r="FL77" s="37">
        <v>3.4795062126835598E-3</v>
      </c>
      <c r="FM77" s="37">
        <v>-1.3367237203131301E-3</v>
      </c>
      <c r="FN77" s="37">
        <v>3.4620184372609101E-3</v>
      </c>
      <c r="FO77" s="37">
        <v>2.2064428130139598E-3</v>
      </c>
      <c r="FP77" s="37">
        <v>1.9213833960451999E-3</v>
      </c>
      <c r="FQ77" s="37">
        <v>1.2385137834598501E-3</v>
      </c>
      <c r="FR77" s="37">
        <v>-4.9878296955352397E-5</v>
      </c>
      <c r="FS77" s="37">
        <v>1.9752790829916699E-3</v>
      </c>
      <c r="FT77" s="37">
        <v>3.23585929488135E-3</v>
      </c>
      <c r="FU77" s="37">
        <v>1.5214068795776199E-2</v>
      </c>
      <c r="FV77" s="37">
        <v>-2.5807712986949398E-3</v>
      </c>
      <c r="FW77" s="37">
        <v>4.4202252256666501E-3</v>
      </c>
      <c r="FX77" s="37">
        <v>4.6739915302198599E-3</v>
      </c>
      <c r="FY77" s="37">
        <v>1.3403133225202699E-3</v>
      </c>
      <c r="FZ77" s="37">
        <v>-1.6101029107944401E-3</v>
      </c>
      <c r="GA77" s="37">
        <v>1.9624415882175698E-3</v>
      </c>
      <c r="GB77" s="37">
        <v>1.53197265719696E-3</v>
      </c>
      <c r="GC77" s="37">
        <v>-7.9385824789679504E-4</v>
      </c>
      <c r="GD77" s="37">
        <v>-2.4997335555317899E-3</v>
      </c>
      <c r="GE77" s="37">
        <v>5.3810962283760101E-3</v>
      </c>
      <c r="GF77" s="37">
        <v>3.8837952988686202E-3</v>
      </c>
      <c r="GG77" s="37">
        <v>4.8215265280195903E-3</v>
      </c>
      <c r="GH77" s="37">
        <v>4.8175462120485504E-3</v>
      </c>
      <c r="GI77" s="37">
        <v>3.2598438706357099E-3</v>
      </c>
      <c r="GJ77" s="37">
        <v>4.41784238278475E-3</v>
      </c>
      <c r="GK77" s="37">
        <v>7.1888006053726396E-3</v>
      </c>
      <c r="GL77" s="37">
        <v>1.0133358377159901E-2</v>
      </c>
      <c r="GM77" s="37">
        <v>7.3076172147379399E-3</v>
      </c>
      <c r="GN77" s="37">
        <v>5.7962988601227804E-3</v>
      </c>
      <c r="GO77" s="37">
        <v>7.3320914354932896E-3</v>
      </c>
      <c r="GP77" s="37">
        <v>1.0667565499398599E-2</v>
      </c>
      <c r="GQ77" s="37">
        <v>-6.6520645737000502E-3</v>
      </c>
      <c r="GR77" s="37">
        <v>2.4953495757906699E-3</v>
      </c>
      <c r="GS77" s="37">
        <v>4.0369297610427504E-3</v>
      </c>
      <c r="GT77" s="37">
        <v>3.3806321331337802E-3</v>
      </c>
      <c r="GU77" s="37">
        <v>8.26587362197984E-4</v>
      </c>
      <c r="GV77" s="37">
        <v>6.4276929430036002E-3</v>
      </c>
      <c r="GW77" s="37">
        <v>6.0566056248829696E-3</v>
      </c>
      <c r="GX77" s="37">
        <v>1.0054261091605499E-2</v>
      </c>
      <c r="GY77" s="37">
        <v>1.0156071698179401E-2</v>
      </c>
      <c r="GZ77" s="37">
        <v>1.08273446936453E-2</v>
      </c>
      <c r="HA77" s="37">
        <v>1.0685579196217499E-2</v>
      </c>
      <c r="HB77" s="37">
        <v>1.3906845400109001E-2</v>
      </c>
      <c r="HC77">
        <v>1.4664060468276599E-2</v>
      </c>
      <c r="HD77">
        <v>1.2583608238046801E-2</v>
      </c>
    </row>
    <row r="78" spans="1:212" x14ac:dyDescent="0.3">
      <c r="A78" s="37" t="s">
        <v>1836</v>
      </c>
      <c r="B78" s="37">
        <v>2.12315774113527E-2</v>
      </c>
      <c r="C78" s="37">
        <v>2.12315774113527E-2</v>
      </c>
      <c r="D78" s="37">
        <v>1.8075301850396502E-2</v>
      </c>
      <c r="E78" s="37">
        <v>1.8947368421052602E-2</v>
      </c>
      <c r="F78" s="37">
        <v>2.26584022038567E-2</v>
      </c>
      <c r="G78" s="37">
        <v>1.8115698026803101E-2</v>
      </c>
      <c r="H78" s="37">
        <v>1.4089165233496501E-2</v>
      </c>
      <c r="I78" s="37">
        <v>1.0892961972474E-2</v>
      </c>
      <c r="J78" s="37">
        <v>2.23899858046199E-2</v>
      </c>
      <c r="K78" s="37">
        <v>1.1801830230356599E-2</v>
      </c>
      <c r="L78" s="37">
        <v>1.5219560878243501E-2</v>
      </c>
      <c r="M78" s="37">
        <v>1.37625952322438E-2</v>
      </c>
      <c r="N78" s="37">
        <v>1.9696969696969501E-2</v>
      </c>
      <c r="O78" s="37">
        <v>1.7771173848439799E-2</v>
      </c>
      <c r="P78" s="37">
        <v>1.3431441252044001E-2</v>
      </c>
      <c r="Q78" s="37">
        <v>1.8958165264492299E-2</v>
      </c>
      <c r="R78" s="37">
        <v>2.9010914437595601E-2</v>
      </c>
      <c r="S78" s="37">
        <v>3.4787865464937402E-2</v>
      </c>
      <c r="T78" s="37">
        <v>3.6486271177439002E-2</v>
      </c>
      <c r="U78" s="37">
        <v>2.9411764705882502E-2</v>
      </c>
      <c r="V78" s="37">
        <v>2.0109507217521201E-2</v>
      </c>
      <c r="W78" s="37">
        <v>1.9810676295501001E-2</v>
      </c>
      <c r="X78" s="37">
        <v>1.2775119617225E-2</v>
      </c>
      <c r="Y78" s="37">
        <v>1.28029479850709E-2</v>
      </c>
      <c r="Z78" s="37">
        <v>1.1288366452094399E-2</v>
      </c>
      <c r="AA78" s="37">
        <v>1.2130996309963201E-2</v>
      </c>
      <c r="AB78" s="37">
        <v>7.4283370550973799E-3</v>
      </c>
      <c r="AC78" s="37">
        <v>1.19424590608883E-2</v>
      </c>
      <c r="AD78" s="37">
        <v>1.88645507375951E-2</v>
      </c>
      <c r="AE78" s="37">
        <v>1.79010179010177E-2</v>
      </c>
      <c r="AF78" s="37">
        <v>1.7025862068965399E-2</v>
      </c>
      <c r="AG78" s="37">
        <v>1.6867980504344099E-2</v>
      </c>
      <c r="AH78" s="37">
        <v>1.41291209936232E-2</v>
      </c>
      <c r="AI78" s="37">
        <v>1.66858457997698E-2</v>
      </c>
      <c r="AJ78" s="37">
        <v>1.52397121836849E-2</v>
      </c>
      <c r="AK78" s="37">
        <v>1.43340633087798E-2</v>
      </c>
      <c r="AL78" s="37">
        <v>2.3788027477919398E-2</v>
      </c>
      <c r="AM78" s="37">
        <v>2.2890226601740799E-2</v>
      </c>
      <c r="AN78" s="37">
        <v>3.3885598620586203E-2</v>
      </c>
      <c r="AO78" s="37">
        <v>1.95417301138423E-2</v>
      </c>
      <c r="AP78" s="37">
        <v>2.6030368763557701E-2</v>
      </c>
      <c r="AQ78" s="37">
        <v>2.7449485322150101E-2</v>
      </c>
      <c r="AR78" s="37">
        <v>2.8841288581548299E-2</v>
      </c>
      <c r="AS78" s="37">
        <v>2.7213114754098398E-2</v>
      </c>
      <c r="AT78" s="37">
        <v>3.25247366741142E-2</v>
      </c>
      <c r="AU78" s="37">
        <v>2.15153482333303E-2</v>
      </c>
      <c r="AV78" s="37">
        <v>1.35875321531245E-2</v>
      </c>
      <c r="AW78" s="37">
        <v>1.5793873529587499E-2</v>
      </c>
      <c r="AX78" s="37">
        <v>1.68415483643416E-2</v>
      </c>
      <c r="AY78" s="37">
        <v>1.6071222106601901E-2</v>
      </c>
      <c r="AZ78" s="37">
        <v>1.5703231679563098E-2</v>
      </c>
      <c r="BA78" s="37">
        <v>1.2715662110687901E-2</v>
      </c>
      <c r="BB78" s="37">
        <v>7.1906632003981797E-3</v>
      </c>
      <c r="BC78" s="37">
        <v>1.09561205997035E-2</v>
      </c>
      <c r="BD78" s="37">
        <v>9.6694461797539599E-3</v>
      </c>
      <c r="BE78" s="37">
        <v>7.6130524843300903E-3</v>
      </c>
      <c r="BF78" s="37">
        <v>1.44970098248611E-2</v>
      </c>
      <c r="BG78" s="37">
        <v>9.5265664885917402E-3</v>
      </c>
      <c r="BH78" s="37">
        <v>9.3323948802170893E-3</v>
      </c>
      <c r="BI78" s="37">
        <v>9.9176115085617394E-3</v>
      </c>
      <c r="BJ78" s="37">
        <v>1.1789376774160599E-2</v>
      </c>
      <c r="BK78" s="37">
        <v>9.8574461631786292E-3</v>
      </c>
      <c r="BL78" s="37">
        <v>8.2845272062870307E-3</v>
      </c>
      <c r="BM78" s="37">
        <v>9.2590294154153395E-3</v>
      </c>
      <c r="BN78" s="37">
        <v>4.1566235427221701E-3</v>
      </c>
      <c r="BO78" s="37">
        <v>4.4088470864869196E-3</v>
      </c>
      <c r="BP78" s="37">
        <v>8.6570585509790892E-3</v>
      </c>
      <c r="BQ78" s="37">
        <v>1.2716986606063499E-2</v>
      </c>
      <c r="BR78" s="37">
        <v>1.4300038197096999E-2</v>
      </c>
      <c r="BS78" s="37">
        <v>1.22155012121354E-2</v>
      </c>
      <c r="BT78" s="37">
        <v>1.1975073245593699E-2</v>
      </c>
      <c r="BU78" s="37">
        <v>5.9511500195308402E-3</v>
      </c>
      <c r="BV78" s="37">
        <v>5.1393330287803404E-3</v>
      </c>
      <c r="BW78" s="37">
        <v>9.7488921713440001E-3</v>
      </c>
      <c r="BX78" s="37">
        <v>8.4169779898277692E-3</v>
      </c>
      <c r="BY78" s="37">
        <v>1.14488484199249E-2</v>
      </c>
      <c r="BZ78" s="37">
        <v>1.31506365702434E-2</v>
      </c>
      <c r="CA78" s="37">
        <v>1.35679595792408E-2</v>
      </c>
      <c r="CB78" s="37">
        <v>9.3682853459389204E-3</v>
      </c>
      <c r="CC78" s="37">
        <v>1.2921491825613101E-2</v>
      </c>
      <c r="CD78" s="37">
        <v>1.4143706786037E-2</v>
      </c>
      <c r="CE78" s="37">
        <v>1.0319960212201501E-2</v>
      </c>
      <c r="CF78" s="37">
        <v>1.35988841941175E-2</v>
      </c>
      <c r="CG78" s="37">
        <v>1.5743570026509199E-2</v>
      </c>
      <c r="CH78" s="37">
        <v>4.20360593684621E-3</v>
      </c>
      <c r="CI78" s="37">
        <v>6.0508669602825603E-3</v>
      </c>
      <c r="CJ78" s="37">
        <v>8.2427875608841496E-3</v>
      </c>
      <c r="CK78" s="37">
        <v>8.7230338946586699E-3</v>
      </c>
      <c r="CL78" s="37">
        <v>7.1352399418322899E-3</v>
      </c>
      <c r="CM78" s="37">
        <v>1.1936160791637101E-2</v>
      </c>
      <c r="CN78" s="37">
        <v>7.3816182485779702E-3</v>
      </c>
      <c r="CO78" s="37">
        <v>6.8176238409094498E-3</v>
      </c>
      <c r="CP78" s="37">
        <v>5.8148259303723001E-3</v>
      </c>
      <c r="CQ78" s="37">
        <v>5.8931035768901002E-3</v>
      </c>
      <c r="CR78" s="37">
        <v>2.8551299640327001E-3</v>
      </c>
      <c r="CS78" s="37">
        <v>5.0469570361606503E-3</v>
      </c>
      <c r="CT78" s="37">
        <v>8.1670192219258607E-3</v>
      </c>
      <c r="CU78" s="37">
        <v>5.5647795070152802E-3</v>
      </c>
      <c r="CV78" s="37">
        <v>8.7455093079797895E-3</v>
      </c>
      <c r="CW78" s="37">
        <v>8.4898194114684192E-3</v>
      </c>
      <c r="CX78" s="37">
        <v>5.5825069558392802E-3</v>
      </c>
      <c r="CY78" s="37">
        <v>7.5912098047215002E-3</v>
      </c>
      <c r="CZ78" s="37">
        <v>4.1190656410077199E-3</v>
      </c>
      <c r="DA78" s="37">
        <v>3.82167838297431E-3</v>
      </c>
      <c r="DB78" s="37">
        <v>9.98934702502563E-3</v>
      </c>
      <c r="DC78" s="37">
        <v>1.3660021095223099E-3</v>
      </c>
      <c r="DD78" s="37">
        <v>6.3199336924990596E-3</v>
      </c>
      <c r="DE78" s="37">
        <v>7.1725179312949203E-3</v>
      </c>
      <c r="DF78" s="37">
        <v>6.62736813411491E-3</v>
      </c>
      <c r="DG78" s="37">
        <v>3.2326309554033799E-3</v>
      </c>
      <c r="DH78" s="37">
        <v>4.3525204129832903E-3</v>
      </c>
      <c r="DI78" s="37">
        <v>7.8274599388585796E-3</v>
      </c>
      <c r="DJ78" s="37">
        <v>1.34999999999996E-3</v>
      </c>
      <c r="DK78" s="37">
        <v>4.4273564021903898E-3</v>
      </c>
      <c r="DL78" s="37">
        <v>7.4900160737070296E-3</v>
      </c>
      <c r="DM78" s="37">
        <v>8.3554005822463803E-3</v>
      </c>
      <c r="DN78" s="37">
        <v>7.6826463535974998E-3</v>
      </c>
      <c r="DO78" s="37">
        <v>1.35323254232897E-2</v>
      </c>
      <c r="DP78" s="37">
        <v>1.20100935892931E-2</v>
      </c>
      <c r="DQ78" s="37">
        <v>1.14888110343085E-2</v>
      </c>
      <c r="DR78" s="37">
        <v>1.2778107155116099E-2</v>
      </c>
      <c r="DS78" s="37">
        <v>1.0614206707439299E-2</v>
      </c>
      <c r="DT78" s="37">
        <v>1.07313801408493E-2</v>
      </c>
      <c r="DU78" s="37">
        <v>1.2487557687087101E-2</v>
      </c>
      <c r="DV78" s="37">
        <v>1.19462567402508E-2</v>
      </c>
      <c r="DW78" s="37">
        <v>3.9154498351388102E-3</v>
      </c>
      <c r="DX78" s="37">
        <v>2.6245564646199E-3</v>
      </c>
      <c r="DY78" s="37">
        <v>1.9449847179771099E-3</v>
      </c>
      <c r="DZ78" s="37">
        <v>6.0863473158769797E-3</v>
      </c>
      <c r="EA78" s="37">
        <v>8.9945017481249893E-3</v>
      </c>
      <c r="EB78" s="37">
        <v>7.1889692455895399E-3</v>
      </c>
      <c r="EC78" s="37">
        <v>8.3510585145107896E-3</v>
      </c>
      <c r="ED78" s="37">
        <v>1.42420295599976E-2</v>
      </c>
      <c r="EE78" s="37">
        <v>7.2583121632563397E-4</v>
      </c>
      <c r="EF78" s="37">
        <v>6.7090690992272998E-3</v>
      </c>
      <c r="EG78" s="37">
        <v>7.8420505715275403E-3</v>
      </c>
      <c r="EH78" s="37">
        <v>1.2647612763090999E-2</v>
      </c>
      <c r="EI78" s="37">
        <v>1.4281641574238601E-2</v>
      </c>
      <c r="EJ78" s="37">
        <v>1.61953073762264E-2</v>
      </c>
      <c r="EK78" s="37">
        <v>1.7227980980730299E-2</v>
      </c>
      <c r="EL78" s="37">
        <v>8.9860289262084798E-3</v>
      </c>
      <c r="EM78" s="37">
        <v>1.2794353545075399E-2</v>
      </c>
      <c r="EN78" s="37">
        <v>1.5977800866678701E-2</v>
      </c>
      <c r="EO78" s="37">
        <v>1.6337627676689299E-2</v>
      </c>
      <c r="EP78" s="37">
        <v>7.11717570834303E-3</v>
      </c>
      <c r="EQ78" s="37">
        <v>1.53521864681443E-2</v>
      </c>
      <c r="ER78" s="37">
        <v>1.00320401281604E-2</v>
      </c>
      <c r="ES78" s="37">
        <v>1.0573964286138699E-2</v>
      </c>
      <c r="ET78" s="37">
        <v>1.9092629821653401E-2</v>
      </c>
      <c r="EU78" s="37">
        <v>1.0774892424120001E-2</v>
      </c>
      <c r="EV78" s="37">
        <v>1.08768846228471E-2</v>
      </c>
      <c r="EW78" s="37">
        <v>1.45082985209439E-2</v>
      </c>
      <c r="EX78" s="37">
        <v>1.6025819375660801E-2</v>
      </c>
      <c r="EY78" s="37">
        <v>1.39219015280136E-2</v>
      </c>
      <c r="EZ78" s="37">
        <v>1.34174534926432E-2</v>
      </c>
      <c r="FA78" s="37">
        <v>-1.18966399454206E-2</v>
      </c>
      <c r="FB78" s="37">
        <v>-1.2956889483450499E-2</v>
      </c>
      <c r="FC78" s="37">
        <v>2.1969374036789899E-3</v>
      </c>
      <c r="FD78" s="37">
        <v>5.1149500501681501E-3</v>
      </c>
      <c r="FE78" s="37">
        <v>7.3458404314188401E-3</v>
      </c>
      <c r="FF78" s="37">
        <v>9.9097352377259806E-3</v>
      </c>
      <c r="FG78" s="37">
        <v>6.6660978263188798E-3</v>
      </c>
      <c r="FH78" s="37">
        <v>5.2339934098302203E-3</v>
      </c>
      <c r="FI78" s="37">
        <v>8.4425097758149496E-3</v>
      </c>
      <c r="FJ78" s="37">
        <v>1.01590752315057E-2</v>
      </c>
      <c r="FK78" s="37">
        <v>1.2043455768235799E-2</v>
      </c>
      <c r="FL78" s="37">
        <v>5.1628601222730702E-3</v>
      </c>
      <c r="FM78" s="37">
        <v>-1.1696620185316399E-3</v>
      </c>
      <c r="FN78" s="37">
        <v>1.2188912875239301E-2</v>
      </c>
      <c r="FO78" s="37">
        <v>1.00602609631739E-5</v>
      </c>
      <c r="FP78" s="37">
        <v>5.91537393613795E-3</v>
      </c>
      <c r="FQ78" s="37">
        <v>1.21812181218122E-2</v>
      </c>
      <c r="FR78" s="37">
        <v>1.1491186467472899E-2</v>
      </c>
      <c r="FS78" s="37">
        <v>5.2846997684892196E-3</v>
      </c>
      <c r="FT78" s="37">
        <v>7.9193874378109506E-3</v>
      </c>
      <c r="FU78" s="37">
        <v>5.6976486353601504E-3</v>
      </c>
      <c r="FV78" s="37">
        <v>7.9276826626277792E-3</v>
      </c>
      <c r="FW78" s="37">
        <v>3.3953112368634302E-3</v>
      </c>
      <c r="FX78" s="37">
        <v>5.5733540596387696E-3</v>
      </c>
      <c r="FY78" s="37">
        <v>-3.3933452728818198E-4</v>
      </c>
      <c r="FZ78" s="37">
        <v>-8.2788013653421998E-3</v>
      </c>
      <c r="GA78" s="37">
        <v>6.5319084201718204E-3</v>
      </c>
      <c r="GB78" s="37">
        <v>1.0012941254262701E-3</v>
      </c>
      <c r="GC78" s="37">
        <v>-3.3405996093196499E-3</v>
      </c>
      <c r="GD78" s="37">
        <v>-7.43265634616297E-3</v>
      </c>
      <c r="GE78" s="37">
        <v>7.6981780024802902E-3</v>
      </c>
      <c r="GF78" s="37">
        <v>3.2943002925112101E-3</v>
      </c>
      <c r="GG78" s="37">
        <v>4.8969193753833897E-3</v>
      </c>
      <c r="GH78" s="37">
        <v>9.1921430181025592E-3</v>
      </c>
      <c r="GI78" s="37">
        <v>2.8097466576109099E-3</v>
      </c>
      <c r="GJ78" s="37">
        <v>9.0179524052513803E-3</v>
      </c>
      <c r="GK78" s="37">
        <v>1.24589681583713E-2</v>
      </c>
      <c r="GL78" s="37">
        <v>1.2187590816623101E-2</v>
      </c>
      <c r="GM78" s="37">
        <v>1.09013584079531E-2</v>
      </c>
      <c r="GN78" s="37">
        <v>9.1684491741295098E-3</v>
      </c>
      <c r="GO78" s="37">
        <v>5.14502823169338E-3</v>
      </c>
      <c r="GP78" s="37">
        <v>-2.7387191894091599E-3</v>
      </c>
      <c r="GQ78" s="37">
        <v>7.3964237457664296E-3</v>
      </c>
      <c r="GR78" s="37">
        <v>2.6215630089621001E-3</v>
      </c>
      <c r="GS78" s="37">
        <v>3.70923747806606E-3</v>
      </c>
      <c r="GT78" s="37">
        <v>1.06192392574322E-2</v>
      </c>
      <c r="GU78" s="37">
        <v>-5.7376768403394297E-4</v>
      </c>
      <c r="GV78" s="37">
        <v>8.8513774045671009E-3</v>
      </c>
      <c r="GW78" s="37">
        <v>1.11943467699469E-2</v>
      </c>
      <c r="GX78" s="37">
        <v>2.1242104555839299E-2</v>
      </c>
      <c r="GY78" s="37">
        <v>2.05781963235598E-2</v>
      </c>
      <c r="GZ78" s="37">
        <v>1.6988080943209E-2</v>
      </c>
      <c r="HA78" s="37">
        <v>2.18867625500219E-2</v>
      </c>
      <c r="HB78" s="37">
        <v>2.5411571298960201E-2</v>
      </c>
      <c r="HC78">
        <v>3.5512803061239898E-2</v>
      </c>
      <c r="HD78">
        <v>7.09851749068857E-3</v>
      </c>
    </row>
    <row r="79" spans="1:212" x14ac:dyDescent="0.3">
      <c r="A79" s="37" t="s">
        <v>1837</v>
      </c>
      <c r="B79" s="37">
        <v>1.9913023575188999E-2</v>
      </c>
      <c r="C79" s="37">
        <v>1.9913023575188999E-2</v>
      </c>
      <c r="D79" s="37">
        <v>1.7654099341711402E-2</v>
      </c>
      <c r="E79" s="37">
        <v>1.6833284328138898E-2</v>
      </c>
      <c r="F79" s="37">
        <v>2.4651196414371399E-2</v>
      </c>
      <c r="G79" s="37">
        <v>1.8696204317764999E-2</v>
      </c>
      <c r="H79" s="37">
        <v>1.5097998476348899E-2</v>
      </c>
      <c r="I79" s="37">
        <v>9.0741625162038507E-3</v>
      </c>
      <c r="J79" s="37">
        <v>2.5152129817444399E-2</v>
      </c>
      <c r="K79" s="37">
        <v>1.3124917557050499E-2</v>
      </c>
      <c r="L79" s="37">
        <v>1.5558882885228701E-2</v>
      </c>
      <c r="M79" s="37">
        <v>1.2435897435897601E-2</v>
      </c>
      <c r="N79" s="37">
        <v>1.9754337090034199E-2</v>
      </c>
      <c r="O79" s="37">
        <v>1.68881162299763E-2</v>
      </c>
      <c r="P79" s="37">
        <v>1.1600928074246E-2</v>
      </c>
      <c r="Q79" s="37">
        <v>1.6779333655238898E-2</v>
      </c>
      <c r="R79" s="37">
        <v>2.42787605366259E-2</v>
      </c>
      <c r="S79" s="37">
        <v>2.68907563025211E-2</v>
      </c>
      <c r="T79" s="37">
        <v>2.8726226084993398E-2</v>
      </c>
      <c r="U79" s="37">
        <v>2.6113671274961399E-2</v>
      </c>
      <c r="V79" s="37">
        <v>1.99957228400343E-2</v>
      </c>
      <c r="W79" s="37">
        <v>2.4111542090365898E-2</v>
      </c>
      <c r="X79" s="37">
        <v>1.5354693417954699E-2</v>
      </c>
      <c r="Y79" s="37">
        <v>1.45680008065328E-2</v>
      </c>
      <c r="Z79" s="37">
        <v>1.30173398916877E-2</v>
      </c>
      <c r="AA79" s="37">
        <v>1.3046250429153101E-2</v>
      </c>
      <c r="AB79" s="37">
        <v>8.7630113773904394E-3</v>
      </c>
      <c r="AC79" s="37">
        <v>1.31983106162412E-2</v>
      </c>
      <c r="AD79" s="37">
        <v>2.0321159585050302E-2</v>
      </c>
      <c r="AE79" s="37">
        <v>1.9870009285051001E-2</v>
      </c>
      <c r="AF79" s="37">
        <v>1.7889657683903801E-2</v>
      </c>
      <c r="AG79" s="37">
        <v>1.83354948347569E-2</v>
      </c>
      <c r="AH79" s="37">
        <v>1.4536032673137E-2</v>
      </c>
      <c r="AI79" s="37">
        <v>1.6015929356765699E-2</v>
      </c>
      <c r="AJ79" s="37">
        <v>1.4314928425357899E-2</v>
      </c>
      <c r="AK79" s="37">
        <v>1.33988575268817E-2</v>
      </c>
      <c r="AL79" s="37">
        <v>2.4536825962614601E-2</v>
      </c>
      <c r="AM79" s="37">
        <v>2.18455439135887E-2</v>
      </c>
      <c r="AN79" s="37">
        <v>3.5116196207292602E-2</v>
      </c>
      <c r="AO79" s="37">
        <v>1.7211045666641198E-2</v>
      </c>
      <c r="AP79" s="37">
        <v>2.5718153105730199E-2</v>
      </c>
      <c r="AQ79" s="37">
        <v>2.7126099706744799E-2</v>
      </c>
      <c r="AR79" s="37">
        <v>2.7801570306923699E-2</v>
      </c>
      <c r="AS79" s="37">
        <v>2.65981457689504E-2</v>
      </c>
      <c r="AT79" s="37">
        <v>3.3519364112971399E-2</v>
      </c>
      <c r="AU79" s="37">
        <v>2.0912423092027701E-2</v>
      </c>
      <c r="AV79" s="37">
        <v>1.1957044398140699E-2</v>
      </c>
      <c r="AW79" s="37">
        <v>1.53319817536746E-2</v>
      </c>
      <c r="AX79" s="37">
        <v>1.7534007238237701E-2</v>
      </c>
      <c r="AY79" s="37">
        <v>1.5944073097442901E-2</v>
      </c>
      <c r="AZ79" s="37">
        <v>1.65992635963059E-2</v>
      </c>
      <c r="BA79" s="37">
        <v>1.5021968887305399E-2</v>
      </c>
      <c r="BB79" s="37">
        <v>8.5697572389587008E-3</v>
      </c>
      <c r="BC79" s="37">
        <v>1.36589043876694E-2</v>
      </c>
      <c r="BD79" s="37">
        <v>1.17010928649082E-2</v>
      </c>
      <c r="BE79" s="37">
        <v>9.3600656052936805E-3</v>
      </c>
      <c r="BF79" s="37">
        <v>1.7537961562167099E-2</v>
      </c>
      <c r="BG79" s="37">
        <v>1.09030837004405E-2</v>
      </c>
      <c r="BH79" s="37">
        <v>1.07310164505936E-2</v>
      </c>
      <c r="BI79" s="37">
        <v>1.1802748585286999E-2</v>
      </c>
      <c r="BJ79" s="37">
        <v>1.3209758176201E-2</v>
      </c>
      <c r="BK79" s="37">
        <v>1.1434128903375E-2</v>
      </c>
      <c r="BL79" s="37">
        <v>9.2777878843004497E-3</v>
      </c>
      <c r="BM79" s="37">
        <v>1.0067978164589601E-2</v>
      </c>
      <c r="BN79" s="37">
        <v>3.6709409335409201E-3</v>
      </c>
      <c r="BO79" s="37">
        <v>2.9971298671609401E-3</v>
      </c>
      <c r="BP79" s="37">
        <v>8.5593456405581598E-3</v>
      </c>
      <c r="BQ79" s="37">
        <v>1.3182012202777E-2</v>
      </c>
      <c r="BR79" s="37">
        <v>1.61825931800159E-2</v>
      </c>
      <c r="BS79" s="37">
        <v>1.3169125716376E-2</v>
      </c>
      <c r="BT79" s="37">
        <v>1.2685040317727899E-2</v>
      </c>
      <c r="BU79" s="37">
        <v>6.1085757748620103E-3</v>
      </c>
      <c r="BV79" s="37">
        <v>4.4413995133361101E-3</v>
      </c>
      <c r="BW79" s="37">
        <v>1.0772161723545901E-2</v>
      </c>
      <c r="BX79" s="37">
        <v>8.8888888888889496E-3</v>
      </c>
      <c r="BY79" s="37">
        <v>1.29621514403671E-2</v>
      </c>
      <c r="BZ79" s="37">
        <v>1.5164279696714401E-2</v>
      </c>
      <c r="CA79" s="37">
        <v>1.48704721318829E-2</v>
      </c>
      <c r="CB79" s="37">
        <v>9.8346888260254506E-3</v>
      </c>
      <c r="CC79" s="37">
        <v>1.46849626857506E-2</v>
      </c>
      <c r="CD79" s="37">
        <v>1.5852816840652199E-2</v>
      </c>
      <c r="CE79" s="37">
        <v>1.0679632263954599E-2</v>
      </c>
      <c r="CF79" s="37">
        <v>1.4537204319146299E-2</v>
      </c>
      <c r="CG79" s="37">
        <v>1.8925746469540702E-2</v>
      </c>
      <c r="CH79" s="37">
        <v>4.7553243375060301E-3</v>
      </c>
      <c r="CI79" s="37">
        <v>6.2699728975366097E-3</v>
      </c>
      <c r="CJ79" s="37">
        <v>9.5473548802056402E-3</v>
      </c>
      <c r="CK79" s="37">
        <v>1.13683875206563E-2</v>
      </c>
      <c r="CL79" s="37">
        <v>9.4491909130280903E-3</v>
      </c>
      <c r="CM79" s="37">
        <v>1.35925738133313E-2</v>
      </c>
      <c r="CN79" s="37">
        <v>8.5618085618086592E-3</v>
      </c>
      <c r="CO79" s="37">
        <v>7.3063716138877001E-3</v>
      </c>
      <c r="CP79" s="37">
        <v>5.4731738726967504E-3</v>
      </c>
      <c r="CQ79" s="37">
        <v>5.91426203571155E-3</v>
      </c>
      <c r="CR79" s="37">
        <v>3.2580608920345102E-3</v>
      </c>
      <c r="CS79" s="37">
        <v>5.1138484509145599E-3</v>
      </c>
      <c r="CT79" s="37">
        <v>8.3744940023024999E-3</v>
      </c>
      <c r="CU79" s="37">
        <v>5.8189853604639899E-3</v>
      </c>
      <c r="CV79" s="37">
        <v>8.7329049266764401E-3</v>
      </c>
      <c r="CW79" s="37">
        <v>8.5484046607862095E-3</v>
      </c>
      <c r="CX79" s="37">
        <v>4.6068851337977001E-3</v>
      </c>
      <c r="CY79" s="37">
        <v>7.6847290640393896E-3</v>
      </c>
      <c r="CZ79" s="37">
        <v>3.8041739254097702E-3</v>
      </c>
      <c r="DA79" s="37">
        <v>3.4001558404759299E-3</v>
      </c>
      <c r="DB79" s="37">
        <v>1.1013060360042499E-2</v>
      </c>
      <c r="DC79" s="37">
        <v>1.4314642832204999E-3</v>
      </c>
      <c r="DD79" s="37">
        <v>6.62413276156615E-3</v>
      </c>
      <c r="DE79" s="37">
        <v>8.1044574515982699E-3</v>
      </c>
      <c r="DF79" s="37">
        <v>6.8540213694301402E-3</v>
      </c>
      <c r="DG79" s="37">
        <v>2.3885486154948698E-3</v>
      </c>
      <c r="DH79" s="37">
        <v>4.7827344986639498E-3</v>
      </c>
      <c r="DI79" s="37">
        <v>8.1647863942813093E-3</v>
      </c>
      <c r="DJ79" s="37">
        <v>1.57940721822714E-3</v>
      </c>
      <c r="DK79" s="37">
        <v>5.3178996812615099E-3</v>
      </c>
      <c r="DL79" s="37">
        <v>7.8095015602317498E-3</v>
      </c>
      <c r="DM79" s="37">
        <v>9.0073681596158899E-3</v>
      </c>
      <c r="DN79" s="37">
        <v>8.5495331396971998E-3</v>
      </c>
      <c r="DO79" s="37">
        <v>1.5001627074519901E-2</v>
      </c>
      <c r="DP79" s="37">
        <v>1.3850149081466E-2</v>
      </c>
      <c r="DQ79" s="37">
        <v>1.2206305537109099E-2</v>
      </c>
      <c r="DR79" s="37">
        <v>1.3964822393701899E-2</v>
      </c>
      <c r="DS79" s="37">
        <v>1.0444910032043399E-2</v>
      </c>
      <c r="DT79" s="37">
        <v>1.1724348223814501E-2</v>
      </c>
      <c r="DU79" s="37">
        <v>1.40749559215783E-2</v>
      </c>
      <c r="DV79" s="37">
        <v>1.33446272272004E-2</v>
      </c>
      <c r="DW79" s="37">
        <v>4.2380959364138899E-3</v>
      </c>
      <c r="DX79" s="37">
        <v>2.5116822429906999E-3</v>
      </c>
      <c r="DY79" s="37">
        <v>1.1215987880905901E-3</v>
      </c>
      <c r="DZ79" s="37">
        <v>6.4892548996784401E-3</v>
      </c>
      <c r="EA79" s="37">
        <v>9.8445970365015293E-3</v>
      </c>
      <c r="EB79" s="37">
        <v>8.1882730187814393E-3</v>
      </c>
      <c r="EC79" s="37">
        <v>9.9534276140171903E-3</v>
      </c>
      <c r="ED79" s="37">
        <v>1.5675744070632099E-2</v>
      </c>
      <c r="EE79" s="37">
        <v>6.5057305797022703E-4</v>
      </c>
      <c r="EF79" s="37">
        <v>8.0369617241426994E-3</v>
      </c>
      <c r="EG79" s="37">
        <v>9.0569766165331505E-3</v>
      </c>
      <c r="EH79" s="37">
        <v>1.41163031061307E-2</v>
      </c>
      <c r="EI79" s="37">
        <v>1.3289526619284101E-2</v>
      </c>
      <c r="EJ79" s="37">
        <v>1.3644605021108799E-2</v>
      </c>
      <c r="EK79" s="37">
        <v>1.5641320242323099E-2</v>
      </c>
      <c r="EL79" s="37">
        <v>9.1014269186271406E-3</v>
      </c>
      <c r="EM79" s="37">
        <v>1.14015643710668E-2</v>
      </c>
      <c r="EN79" s="37">
        <v>1.45100953484565E-2</v>
      </c>
      <c r="EO79" s="37">
        <v>1.68973865541002E-2</v>
      </c>
      <c r="EP79" s="37">
        <v>7.3498888970282604E-3</v>
      </c>
      <c r="EQ79" s="37">
        <v>1.37441217821301E-2</v>
      </c>
      <c r="ER79" s="37">
        <v>9.0863441811530592E-3</v>
      </c>
      <c r="ES79" s="37">
        <v>7.4998222790929603E-3</v>
      </c>
      <c r="ET79" s="37">
        <v>1.7604515787616799E-2</v>
      </c>
      <c r="EU79" s="37">
        <v>1.0828364073406401E-2</v>
      </c>
      <c r="EV79" s="37">
        <v>1.11811041626177E-2</v>
      </c>
      <c r="EW79" s="37">
        <v>1.51616222144335E-2</v>
      </c>
      <c r="EX79" s="37">
        <v>1.7608143627210901E-2</v>
      </c>
      <c r="EY79" s="37">
        <v>1.5453819129026301E-2</v>
      </c>
      <c r="EZ79" s="37">
        <v>1.35264763259719E-2</v>
      </c>
      <c r="FA79" s="37">
        <v>-1.9077799991492599E-2</v>
      </c>
      <c r="FB79" s="37">
        <v>-1.7573339693415201E-2</v>
      </c>
      <c r="FC79" s="37">
        <v>4.9215965394333603E-3</v>
      </c>
      <c r="FD79" s="37">
        <v>8.5870842346844594E-3</v>
      </c>
      <c r="FE79" s="37">
        <v>9.2760944593843798E-3</v>
      </c>
      <c r="FF79" s="37">
        <v>1.15424860573241E-2</v>
      </c>
      <c r="FG79" s="37">
        <v>7.18772328331774E-3</v>
      </c>
      <c r="FH79" s="37">
        <v>5.7176134258034601E-3</v>
      </c>
      <c r="FI79" s="37">
        <v>9.3383165763014607E-3</v>
      </c>
      <c r="FJ79" s="37">
        <v>1.10981308411215E-2</v>
      </c>
      <c r="FK79" s="37">
        <v>1.24721465709332E-2</v>
      </c>
      <c r="FL79" s="37">
        <v>3.7903102552345699E-3</v>
      </c>
      <c r="FM79" s="37">
        <v>-3.54253580600294E-3</v>
      </c>
      <c r="FN79" s="37">
        <v>1.32629777524242E-2</v>
      </c>
      <c r="FO79" s="37">
        <v>-1.7492711370261599E-3</v>
      </c>
      <c r="FP79" s="37">
        <v>6.0526103770543998E-3</v>
      </c>
      <c r="FQ79" s="37">
        <v>1.4414847292711501E-2</v>
      </c>
      <c r="FR79" s="37">
        <v>1.3085052843482501E-2</v>
      </c>
      <c r="FS79" s="37">
        <v>5.3281123676494103E-3</v>
      </c>
      <c r="FT79" s="37">
        <v>8.4487937215385108E-3</v>
      </c>
      <c r="FU79" s="37">
        <v>5.3227263119464104E-3</v>
      </c>
      <c r="FV79" s="37">
        <v>8.4005504797584098E-3</v>
      </c>
      <c r="FW79" s="37">
        <v>3.1559493910817702E-3</v>
      </c>
      <c r="FX79" s="37">
        <v>5.7251908396946903E-3</v>
      </c>
      <c r="FY79" s="37">
        <v>-7.7967948597512703E-4</v>
      </c>
      <c r="FZ79" s="37">
        <v>-9.9745231313045392E-3</v>
      </c>
      <c r="GA79" s="37">
        <v>6.9983857183553199E-3</v>
      </c>
      <c r="GB79" s="37">
        <v>6.0350599262592997E-4</v>
      </c>
      <c r="GC79" s="37">
        <v>-3.9392711405981098E-3</v>
      </c>
      <c r="GD79" s="37">
        <v>-8.5246894307096106E-3</v>
      </c>
      <c r="GE79" s="37">
        <v>7.6055424078174099E-3</v>
      </c>
      <c r="GF79" s="37">
        <v>3.8450975006867299E-3</v>
      </c>
      <c r="GG79" s="37">
        <v>4.9153261946317502E-3</v>
      </c>
      <c r="GH79" s="37">
        <v>9.7356265725336791E-3</v>
      </c>
      <c r="GI79" s="37">
        <v>2.2500534620140101E-3</v>
      </c>
      <c r="GJ79" s="37">
        <v>9.0356695579571992E-3</v>
      </c>
      <c r="GK79" s="37">
        <v>1.39653761641643E-2</v>
      </c>
      <c r="GL79" s="37">
        <v>1.28300449731613E-2</v>
      </c>
      <c r="GM79" s="37">
        <v>1.0196682273528899E-2</v>
      </c>
      <c r="GN79" s="37">
        <v>9.5709044504705999E-3</v>
      </c>
      <c r="GO79" s="37">
        <v>3.9851828444024103E-3</v>
      </c>
      <c r="GP79" s="37">
        <v>-4.2141708050640299E-3</v>
      </c>
      <c r="GQ79" s="37">
        <v>6.3919082655803398E-3</v>
      </c>
      <c r="GR79" s="37">
        <v>2.14618485107576E-3</v>
      </c>
      <c r="GS79" s="37">
        <v>4.2222376989240499E-3</v>
      </c>
      <c r="GT79" s="37">
        <v>1.2431406205300401E-2</v>
      </c>
      <c r="GU79" s="37">
        <v>-2.6544050279575499E-4</v>
      </c>
      <c r="GV79" s="37">
        <v>8.5391757168795691E-3</v>
      </c>
      <c r="GW79" s="37">
        <v>1.2645113075675301E-2</v>
      </c>
      <c r="GX79" s="37">
        <v>2.2441757099008801E-2</v>
      </c>
      <c r="GY79" s="37">
        <v>1.95623287783591E-2</v>
      </c>
      <c r="GZ79" s="37">
        <v>1.5792056507083499E-2</v>
      </c>
      <c r="HA79" s="37">
        <v>2.04013748752634E-2</v>
      </c>
      <c r="HB79" s="37">
        <v>2.43942192763229E-2</v>
      </c>
      <c r="HC79">
        <v>3.6057127703905699E-2</v>
      </c>
      <c r="HD79">
        <v>3.9855496402034802E-3</v>
      </c>
    </row>
    <row r="80" spans="1:212" x14ac:dyDescent="0.3">
      <c r="A80" s="37" t="s">
        <v>1838</v>
      </c>
      <c r="B80" s="37">
        <v>2.51411589895989E-2</v>
      </c>
      <c r="C80" s="37">
        <v>2.51411589895989E-2</v>
      </c>
      <c r="D80" s="37">
        <v>1.9364564007421099E-2</v>
      </c>
      <c r="E80" s="37">
        <v>2.5366852462745899E-2</v>
      </c>
      <c r="F80" s="37">
        <v>1.6862658087419598E-2</v>
      </c>
      <c r="G80" s="37">
        <v>1.59829805804057E-2</v>
      </c>
      <c r="H80" s="37">
        <v>1.0899328859060401E-2</v>
      </c>
      <c r="I80" s="37">
        <v>1.7261525387720401E-2</v>
      </c>
      <c r="J80" s="37">
        <v>1.27917297551299E-2</v>
      </c>
      <c r="K80" s="37">
        <v>7.0110320651612899E-3</v>
      </c>
      <c r="L80" s="37">
        <v>1.38732466468721E-2</v>
      </c>
      <c r="M80" s="37">
        <v>1.8682150971976799E-2</v>
      </c>
      <c r="N80" s="37">
        <v>1.9281288723668001E-2</v>
      </c>
      <c r="O80" s="37">
        <v>2.1056214744213299E-2</v>
      </c>
      <c r="P80" s="37">
        <v>2.03838643615755E-2</v>
      </c>
      <c r="Q80" s="37">
        <v>2.68378063010501E-2</v>
      </c>
      <c r="R80" s="37">
        <v>4.6363636363636399E-2</v>
      </c>
      <c r="S80" s="37">
        <v>6.2858384013900995E-2</v>
      </c>
      <c r="T80" s="37">
        <v>6.3922834838762405E-2</v>
      </c>
      <c r="U80" s="37">
        <v>4.15658253620683E-2</v>
      </c>
      <c r="V80" s="37">
        <v>2.1244421495223698E-2</v>
      </c>
      <c r="W80" s="37">
        <v>4.9478132110223304E-3</v>
      </c>
      <c r="X80" s="37">
        <v>3.16250988284339E-3</v>
      </c>
      <c r="Y80" s="37">
        <v>6.0901339829475499E-3</v>
      </c>
      <c r="Z80" s="37">
        <v>4.91382993875522E-3</v>
      </c>
      <c r="AA80" s="37">
        <v>8.5748706682728902E-3</v>
      </c>
      <c r="AB80" s="37">
        <v>2.17818999437891E-3</v>
      </c>
      <c r="AC80" s="37">
        <v>6.8008132931360902E-3</v>
      </c>
      <c r="AD80" s="37">
        <v>1.2952646239554401E-2</v>
      </c>
      <c r="AE80" s="37">
        <v>9.8652550529356696E-3</v>
      </c>
      <c r="AF80" s="37">
        <v>1.3444977705163501E-2</v>
      </c>
      <c r="AG80" s="37">
        <v>1.0680459461274799E-2</v>
      </c>
      <c r="AH80" s="37">
        <v>1.23953210155523E-2</v>
      </c>
      <c r="AI80" s="37">
        <v>1.9661907106515601E-2</v>
      </c>
      <c r="AJ80" s="37">
        <v>1.9121813031161401E-2</v>
      </c>
      <c r="AK80" s="37">
        <v>1.78785772948384E-2</v>
      </c>
      <c r="AL80" s="37">
        <v>2.0636792452830299E-2</v>
      </c>
      <c r="AM80" s="37">
        <v>2.7151935297515601E-2</v>
      </c>
      <c r="AN80" s="37">
        <v>2.9187141081049101E-2</v>
      </c>
      <c r="AO80" s="37">
        <v>2.83594109526E-2</v>
      </c>
      <c r="AP80" s="37">
        <v>2.7325613917324101E-2</v>
      </c>
      <c r="AQ80" s="37">
        <v>2.8695107674715899E-2</v>
      </c>
      <c r="AR80" s="37">
        <v>3.2870186581977198E-2</v>
      </c>
      <c r="AS80" s="37">
        <v>2.9594895841340601E-2</v>
      </c>
      <c r="AT80" s="37">
        <v>2.8321138818376401E-2</v>
      </c>
      <c r="AU80" s="37">
        <v>2.39109390125847E-2</v>
      </c>
      <c r="AV80" s="37">
        <v>2.0492578235794499E-2</v>
      </c>
      <c r="AW80" s="37">
        <v>1.7811233352634799E-2</v>
      </c>
      <c r="AX80" s="37">
        <v>1.40178408884035E-2</v>
      </c>
      <c r="AY80" s="37">
        <v>1.6719030520646199E-2</v>
      </c>
      <c r="AZ80" s="37">
        <v>1.1808851120185501E-2</v>
      </c>
      <c r="BA80" s="37">
        <v>2.5305410122164998E-3</v>
      </c>
      <c r="BB80" s="37">
        <v>9.3567760466539696E-4</v>
      </c>
      <c r="BC80" s="37">
        <v>-1.3478553881607299E-3</v>
      </c>
      <c r="BD80" s="37">
        <v>5.6599255502098899E-4</v>
      </c>
      <c r="BE80" s="37">
        <v>-2.82836194330227E-4</v>
      </c>
      <c r="BF80" s="37">
        <v>1.0881392818280499E-3</v>
      </c>
      <c r="BG80" s="37">
        <v>3.5434782608694299E-3</v>
      </c>
      <c r="BH80" s="37">
        <v>3.22769317418703E-3</v>
      </c>
      <c r="BI80" s="37">
        <v>2.0297115218517198E-3</v>
      </c>
      <c r="BJ80" s="37">
        <v>5.5596259104426799E-3</v>
      </c>
      <c r="BK80" s="37">
        <v>3.0858906223212301E-3</v>
      </c>
      <c r="BL80" s="37">
        <v>4.1018629294138397E-3</v>
      </c>
      <c r="BM80" s="37">
        <v>5.9574468085106204E-3</v>
      </c>
      <c r="BN80" s="37">
        <v>6.2182741116749698E-3</v>
      </c>
      <c r="BO80" s="37">
        <v>1.02787236725943E-2</v>
      </c>
      <c r="BP80" s="37">
        <v>9.1130391361338194E-3</v>
      </c>
      <c r="BQ80" s="37">
        <v>1.08245190820808E-2</v>
      </c>
      <c r="BR80" s="37">
        <v>6.4047648186675897E-3</v>
      </c>
      <c r="BS80" s="37">
        <v>8.4110255370895004E-3</v>
      </c>
      <c r="BT80" s="37">
        <v>8.9036277761027592E-3</v>
      </c>
      <c r="BU80" s="37">
        <v>5.29901589704762E-3</v>
      </c>
      <c r="BV80" s="37">
        <v>8.0453392517438899E-3</v>
      </c>
      <c r="BW80" s="37">
        <v>5.5238844112444098E-3</v>
      </c>
      <c r="BX80" s="37">
        <v>6.45148677445206E-3</v>
      </c>
      <c r="BY80" s="37">
        <v>5.2835026514637101E-3</v>
      </c>
      <c r="BZ80" s="37">
        <v>4.8306378374200999E-3</v>
      </c>
      <c r="CA80" s="37">
        <v>8.1149164471279196E-3</v>
      </c>
      <c r="CB80" s="37">
        <v>7.4201239866476002E-3</v>
      </c>
      <c r="CC80" s="37">
        <v>5.5099026773204303E-3</v>
      </c>
      <c r="CD80" s="37">
        <v>7.1932962997835999E-3</v>
      </c>
      <c r="CE80" s="37">
        <v>8.8245741955990092E-3</v>
      </c>
      <c r="CF80" s="37">
        <v>9.7110769287791499E-3</v>
      </c>
      <c r="CG80" s="37">
        <v>2.66138061413668E-3</v>
      </c>
      <c r="CH80" s="37">
        <v>1.9770081276999601E-3</v>
      </c>
      <c r="CI80" s="37">
        <v>5.1520023384976597E-3</v>
      </c>
      <c r="CJ80" s="37">
        <v>2.6536769784435399E-3</v>
      </c>
      <c r="CK80" s="37">
        <v>-2.5016314988035599E-3</v>
      </c>
      <c r="CL80" s="37">
        <v>-2.61694471704299E-3</v>
      </c>
      <c r="CM80" s="37">
        <v>4.7374366823367299E-3</v>
      </c>
      <c r="CN80" s="37">
        <v>2.03111965470959E-3</v>
      </c>
      <c r="CO80" s="37">
        <v>4.5607557823867896E-3</v>
      </c>
      <c r="CP80" s="37">
        <v>7.4406370482469298E-3</v>
      </c>
      <c r="CQ80" s="37">
        <v>5.8298610490172802E-3</v>
      </c>
      <c r="CR80" s="37">
        <v>1.01342341541466E-3</v>
      </c>
      <c r="CS80" s="37">
        <v>4.6712372562254202E-3</v>
      </c>
      <c r="CT80" s="37">
        <v>7.3013347476356101E-3</v>
      </c>
      <c r="CU80" s="37">
        <v>4.3350064937344203E-3</v>
      </c>
      <c r="CV80" s="37">
        <v>8.7549148099605994E-3</v>
      </c>
      <c r="CW80" s="37">
        <v>8.3324671725046907E-3</v>
      </c>
      <c r="CX80" s="37">
        <v>9.9816173312487991E-3</v>
      </c>
      <c r="CY80" s="37">
        <v>7.1443151663605998E-3</v>
      </c>
      <c r="CZ80" s="37">
        <v>5.5229023104985701E-3</v>
      </c>
      <c r="DA80" s="37">
        <v>5.7613168724279804E-3</v>
      </c>
      <c r="DB80" s="37">
        <v>5.3609004976786804E-3</v>
      </c>
      <c r="DC80" s="37">
        <v>1.1129752985929999E-3</v>
      </c>
      <c r="DD80" s="37">
        <v>4.9613380678989998E-3</v>
      </c>
      <c r="DE80" s="37">
        <v>3.2361925204327201E-3</v>
      </c>
      <c r="DF80" s="37">
        <v>5.6450683826796402E-3</v>
      </c>
      <c r="DG80" s="37">
        <v>6.8244304791831301E-3</v>
      </c>
      <c r="DH80" s="37">
        <v>2.5357195104109801E-3</v>
      </c>
      <c r="DI80" s="37">
        <v>6.4367592457479396E-3</v>
      </c>
      <c r="DJ80" s="37">
        <v>3.3830589296646201E-4</v>
      </c>
      <c r="DK80" s="37">
        <v>6.2806989290598004E-4</v>
      </c>
      <c r="DL80" s="37">
        <v>6.1640969517495802E-3</v>
      </c>
      <c r="DM80" s="37">
        <v>5.6464641617479704E-3</v>
      </c>
      <c r="DN80" s="37">
        <v>4.0082710354700799E-3</v>
      </c>
      <c r="DO80" s="37">
        <v>7.4142137448116596E-3</v>
      </c>
      <c r="DP80" s="37">
        <v>4.2144991350840898E-3</v>
      </c>
      <c r="DQ80" s="37">
        <v>8.5189013122866104E-3</v>
      </c>
      <c r="DR80" s="37">
        <v>7.9190087264371396E-3</v>
      </c>
      <c r="DS80" s="37">
        <v>1.13846438254868E-2</v>
      </c>
      <c r="DT80" s="37">
        <v>6.5497859895509202E-3</v>
      </c>
      <c r="DU80" s="37">
        <v>5.8867147894250396E-3</v>
      </c>
      <c r="DV80" s="37">
        <v>6.16819617872721E-3</v>
      </c>
      <c r="DW80" s="37">
        <v>2.5717703349283898E-3</v>
      </c>
      <c r="DX80" s="37">
        <v>3.1318976316887502E-3</v>
      </c>
      <c r="DY80" s="37">
        <v>5.3670720466236803E-3</v>
      </c>
      <c r="DZ80" s="37">
        <v>4.4067846738535801E-3</v>
      </c>
      <c r="EA80" s="37">
        <v>5.4327822028532599E-3</v>
      </c>
      <c r="EB80" s="37">
        <v>3.07512080831729E-3</v>
      </c>
      <c r="EC80" s="37">
        <v>1.7226277372262E-3</v>
      </c>
      <c r="ED80" s="37">
        <v>8.2922848232243104E-3</v>
      </c>
      <c r="EE80" s="37">
        <v>1.0406579270672001E-3</v>
      </c>
      <c r="EF80" s="37">
        <v>1.2705929915244299E-3</v>
      </c>
      <c r="EG80" s="37">
        <v>2.7686850188184402E-3</v>
      </c>
      <c r="EH80" s="37">
        <v>6.5143300881520504E-3</v>
      </c>
      <c r="EI80" s="37">
        <v>1.8373528403245999E-2</v>
      </c>
      <c r="EJ80" s="37">
        <v>2.6922753163668899E-2</v>
      </c>
      <c r="EK80" s="37">
        <v>2.4017377761383699E-2</v>
      </c>
      <c r="EL80" s="37">
        <v>8.4450670402240694E-3</v>
      </c>
      <c r="EM80" s="37">
        <v>1.8812509922210102E-2</v>
      </c>
      <c r="EN80" s="37">
        <v>2.2269835086352399E-2</v>
      </c>
      <c r="EO80" s="37">
        <v>1.39472848523341E-2</v>
      </c>
      <c r="EP80" s="37">
        <v>6.2137479172670301E-3</v>
      </c>
      <c r="EQ80" s="37">
        <v>2.20371269562618E-2</v>
      </c>
      <c r="ER80" s="37">
        <v>1.39239118517707E-2</v>
      </c>
      <c r="ES80" s="37">
        <v>2.34645328719723E-2</v>
      </c>
      <c r="ET80" s="37">
        <v>2.5227446146622E-2</v>
      </c>
      <c r="EU80" s="37">
        <v>1.0454118670849799E-2</v>
      </c>
      <c r="EV80" s="37">
        <v>9.6320554806394992E-3</v>
      </c>
      <c r="EW80" s="37">
        <v>1.1762461137861099E-2</v>
      </c>
      <c r="EX80" s="37">
        <v>9.4736258250596207E-3</v>
      </c>
      <c r="EY80" s="37">
        <v>7.6923922240903497E-3</v>
      </c>
      <c r="EZ80" s="37">
        <v>1.29227145334192E-2</v>
      </c>
      <c r="FA80" s="37">
        <v>1.8323930924594199E-2</v>
      </c>
      <c r="FB80" s="37">
        <v>6.2377095976149403E-3</v>
      </c>
      <c r="FC80" s="37">
        <v>-8.7837269899974108E-3</v>
      </c>
      <c r="FD80" s="37">
        <v>-9.0099639601441996E-3</v>
      </c>
      <c r="FE80" s="37">
        <v>-7.7013584340557305E-4</v>
      </c>
      <c r="FF80" s="37">
        <v>2.8367124108843499E-3</v>
      </c>
      <c r="FG80" s="37">
        <v>4.3444381584705196E-3</v>
      </c>
      <c r="FH80" s="37">
        <v>3.1459241152087501E-3</v>
      </c>
      <c r="FI80" s="37">
        <v>4.4921916385904899E-3</v>
      </c>
      <c r="FJ80" s="37">
        <v>6.0436662799281402E-3</v>
      </c>
      <c r="FK80" s="37">
        <v>1.01066227734501E-2</v>
      </c>
      <c r="FL80" s="37">
        <v>1.13028947450362E-2</v>
      </c>
      <c r="FM80" s="37">
        <v>9.4010427357444897E-3</v>
      </c>
      <c r="FN80" s="37">
        <v>7.4934927606962196E-3</v>
      </c>
      <c r="FO80" s="37">
        <v>7.9726306653615797E-3</v>
      </c>
      <c r="FP80" s="37">
        <v>5.3865176864005297E-3</v>
      </c>
      <c r="FQ80" s="37">
        <v>1.9717776870449301E-3</v>
      </c>
      <c r="FR80" s="37">
        <v>4.05506137255873E-3</v>
      </c>
      <c r="FS80" s="37">
        <v>5.0978490046820202E-3</v>
      </c>
      <c r="FT80" s="37">
        <v>5.3871456991470001E-3</v>
      </c>
      <c r="FU80" s="37">
        <v>7.55252975461618E-3</v>
      </c>
      <c r="FV80" s="37">
        <v>5.6292292136579398E-3</v>
      </c>
      <c r="FW80" s="37">
        <v>4.5632522840430801E-3</v>
      </c>
      <c r="FX80" s="37">
        <v>4.8312433233566E-3</v>
      </c>
      <c r="FY80" s="37">
        <v>1.76230018484991E-3</v>
      </c>
      <c r="FZ80" s="37">
        <v>-2.9638694750133698E-4</v>
      </c>
      <c r="GA80" s="37">
        <v>4.3897400585299904E-3</v>
      </c>
      <c r="GB80" s="37">
        <v>2.8375277325487498E-3</v>
      </c>
      <c r="GC80" s="37">
        <v>-5.5070784948596497E-4</v>
      </c>
      <c r="GD80" s="37">
        <v>-2.4225496622680702E-3</v>
      </c>
      <c r="GE80" s="37">
        <v>8.1519151286593202E-3</v>
      </c>
      <c r="GF80" s="37">
        <v>7.5570081804610101E-4</v>
      </c>
      <c r="GG80" s="37">
        <v>4.8328330595985803E-3</v>
      </c>
      <c r="GH80" s="37">
        <v>6.7071223251358196E-3</v>
      </c>
      <c r="GI80" s="37">
        <v>5.3374141534785497E-3</v>
      </c>
      <c r="GJ80" s="37">
        <v>8.9567477260070697E-3</v>
      </c>
      <c r="GK80" s="37">
        <v>5.7495055425233997E-3</v>
      </c>
      <c r="GL80" s="37">
        <v>9.3935790725328001E-3</v>
      </c>
      <c r="GM80" s="37">
        <v>1.39909566225975E-2</v>
      </c>
      <c r="GN80" s="37">
        <v>7.3547153287281102E-3</v>
      </c>
      <c r="GO80" s="37">
        <v>1.0317235016500399E-2</v>
      </c>
      <c r="GP80" s="37">
        <v>3.9073818785286801E-3</v>
      </c>
      <c r="GQ80" s="37">
        <v>1.17989714165763E-2</v>
      </c>
      <c r="GR80" s="37">
        <v>4.7371651351562098E-3</v>
      </c>
      <c r="GS80" s="37">
        <v>1.47123351315082E-3</v>
      </c>
      <c r="GT80" s="37">
        <v>2.59450171821296E-3</v>
      </c>
      <c r="GU80" s="37">
        <v>-1.9194186903395099E-3</v>
      </c>
      <c r="GV80" s="37">
        <v>1.0182180325898601E-2</v>
      </c>
      <c r="GW80" s="37">
        <v>4.5723415828120596E-3</v>
      </c>
      <c r="GX80" s="37">
        <v>1.56680936024771E-2</v>
      </c>
      <c r="GY80" s="37">
        <v>2.51803355156845E-2</v>
      </c>
      <c r="GZ80" s="37">
        <v>2.2628110857430699E-2</v>
      </c>
      <c r="HA80" s="37">
        <v>2.9023851519918601E-2</v>
      </c>
      <c r="HB80" s="37">
        <v>3.0313091147743599E-2</v>
      </c>
      <c r="HC80">
        <v>3.2838482925038097E-2</v>
      </c>
      <c r="HD80">
        <v>2.2565174172670701E-2</v>
      </c>
    </row>
    <row r="81" spans="1:212" x14ac:dyDescent="0.3">
      <c r="A81" s="37" t="s">
        <v>1839</v>
      </c>
      <c r="B81" s="37">
        <v>545.1</v>
      </c>
      <c r="C81" s="37">
        <v>549</v>
      </c>
      <c r="D81" s="37">
        <v>555.70000000000005</v>
      </c>
      <c r="E81" s="37">
        <v>556.29999999999995</v>
      </c>
      <c r="F81" s="37">
        <v>570.5</v>
      </c>
      <c r="G81" s="37">
        <v>580.4</v>
      </c>
      <c r="H81" s="37">
        <v>588.79999999999995</v>
      </c>
      <c r="I81" s="37">
        <v>598.4</v>
      </c>
      <c r="J81" s="37">
        <v>618.5</v>
      </c>
      <c r="K81" s="37">
        <v>630.4</v>
      </c>
      <c r="L81" s="37">
        <v>642.29999999999995</v>
      </c>
      <c r="M81" s="37">
        <v>664</v>
      </c>
      <c r="N81" s="37">
        <v>683.4</v>
      </c>
      <c r="O81" s="37">
        <v>700.2</v>
      </c>
      <c r="P81" s="37">
        <v>716.2</v>
      </c>
      <c r="Q81" s="37">
        <v>735.4</v>
      </c>
      <c r="R81" s="37">
        <v>748.2</v>
      </c>
      <c r="S81" s="37">
        <v>765.3</v>
      </c>
      <c r="T81" s="37">
        <v>783.2</v>
      </c>
      <c r="U81" s="37">
        <v>792.5</v>
      </c>
      <c r="V81" s="37">
        <v>792</v>
      </c>
      <c r="W81" s="37">
        <v>800.4</v>
      </c>
      <c r="X81" s="37">
        <v>821.3</v>
      </c>
      <c r="Y81" s="37">
        <v>845.8</v>
      </c>
      <c r="Z81" s="37">
        <v>871.3</v>
      </c>
      <c r="AA81" s="37">
        <v>889.4</v>
      </c>
      <c r="AB81" s="37">
        <v>908.5</v>
      </c>
      <c r="AC81" s="37">
        <v>930</v>
      </c>
      <c r="AD81" s="37">
        <v>950.1</v>
      </c>
      <c r="AE81" s="37">
        <v>981</v>
      </c>
      <c r="AF81" s="37">
        <v>1007.6</v>
      </c>
      <c r="AG81" s="37">
        <v>1038.2</v>
      </c>
      <c r="AH81" s="37">
        <v>1063.9000000000001</v>
      </c>
      <c r="AI81" s="37">
        <v>1106.0999999999999</v>
      </c>
      <c r="AJ81" s="37">
        <v>1138.0999999999999</v>
      </c>
      <c r="AK81" s="37">
        <v>1174.5</v>
      </c>
      <c r="AL81" s="37">
        <v>1208.5999999999999</v>
      </c>
      <c r="AM81" s="37">
        <v>1234.5</v>
      </c>
      <c r="AN81" s="37">
        <v>1269.5</v>
      </c>
      <c r="AO81" s="37">
        <v>1301</v>
      </c>
      <c r="AP81" s="37">
        <v>1333.9</v>
      </c>
      <c r="AQ81" s="37">
        <v>1354</v>
      </c>
      <c r="AR81" s="37">
        <v>1377.4</v>
      </c>
      <c r="AS81" s="37">
        <v>1428.8</v>
      </c>
      <c r="AT81" s="37">
        <v>1467.8</v>
      </c>
      <c r="AU81" s="37">
        <v>1496.8</v>
      </c>
      <c r="AV81" s="37">
        <v>1530.7</v>
      </c>
      <c r="AW81" s="37">
        <v>1550.7</v>
      </c>
      <c r="AX81" s="37">
        <v>1567.7</v>
      </c>
      <c r="AY81" s="37">
        <v>1581.9</v>
      </c>
      <c r="AZ81" s="37">
        <v>1596.6</v>
      </c>
      <c r="BA81" s="37">
        <v>1604.5</v>
      </c>
      <c r="BB81" s="37">
        <v>1622.6</v>
      </c>
      <c r="BC81" s="37">
        <v>1654.8</v>
      </c>
      <c r="BD81" s="37">
        <v>1691.6</v>
      </c>
      <c r="BE81" s="37">
        <v>1741.7</v>
      </c>
      <c r="BF81" s="37">
        <v>1784.2</v>
      </c>
      <c r="BG81" s="37">
        <v>1828.4</v>
      </c>
      <c r="BH81" s="37">
        <v>1867.3</v>
      </c>
      <c r="BI81" s="37">
        <v>1900.7</v>
      </c>
      <c r="BJ81" s="37">
        <v>1932.4</v>
      </c>
      <c r="BK81" s="37">
        <v>1963.8</v>
      </c>
      <c r="BL81" s="37">
        <v>1997.6</v>
      </c>
      <c r="BM81" s="37">
        <v>2037.2</v>
      </c>
      <c r="BN81" s="37">
        <v>2065.5</v>
      </c>
      <c r="BO81" s="37">
        <v>2083.6</v>
      </c>
      <c r="BP81" s="37">
        <v>2113.1</v>
      </c>
      <c r="BQ81" s="37">
        <v>2154.1999999999998</v>
      </c>
      <c r="BR81" s="37">
        <v>2194.3000000000002</v>
      </c>
      <c r="BS81" s="37">
        <v>2231.4</v>
      </c>
      <c r="BT81" s="37">
        <v>2272</v>
      </c>
      <c r="BU81" s="37">
        <v>2332.8000000000002</v>
      </c>
      <c r="BV81" s="37">
        <v>2367.1</v>
      </c>
      <c r="BW81" s="37">
        <v>2422.5</v>
      </c>
      <c r="BX81" s="37">
        <v>2463.6</v>
      </c>
      <c r="BY81" s="37">
        <v>2509.5</v>
      </c>
      <c r="BZ81" s="37">
        <v>2541.9</v>
      </c>
      <c r="CA81" s="37">
        <v>2564.6999999999998</v>
      </c>
      <c r="CB81" s="37">
        <v>2593.5</v>
      </c>
      <c r="CC81" s="37">
        <v>2637.3</v>
      </c>
      <c r="CD81" s="37">
        <v>2686.6</v>
      </c>
      <c r="CE81" s="37">
        <v>2741</v>
      </c>
      <c r="CF81" s="37">
        <v>2771.6</v>
      </c>
      <c r="CG81" s="37">
        <v>2774.8</v>
      </c>
      <c r="CH81" s="37">
        <v>2774.1</v>
      </c>
      <c r="CI81" s="37">
        <v>2802.8</v>
      </c>
      <c r="CJ81" s="37">
        <v>2830.9</v>
      </c>
      <c r="CK81" s="37">
        <v>2861.2</v>
      </c>
      <c r="CL81" s="37">
        <v>2915.9</v>
      </c>
      <c r="CM81" s="37">
        <v>2955</v>
      </c>
      <c r="CN81" s="37">
        <v>2979.4</v>
      </c>
      <c r="CO81" s="37">
        <v>3023.8</v>
      </c>
      <c r="CP81" s="37">
        <v>3019</v>
      </c>
      <c r="CQ81" s="37">
        <v>3069.8</v>
      </c>
      <c r="CR81" s="37">
        <v>3096.9</v>
      </c>
      <c r="CS81" s="37">
        <v>3144.9</v>
      </c>
      <c r="CT81" s="37">
        <v>3156.6</v>
      </c>
      <c r="CU81" s="37">
        <v>3227.4</v>
      </c>
      <c r="CV81" s="37">
        <v>3262.7</v>
      </c>
      <c r="CW81" s="37">
        <v>3315.7</v>
      </c>
      <c r="CX81" s="37">
        <v>3362.1</v>
      </c>
      <c r="CY81" s="37">
        <v>3399.3</v>
      </c>
      <c r="CZ81" s="37">
        <v>3443</v>
      </c>
      <c r="DA81" s="37">
        <v>3484.1</v>
      </c>
      <c r="DB81" s="37">
        <v>3528.3</v>
      </c>
      <c r="DC81" s="37">
        <v>3594</v>
      </c>
      <c r="DD81" s="37">
        <v>3651.3</v>
      </c>
      <c r="DE81" s="37">
        <v>3708.7</v>
      </c>
      <c r="DF81" s="37">
        <v>3780.5</v>
      </c>
      <c r="DG81" s="37">
        <v>3840</v>
      </c>
      <c r="DH81" s="37">
        <v>3907.4</v>
      </c>
      <c r="DI81" s="37">
        <v>3997.1</v>
      </c>
      <c r="DJ81" s="37">
        <v>4079.3</v>
      </c>
      <c r="DK81" s="37">
        <v>4149.8999999999996</v>
      </c>
      <c r="DL81" s="37">
        <v>4222</v>
      </c>
      <c r="DM81" s="37">
        <v>4293.5</v>
      </c>
      <c r="DN81" s="37">
        <v>4372.7</v>
      </c>
      <c r="DO81" s="37">
        <v>4416.8999999999996</v>
      </c>
      <c r="DP81" s="37">
        <v>4480.2</v>
      </c>
      <c r="DQ81" s="37">
        <v>4591</v>
      </c>
      <c r="DR81" s="37">
        <v>4758.7</v>
      </c>
      <c r="DS81" s="37">
        <v>4786.6000000000004</v>
      </c>
      <c r="DT81" s="37">
        <v>4878.8</v>
      </c>
      <c r="DU81" s="37">
        <v>4905.7</v>
      </c>
      <c r="DV81" s="37">
        <v>4987.2</v>
      </c>
      <c r="DW81" s="37">
        <v>4969.3</v>
      </c>
      <c r="DX81" s="37">
        <v>4944.1000000000004</v>
      </c>
      <c r="DY81" s="37">
        <v>4946</v>
      </c>
      <c r="DZ81" s="37">
        <v>4953.8999999999996</v>
      </c>
      <c r="EA81" s="37">
        <v>5006.3999999999996</v>
      </c>
      <c r="EB81" s="37">
        <v>5020.5</v>
      </c>
      <c r="EC81" s="37">
        <v>5035.5</v>
      </c>
      <c r="ED81" s="37">
        <v>5035.7</v>
      </c>
      <c r="EE81" s="37">
        <v>5109.8</v>
      </c>
      <c r="EF81" s="37">
        <v>5177.3999999999996</v>
      </c>
      <c r="EG81" s="37">
        <v>5264.9</v>
      </c>
      <c r="EH81" s="37">
        <v>5284</v>
      </c>
      <c r="EI81" s="37">
        <v>5390.8</v>
      </c>
      <c r="EJ81" s="37">
        <v>5502.5</v>
      </c>
      <c r="EK81" s="37">
        <v>5546.1</v>
      </c>
      <c r="EL81" s="37">
        <v>5586.1</v>
      </c>
      <c r="EM81" s="37">
        <v>5649.4</v>
      </c>
      <c r="EN81" s="37">
        <v>5749.8</v>
      </c>
      <c r="EO81" s="37">
        <v>5826.7</v>
      </c>
      <c r="EP81" s="37">
        <v>5983.1</v>
      </c>
      <c r="EQ81" s="37">
        <v>6024.2</v>
      </c>
      <c r="ER81" s="37">
        <v>6073</v>
      </c>
      <c r="ES81" s="37">
        <v>6193</v>
      </c>
      <c r="ET81" s="37">
        <v>6354.7</v>
      </c>
      <c r="EU81" s="37">
        <v>6381.4</v>
      </c>
      <c r="EV81" s="37">
        <v>6407.7</v>
      </c>
      <c r="EW81" s="37">
        <v>6485.3</v>
      </c>
      <c r="EX81" s="37">
        <v>6552.3</v>
      </c>
      <c r="EY81" s="37">
        <v>6544.1</v>
      </c>
      <c r="EZ81" s="37">
        <v>6558</v>
      </c>
      <c r="FA81" s="37">
        <v>6529.4</v>
      </c>
      <c r="FB81" s="37">
        <v>6234.6</v>
      </c>
      <c r="FC81" s="37">
        <v>6262.8</v>
      </c>
      <c r="FD81" s="37">
        <v>6245.2</v>
      </c>
      <c r="FE81" s="37">
        <v>6286.6</v>
      </c>
      <c r="FF81" s="37">
        <v>6240.2</v>
      </c>
      <c r="FG81" s="37">
        <v>6368.2</v>
      </c>
      <c r="FH81" s="37">
        <v>6430.5</v>
      </c>
      <c r="FI81" s="37">
        <v>6481.4</v>
      </c>
      <c r="FJ81" s="37">
        <v>6584.9</v>
      </c>
      <c r="FK81" s="37">
        <v>6615.9</v>
      </c>
      <c r="FL81" s="37">
        <v>6689.7</v>
      </c>
      <c r="FM81" s="37">
        <v>6645.7</v>
      </c>
      <c r="FN81" s="37">
        <v>6844.2</v>
      </c>
      <c r="FO81" s="37">
        <v>6884.3</v>
      </c>
      <c r="FP81" s="37">
        <v>6914.2</v>
      </c>
      <c r="FQ81" s="37">
        <v>7101.8</v>
      </c>
      <c r="FR81" s="37">
        <v>7052.2</v>
      </c>
      <c r="FS81" s="37">
        <v>7111.5</v>
      </c>
      <c r="FT81" s="37">
        <v>7121.5</v>
      </c>
      <c r="FU81" s="37">
        <v>7205.1</v>
      </c>
      <c r="FV81" s="37">
        <v>7367.7</v>
      </c>
      <c r="FW81" s="37">
        <v>7418.9</v>
      </c>
      <c r="FX81" s="37">
        <v>7512.6</v>
      </c>
      <c r="FY81" s="37">
        <v>7643.9</v>
      </c>
      <c r="FZ81" s="37">
        <v>7755.9</v>
      </c>
      <c r="GA81" s="37">
        <v>7840.7</v>
      </c>
      <c r="GB81" s="37">
        <v>7913.3</v>
      </c>
      <c r="GC81" s="37">
        <v>7968.5</v>
      </c>
      <c r="GD81" s="37">
        <v>8003.5</v>
      </c>
      <c r="GE81" s="37">
        <v>8050.2</v>
      </c>
      <c r="GF81" s="37">
        <v>8130.4</v>
      </c>
      <c r="GG81" s="37">
        <v>8224.9</v>
      </c>
      <c r="GH81" s="37">
        <v>8321.2999999999993</v>
      </c>
      <c r="GI81" s="37">
        <v>8412.7999999999993</v>
      </c>
      <c r="GJ81" s="37">
        <v>8529.1</v>
      </c>
      <c r="GK81" s="37">
        <v>8676.9</v>
      </c>
      <c r="GL81" s="37">
        <v>8772.9</v>
      </c>
      <c r="GM81" s="37">
        <v>8853.4</v>
      </c>
      <c r="GN81" s="37">
        <v>8979.9</v>
      </c>
      <c r="GO81" s="37">
        <v>9035.1</v>
      </c>
      <c r="GP81" s="37">
        <v>9233.6</v>
      </c>
      <c r="GQ81" s="37">
        <v>9284.7000000000007</v>
      </c>
      <c r="GR81" s="37">
        <v>9340.5</v>
      </c>
      <c r="GS81" s="37">
        <v>9487</v>
      </c>
      <c r="GT81" s="37">
        <v>9634.1</v>
      </c>
      <c r="GU81" s="37">
        <v>9002.7000000000007</v>
      </c>
      <c r="GV81" s="37">
        <v>9432.5</v>
      </c>
      <c r="GW81" s="37">
        <v>9791.5</v>
      </c>
      <c r="GX81" s="37">
        <v>9861.1</v>
      </c>
      <c r="GY81" s="37">
        <v>10148.700000000001</v>
      </c>
      <c r="GZ81" s="37">
        <v>10433.6</v>
      </c>
      <c r="HA81" s="37">
        <v>10759.7</v>
      </c>
      <c r="HB81" s="37">
        <v>10939.3</v>
      </c>
      <c r="HC81">
        <v>11071.9</v>
      </c>
      <c r="HD81">
        <v>11259.7</v>
      </c>
    </row>
    <row r="82" spans="1:212" x14ac:dyDescent="0.3">
      <c r="A82" s="37" t="s">
        <v>1840</v>
      </c>
      <c r="B82" s="37">
        <v>77.099999999999994</v>
      </c>
      <c r="C82" s="37">
        <v>76.7</v>
      </c>
      <c r="D82" s="37">
        <v>78.5</v>
      </c>
      <c r="E82" s="37">
        <v>78.900000000000006</v>
      </c>
      <c r="F82" s="37">
        <v>80.3</v>
      </c>
      <c r="G82" s="37">
        <v>82.8</v>
      </c>
      <c r="H82" s="37">
        <v>84.6</v>
      </c>
      <c r="I82" s="37">
        <v>87.9</v>
      </c>
      <c r="J82" s="37">
        <v>87.9</v>
      </c>
      <c r="K82" s="37">
        <v>91.3</v>
      </c>
      <c r="L82" s="37">
        <v>95.5</v>
      </c>
      <c r="M82" s="37">
        <v>105.6</v>
      </c>
      <c r="N82" s="37">
        <v>104.1</v>
      </c>
      <c r="O82" s="37">
        <v>109.9</v>
      </c>
      <c r="P82" s="37">
        <v>113.8</v>
      </c>
      <c r="Q82" s="37">
        <v>122.2</v>
      </c>
      <c r="R82" s="37">
        <v>115.7</v>
      </c>
      <c r="S82" s="37">
        <v>108.6</v>
      </c>
      <c r="T82" s="37">
        <v>111</v>
      </c>
      <c r="U82" s="37">
        <v>113.5</v>
      </c>
      <c r="V82" s="37">
        <v>112.7</v>
      </c>
      <c r="W82" s="37">
        <v>114.3</v>
      </c>
      <c r="X82" s="37">
        <v>120.7</v>
      </c>
      <c r="Y82" s="37">
        <v>125.2</v>
      </c>
      <c r="Z82" s="37">
        <v>126.4</v>
      </c>
      <c r="AA82" s="37">
        <v>128.6</v>
      </c>
      <c r="AB82" s="37">
        <v>132.69999999999999</v>
      </c>
      <c r="AC82" s="37">
        <v>136.19999999999999</v>
      </c>
      <c r="AD82" s="37">
        <v>138.6</v>
      </c>
      <c r="AE82" s="37">
        <v>140.5</v>
      </c>
      <c r="AF82" s="37">
        <v>142.4</v>
      </c>
      <c r="AG82" s="37">
        <v>156.5</v>
      </c>
      <c r="AH82" s="37">
        <v>158.5</v>
      </c>
      <c r="AI82" s="37">
        <v>166.1</v>
      </c>
      <c r="AJ82" s="37">
        <v>168.3</v>
      </c>
      <c r="AK82" s="37">
        <v>170.9</v>
      </c>
      <c r="AL82" s="37">
        <v>180.1</v>
      </c>
      <c r="AM82" s="37">
        <v>179.2</v>
      </c>
      <c r="AN82" s="37">
        <v>180.7</v>
      </c>
      <c r="AO82" s="37">
        <v>177.8</v>
      </c>
      <c r="AP82" s="37">
        <v>167.6</v>
      </c>
      <c r="AQ82" s="37">
        <v>160.30000000000001</v>
      </c>
      <c r="AR82" s="37">
        <v>173.4</v>
      </c>
      <c r="AS82" s="37">
        <v>185</v>
      </c>
      <c r="AT82" s="37">
        <v>188.2</v>
      </c>
      <c r="AU82" s="37">
        <v>176.4</v>
      </c>
      <c r="AV82" s="37">
        <v>182.3</v>
      </c>
      <c r="AW82" s="37">
        <v>171.8</v>
      </c>
      <c r="AX82" s="37">
        <v>165.2</v>
      </c>
      <c r="AY82" s="37">
        <v>169.4</v>
      </c>
      <c r="AZ82" s="37">
        <v>170.7</v>
      </c>
      <c r="BA82" s="37">
        <v>179.5</v>
      </c>
      <c r="BB82" s="37">
        <v>183.3</v>
      </c>
      <c r="BC82" s="37">
        <v>182.6</v>
      </c>
      <c r="BD82" s="37">
        <v>183.8</v>
      </c>
      <c r="BE82" s="37">
        <v>195.3</v>
      </c>
      <c r="BF82" s="37">
        <v>221.9</v>
      </c>
      <c r="BG82" s="37">
        <v>231.8</v>
      </c>
      <c r="BH82" s="37">
        <v>232.4</v>
      </c>
      <c r="BI82" s="37">
        <v>226.9</v>
      </c>
      <c r="BJ82" s="37">
        <v>240.7</v>
      </c>
      <c r="BK82" s="37">
        <v>238.5</v>
      </c>
      <c r="BL82" s="37">
        <v>240.7</v>
      </c>
      <c r="BM82" s="37">
        <v>244.3</v>
      </c>
      <c r="BN82" s="37">
        <v>245.6</v>
      </c>
      <c r="BO82" s="37">
        <v>251.6</v>
      </c>
      <c r="BP82" s="37">
        <v>264.39999999999998</v>
      </c>
      <c r="BQ82" s="37">
        <v>264.2</v>
      </c>
      <c r="BR82" s="37">
        <v>275.39999999999998</v>
      </c>
      <c r="BS82" s="37">
        <v>282.3</v>
      </c>
      <c r="BT82" s="37">
        <v>289.5</v>
      </c>
      <c r="BU82" s="37">
        <v>298.60000000000002</v>
      </c>
      <c r="BV82" s="37">
        <v>319.2</v>
      </c>
      <c r="BW82" s="37">
        <v>322.5</v>
      </c>
      <c r="BX82" s="37">
        <v>333.6</v>
      </c>
      <c r="BY82" s="37">
        <v>326.8</v>
      </c>
      <c r="BZ82" s="37">
        <v>348.1</v>
      </c>
      <c r="CA82" s="37">
        <v>339.5</v>
      </c>
      <c r="CB82" s="37">
        <v>337.2</v>
      </c>
      <c r="CC82" s="37">
        <v>339.7</v>
      </c>
      <c r="CD82" s="37">
        <v>345.6</v>
      </c>
      <c r="CE82" s="37">
        <v>351.1</v>
      </c>
      <c r="CF82" s="37">
        <v>358.9</v>
      </c>
      <c r="CG82" s="37">
        <v>357</v>
      </c>
      <c r="CH82" s="37">
        <v>347.5</v>
      </c>
      <c r="CI82" s="37">
        <v>353</v>
      </c>
      <c r="CJ82" s="37">
        <v>353.6</v>
      </c>
      <c r="CK82" s="37">
        <v>362.6</v>
      </c>
      <c r="CL82" s="37">
        <v>378.7</v>
      </c>
      <c r="CM82" s="37">
        <v>395.2</v>
      </c>
      <c r="CN82" s="37">
        <v>407.9</v>
      </c>
      <c r="CO82" s="37">
        <v>418.8</v>
      </c>
      <c r="CP82" s="37">
        <v>418.9</v>
      </c>
      <c r="CQ82" s="37">
        <v>429.6</v>
      </c>
      <c r="CR82" s="37">
        <v>423.4</v>
      </c>
      <c r="CS82" s="37">
        <v>440</v>
      </c>
      <c r="CT82" s="37">
        <v>450.2</v>
      </c>
      <c r="CU82" s="37">
        <v>454.1</v>
      </c>
      <c r="CV82" s="37">
        <v>456.8</v>
      </c>
      <c r="CW82" s="37">
        <v>465.5</v>
      </c>
      <c r="CX82" s="37">
        <v>467.4</v>
      </c>
      <c r="CY82" s="37">
        <v>472</v>
      </c>
      <c r="CZ82" s="37">
        <v>484.5</v>
      </c>
      <c r="DA82" s="37">
        <v>501</v>
      </c>
      <c r="DB82" s="37">
        <v>523.29999999999995</v>
      </c>
      <c r="DC82" s="37">
        <v>547.5</v>
      </c>
      <c r="DD82" s="37">
        <v>547.5</v>
      </c>
      <c r="DE82" s="37">
        <v>556.79999999999995</v>
      </c>
      <c r="DF82" s="37">
        <v>575.6</v>
      </c>
      <c r="DG82" s="37">
        <v>575.1</v>
      </c>
      <c r="DH82" s="37">
        <v>588.5</v>
      </c>
      <c r="DI82" s="37">
        <v>596.6</v>
      </c>
      <c r="DJ82" s="37">
        <v>617.4</v>
      </c>
      <c r="DK82" s="37">
        <v>629.6</v>
      </c>
      <c r="DL82" s="37">
        <v>645</v>
      </c>
      <c r="DM82" s="37">
        <v>668.7</v>
      </c>
      <c r="DN82" s="37">
        <v>681.9</v>
      </c>
      <c r="DO82" s="37">
        <v>690.1</v>
      </c>
      <c r="DP82" s="37">
        <v>699.8</v>
      </c>
      <c r="DQ82" s="37">
        <v>713.9</v>
      </c>
      <c r="DR82" s="37">
        <v>720.9</v>
      </c>
      <c r="DS82" s="37">
        <v>751.3</v>
      </c>
      <c r="DT82" s="37">
        <v>760.8</v>
      </c>
      <c r="DU82" s="37">
        <v>782.4</v>
      </c>
      <c r="DV82" s="37">
        <v>809.8</v>
      </c>
      <c r="DW82" s="37">
        <v>827.7</v>
      </c>
      <c r="DX82" s="37">
        <v>845.6</v>
      </c>
      <c r="DY82" s="37">
        <v>840.9</v>
      </c>
      <c r="DZ82" s="37">
        <v>859.5</v>
      </c>
      <c r="EA82" s="37">
        <v>864.5</v>
      </c>
      <c r="EB82" s="37">
        <v>872.9</v>
      </c>
      <c r="EC82" s="37">
        <v>883.3</v>
      </c>
      <c r="ED82" s="37">
        <v>876.3</v>
      </c>
      <c r="EE82" s="37">
        <v>892.4</v>
      </c>
      <c r="EF82" s="37">
        <v>905.3</v>
      </c>
      <c r="EG82" s="37">
        <v>916.1</v>
      </c>
      <c r="EH82" s="37">
        <v>946.5</v>
      </c>
      <c r="EI82" s="37">
        <v>963</v>
      </c>
      <c r="EJ82" s="37">
        <v>964.2</v>
      </c>
      <c r="EK82" s="37">
        <v>977.8</v>
      </c>
      <c r="EL82" s="37">
        <v>957.1</v>
      </c>
      <c r="EM82" s="37">
        <v>964.1</v>
      </c>
      <c r="EN82" s="37">
        <v>988.1</v>
      </c>
      <c r="EO82" s="37">
        <v>1007.2</v>
      </c>
      <c r="EP82" s="37">
        <v>1049.0999999999999</v>
      </c>
      <c r="EQ82" s="37">
        <v>1052.0999999999999</v>
      </c>
      <c r="ER82" s="37">
        <v>1049</v>
      </c>
      <c r="ES82" s="37">
        <v>1053.3</v>
      </c>
      <c r="ET82" s="37">
        <v>1017.5</v>
      </c>
      <c r="EU82" s="37">
        <v>997.9</v>
      </c>
      <c r="EV82" s="37">
        <v>986.8</v>
      </c>
      <c r="EW82" s="37">
        <v>979.8</v>
      </c>
      <c r="EX82" s="37">
        <v>964.1</v>
      </c>
      <c r="EY82" s="37">
        <v>967.2</v>
      </c>
      <c r="EZ82" s="37">
        <v>956.6</v>
      </c>
      <c r="FA82" s="37">
        <v>950.7</v>
      </c>
      <c r="FB82" s="37">
        <v>913.2</v>
      </c>
      <c r="FC82" s="37">
        <v>901.5</v>
      </c>
      <c r="FD82" s="37">
        <v>934.5</v>
      </c>
      <c r="FE82" s="37">
        <v>1001.3</v>
      </c>
      <c r="FF82" s="37">
        <v>1055.8</v>
      </c>
      <c r="FG82" s="37">
        <v>1102.7</v>
      </c>
      <c r="FH82" s="37">
        <v>1128</v>
      </c>
      <c r="FI82" s="37">
        <v>1142.7</v>
      </c>
      <c r="FJ82" s="37">
        <v>1179</v>
      </c>
      <c r="FK82" s="37">
        <v>1210.2</v>
      </c>
      <c r="FL82" s="37">
        <v>1251.5999999999999</v>
      </c>
      <c r="FM82" s="37">
        <v>1268.9000000000001</v>
      </c>
      <c r="FN82" s="37">
        <v>1321.8</v>
      </c>
      <c r="FO82" s="37">
        <v>1355.6</v>
      </c>
      <c r="FP82" s="37">
        <v>1344.9</v>
      </c>
      <c r="FQ82" s="37">
        <v>1363.2</v>
      </c>
      <c r="FR82" s="37">
        <v>1387.2</v>
      </c>
      <c r="FS82" s="37">
        <v>1410.6</v>
      </c>
      <c r="FT82" s="37">
        <v>1411</v>
      </c>
      <c r="FU82" s="37">
        <v>1400</v>
      </c>
      <c r="FV82" s="37">
        <v>1411.4</v>
      </c>
      <c r="FW82" s="37">
        <v>1450.6</v>
      </c>
      <c r="FX82" s="37">
        <v>1466.2</v>
      </c>
      <c r="FY82" s="37">
        <v>1454.4</v>
      </c>
      <c r="FZ82" s="37">
        <v>1434.9</v>
      </c>
      <c r="GA82" s="37">
        <v>1411.3</v>
      </c>
      <c r="GB82" s="37">
        <v>1423.2</v>
      </c>
      <c r="GC82" s="37">
        <v>1413.8</v>
      </c>
      <c r="GD82" s="37">
        <v>1410.1</v>
      </c>
      <c r="GE82" s="37">
        <v>1409.6</v>
      </c>
      <c r="GF82" s="37">
        <v>1431</v>
      </c>
      <c r="GG82" s="37">
        <v>1442.5</v>
      </c>
      <c r="GH82" s="37">
        <v>1485</v>
      </c>
      <c r="GI82" s="37">
        <v>1501.4</v>
      </c>
      <c r="GJ82" s="37">
        <v>1502.6</v>
      </c>
      <c r="GK82" s="37">
        <v>1529.4</v>
      </c>
      <c r="GL82" s="37">
        <v>1550.1</v>
      </c>
      <c r="GM82" s="37">
        <v>1557.3</v>
      </c>
      <c r="GN82" s="37">
        <v>1571.3</v>
      </c>
      <c r="GO82" s="37">
        <v>1596.1</v>
      </c>
      <c r="GP82" s="37">
        <v>1583.4</v>
      </c>
      <c r="GQ82" s="37">
        <v>1575.2</v>
      </c>
      <c r="GR82" s="37">
        <v>1615.3</v>
      </c>
      <c r="GS82" s="37">
        <v>1631.9</v>
      </c>
      <c r="GT82" s="37">
        <v>1643.2</v>
      </c>
      <c r="GU82" s="37">
        <v>1475.6</v>
      </c>
      <c r="GV82" s="37">
        <v>1751.6</v>
      </c>
      <c r="GW82" s="37">
        <v>1702</v>
      </c>
      <c r="GX82" s="37">
        <v>1655</v>
      </c>
      <c r="GY82" s="37">
        <v>1776.9</v>
      </c>
      <c r="GZ82" s="37">
        <v>1792.7</v>
      </c>
      <c r="HA82" s="37">
        <v>1789.8</v>
      </c>
      <c r="HB82" s="37">
        <v>1811.4</v>
      </c>
      <c r="HC82">
        <v>1835.4</v>
      </c>
      <c r="HD82">
        <v>1859</v>
      </c>
    </row>
    <row r="83" spans="1:212" x14ac:dyDescent="0.3">
      <c r="A83" s="37" t="s">
        <v>1841</v>
      </c>
      <c r="B83" s="37">
        <v>20.399999999999999</v>
      </c>
      <c r="C83" s="37">
        <v>20.2</v>
      </c>
      <c r="D83" s="37">
        <v>20.9</v>
      </c>
      <c r="E83" s="37">
        <v>21.2</v>
      </c>
      <c r="F83" s="37">
        <v>21.1</v>
      </c>
      <c r="G83" s="37">
        <v>21.7</v>
      </c>
      <c r="H83" s="37">
        <v>22</v>
      </c>
      <c r="I83" s="37">
        <v>22.5</v>
      </c>
      <c r="J83" s="37">
        <v>23.1</v>
      </c>
      <c r="K83" s="37">
        <v>20.2</v>
      </c>
      <c r="L83" s="37">
        <v>23.9</v>
      </c>
      <c r="M83" s="37">
        <v>23.8</v>
      </c>
      <c r="N83" s="37">
        <v>23.5</v>
      </c>
      <c r="O83" s="37">
        <v>23.3</v>
      </c>
      <c r="P83" s="37">
        <v>22.3</v>
      </c>
      <c r="Q83" s="37">
        <v>23.3</v>
      </c>
      <c r="R83" s="37">
        <v>23.5</v>
      </c>
      <c r="S83" s="37">
        <v>22.9</v>
      </c>
      <c r="T83" s="37">
        <v>23.3</v>
      </c>
      <c r="U83" s="37">
        <v>23</v>
      </c>
      <c r="V83" s="37">
        <v>22.7</v>
      </c>
      <c r="W83" s="37">
        <v>22.4</v>
      </c>
      <c r="X83" s="37">
        <v>22.2</v>
      </c>
      <c r="Y83" s="37">
        <v>21.9</v>
      </c>
      <c r="Z83" s="37">
        <v>21.6</v>
      </c>
      <c r="AA83" s="37">
        <v>20.5</v>
      </c>
      <c r="AB83" s="37">
        <v>20</v>
      </c>
      <c r="AC83" s="37">
        <v>19.100000000000001</v>
      </c>
      <c r="AD83" s="37">
        <v>16.399999999999999</v>
      </c>
      <c r="AE83" s="37">
        <v>16.3</v>
      </c>
      <c r="AF83" s="37">
        <v>15.6</v>
      </c>
      <c r="AG83" s="37">
        <v>15.1</v>
      </c>
      <c r="AH83" s="37">
        <v>15.9</v>
      </c>
      <c r="AI83" s="37">
        <v>15.6</v>
      </c>
      <c r="AJ83" s="37">
        <v>17.100000000000001</v>
      </c>
      <c r="AK83" s="37">
        <v>17.5</v>
      </c>
      <c r="AL83" s="37">
        <v>17.3</v>
      </c>
      <c r="AM83" s="37">
        <v>15.6</v>
      </c>
      <c r="AN83" s="37">
        <v>15.4</v>
      </c>
      <c r="AO83" s="37">
        <v>16.100000000000001</v>
      </c>
      <c r="AP83" s="37">
        <v>15.8</v>
      </c>
      <c r="AQ83" s="37">
        <v>17.100000000000001</v>
      </c>
      <c r="AR83" s="37">
        <v>19.899999999999999</v>
      </c>
      <c r="AS83" s="37">
        <v>23.2</v>
      </c>
      <c r="AT83" s="37">
        <v>24</v>
      </c>
      <c r="AU83" s="37">
        <v>23.3</v>
      </c>
      <c r="AV83" s="37">
        <v>23.1</v>
      </c>
      <c r="AW83" s="37">
        <v>24.7</v>
      </c>
      <c r="AX83" s="37">
        <v>23.5</v>
      </c>
      <c r="AY83" s="37">
        <v>21.1</v>
      </c>
      <c r="AZ83" s="37">
        <v>24.4</v>
      </c>
      <c r="BA83" s="37">
        <v>26.3</v>
      </c>
      <c r="BB83" s="37">
        <v>25.8</v>
      </c>
      <c r="BC83" s="37">
        <v>24.7</v>
      </c>
      <c r="BD83" s="37">
        <v>23.7</v>
      </c>
      <c r="BE83" s="37">
        <v>23.5</v>
      </c>
      <c r="BF83" s="37">
        <v>23.2</v>
      </c>
      <c r="BG83" s="37">
        <v>21.7</v>
      </c>
      <c r="BH83" s="37">
        <v>24.4</v>
      </c>
      <c r="BI83" s="37">
        <v>29.3</v>
      </c>
      <c r="BJ83" s="37">
        <v>26.9</v>
      </c>
      <c r="BK83" s="37">
        <v>25.3</v>
      </c>
      <c r="BL83" s="37">
        <v>27.1</v>
      </c>
      <c r="BM83" s="37">
        <v>25.6</v>
      </c>
      <c r="BN83" s="37">
        <v>22</v>
      </c>
      <c r="BO83" s="37">
        <v>21.1</v>
      </c>
      <c r="BP83" s="37">
        <v>16.600000000000001</v>
      </c>
      <c r="BQ83" s="37">
        <v>13.4</v>
      </c>
      <c r="BR83" s="37">
        <v>14.5</v>
      </c>
      <c r="BS83" s="37">
        <v>14.1</v>
      </c>
      <c r="BT83" s="37">
        <v>17.5</v>
      </c>
      <c r="BU83" s="37">
        <v>20.3</v>
      </c>
      <c r="BV83" s="37">
        <v>21.1</v>
      </c>
      <c r="BW83" s="37">
        <v>20.3</v>
      </c>
      <c r="BX83" s="37">
        <v>21.2</v>
      </c>
      <c r="BY83" s="37">
        <v>27.4</v>
      </c>
      <c r="BZ83" s="37">
        <v>23.1</v>
      </c>
      <c r="CA83" s="37">
        <v>21.2</v>
      </c>
      <c r="CB83" s="37">
        <v>20</v>
      </c>
      <c r="CC83" s="37">
        <v>21.8</v>
      </c>
      <c r="CD83" s="37">
        <v>23.1</v>
      </c>
      <c r="CE83" s="37">
        <v>26.7</v>
      </c>
      <c r="CF83" s="37">
        <v>31.6</v>
      </c>
      <c r="CG83" s="37">
        <v>31.3</v>
      </c>
      <c r="CH83" s="37">
        <v>33</v>
      </c>
      <c r="CI83" s="37">
        <v>35.5</v>
      </c>
      <c r="CJ83" s="37">
        <v>39.4</v>
      </c>
      <c r="CK83" s="37">
        <v>46.4</v>
      </c>
      <c r="CL83" s="37">
        <v>50</v>
      </c>
      <c r="CM83" s="37">
        <v>57.3</v>
      </c>
      <c r="CN83" s="37">
        <v>64.3</v>
      </c>
      <c r="CO83" s="37">
        <v>70.7</v>
      </c>
      <c r="CP83" s="37">
        <v>80.7</v>
      </c>
      <c r="CQ83" s="37">
        <v>86.9</v>
      </c>
      <c r="CR83" s="37">
        <v>92.5</v>
      </c>
      <c r="CS83" s="37">
        <v>100.2</v>
      </c>
      <c r="CT83" s="37">
        <v>109</v>
      </c>
      <c r="CU83" s="37">
        <v>113.5</v>
      </c>
      <c r="CV83" s="37">
        <v>116.3</v>
      </c>
      <c r="CW83" s="37">
        <v>115.9</v>
      </c>
      <c r="CX83" s="37">
        <v>118.3</v>
      </c>
      <c r="CY83" s="37">
        <v>121.6</v>
      </c>
      <c r="CZ83" s="37">
        <v>125.7</v>
      </c>
      <c r="DA83" s="37">
        <v>134</v>
      </c>
      <c r="DB83" s="37">
        <v>139.5</v>
      </c>
      <c r="DC83" s="37">
        <v>141.6</v>
      </c>
      <c r="DD83" s="37">
        <v>143.69999999999999</v>
      </c>
      <c r="DE83" s="37">
        <v>145.30000000000001</v>
      </c>
      <c r="DF83" s="37">
        <v>144.19999999999999</v>
      </c>
      <c r="DG83" s="37">
        <v>144.6</v>
      </c>
      <c r="DH83" s="37">
        <v>147.4</v>
      </c>
      <c r="DI83" s="37">
        <v>152.1</v>
      </c>
      <c r="DJ83" s="37">
        <v>156.80000000000001</v>
      </c>
      <c r="DK83" s="37">
        <v>162.6</v>
      </c>
      <c r="DL83" s="37">
        <v>168</v>
      </c>
      <c r="DM83" s="37">
        <v>173.4</v>
      </c>
      <c r="DN83" s="37">
        <v>176.1</v>
      </c>
      <c r="DO83" s="37">
        <v>179.6</v>
      </c>
      <c r="DP83" s="37">
        <v>179.4</v>
      </c>
      <c r="DQ83" s="37">
        <v>178.9</v>
      </c>
      <c r="DR83" s="37">
        <v>179.8</v>
      </c>
      <c r="DS83" s="37">
        <v>180.2</v>
      </c>
      <c r="DT83" s="37">
        <v>182.9</v>
      </c>
      <c r="DU83" s="37">
        <v>191</v>
      </c>
      <c r="DV83" s="37">
        <v>197.1</v>
      </c>
      <c r="DW83" s="37">
        <v>202.6</v>
      </c>
      <c r="DX83" s="37">
        <v>204.8</v>
      </c>
      <c r="DY83" s="37">
        <v>205.1</v>
      </c>
      <c r="DZ83" s="37">
        <v>207.3</v>
      </c>
      <c r="EA83" s="37">
        <v>208.9</v>
      </c>
      <c r="EB83" s="37">
        <v>207.7</v>
      </c>
      <c r="EC83" s="37">
        <v>209.9</v>
      </c>
      <c r="ED83" s="37">
        <v>218.7</v>
      </c>
      <c r="EE83" s="37">
        <v>223.2</v>
      </c>
      <c r="EF83" s="37">
        <v>227.5</v>
      </c>
      <c r="EG83" s="37">
        <v>239</v>
      </c>
      <c r="EH83" s="37">
        <v>243</v>
      </c>
      <c r="EI83" s="37">
        <v>243.4</v>
      </c>
      <c r="EJ83" s="37">
        <v>241.8</v>
      </c>
      <c r="EK83" s="37">
        <v>242.9</v>
      </c>
      <c r="EL83" s="37">
        <v>233.7</v>
      </c>
      <c r="EM83" s="37">
        <v>231.2</v>
      </c>
      <c r="EN83" s="37">
        <v>213.6</v>
      </c>
      <c r="EO83" s="37">
        <v>206</v>
      </c>
      <c r="EP83" s="37">
        <v>194.5</v>
      </c>
      <c r="EQ83" s="37">
        <v>183.4</v>
      </c>
      <c r="ER83" s="37">
        <v>177.8</v>
      </c>
      <c r="ES83" s="37">
        <v>168.7</v>
      </c>
      <c r="ET83" s="37">
        <v>162.5</v>
      </c>
      <c r="EU83" s="37">
        <v>180.3</v>
      </c>
      <c r="EV83" s="37">
        <v>193.6</v>
      </c>
      <c r="EW83" s="37">
        <v>208.7</v>
      </c>
      <c r="EX83" s="37">
        <v>249.2</v>
      </c>
      <c r="EY83" s="37">
        <v>280.89999999999998</v>
      </c>
      <c r="EZ83" s="37">
        <v>305.3</v>
      </c>
      <c r="FA83" s="37">
        <v>325.7</v>
      </c>
      <c r="FB83" s="37">
        <v>326.60000000000002</v>
      </c>
      <c r="FC83" s="37">
        <v>335.9</v>
      </c>
      <c r="FD83" s="37">
        <v>355.8</v>
      </c>
      <c r="FE83" s="37">
        <v>372</v>
      </c>
      <c r="FF83" s="37">
        <v>404.9</v>
      </c>
      <c r="FG83" s="37">
        <v>428.9</v>
      </c>
      <c r="FH83" s="37">
        <v>442.6</v>
      </c>
      <c r="FI83" s="37">
        <v>458.3</v>
      </c>
      <c r="FJ83" s="37">
        <v>489.1</v>
      </c>
      <c r="FK83" s="37">
        <v>501.4</v>
      </c>
      <c r="FL83" s="37">
        <v>510.1</v>
      </c>
      <c r="FM83" s="37">
        <v>525.6</v>
      </c>
      <c r="FN83" s="37">
        <v>526.70000000000005</v>
      </c>
      <c r="FO83" s="37">
        <v>532.4</v>
      </c>
      <c r="FP83" s="37">
        <v>536.1</v>
      </c>
      <c r="FQ83" s="37">
        <v>542.79999999999995</v>
      </c>
      <c r="FR83" s="37">
        <v>560.79999999999995</v>
      </c>
      <c r="FS83" s="37">
        <v>573.1</v>
      </c>
      <c r="FT83" s="37">
        <v>585.1</v>
      </c>
      <c r="FU83" s="37">
        <v>590.70000000000005</v>
      </c>
      <c r="FV83" s="37">
        <v>598.1</v>
      </c>
      <c r="FW83" s="37">
        <v>602.6</v>
      </c>
      <c r="FX83" s="37">
        <v>604.6</v>
      </c>
      <c r="FY83" s="37">
        <v>605.5</v>
      </c>
      <c r="FZ83" s="37">
        <v>596.20000000000005</v>
      </c>
      <c r="GA83" s="37">
        <v>611.29999999999995</v>
      </c>
      <c r="GB83" s="37">
        <v>614.9</v>
      </c>
      <c r="GC83" s="37">
        <v>615.6</v>
      </c>
      <c r="GD83" s="37">
        <v>619.79999999999995</v>
      </c>
      <c r="GE83" s="37">
        <v>626.70000000000005</v>
      </c>
      <c r="GF83" s="37">
        <v>627.6</v>
      </c>
      <c r="GG83" s="37">
        <v>632.5</v>
      </c>
      <c r="GH83" s="37">
        <v>643</v>
      </c>
      <c r="GI83" s="37">
        <v>643.29999999999995</v>
      </c>
      <c r="GJ83" s="37">
        <v>652.29999999999995</v>
      </c>
      <c r="GK83" s="37">
        <v>663.8</v>
      </c>
      <c r="GL83" s="37">
        <v>668.6</v>
      </c>
      <c r="GM83" s="37">
        <v>674.5</v>
      </c>
      <c r="GN83" s="37">
        <v>688.2</v>
      </c>
      <c r="GO83" s="37">
        <v>688.6</v>
      </c>
      <c r="GP83" s="37">
        <v>689.6</v>
      </c>
      <c r="GQ83" s="37">
        <v>696.1</v>
      </c>
      <c r="GR83" s="37">
        <v>699.1</v>
      </c>
      <c r="GS83" s="37">
        <v>708</v>
      </c>
      <c r="GT83" s="37">
        <v>722.6</v>
      </c>
      <c r="GU83" s="37">
        <v>717.9</v>
      </c>
      <c r="GV83" s="37">
        <v>722.6</v>
      </c>
      <c r="GW83" s="37">
        <v>716.3</v>
      </c>
      <c r="GX83" s="37">
        <v>719.4</v>
      </c>
      <c r="GY83" s="37">
        <v>713.5</v>
      </c>
      <c r="GZ83" s="37">
        <v>722.7</v>
      </c>
      <c r="HA83" s="37">
        <v>739.6</v>
      </c>
      <c r="HB83" s="37">
        <v>744.9</v>
      </c>
      <c r="HC83">
        <v>775.9</v>
      </c>
      <c r="HD83">
        <v>794.9</v>
      </c>
    </row>
    <row r="84" spans="1:212" x14ac:dyDescent="0.3">
      <c r="A84" s="37" t="s">
        <v>1842</v>
      </c>
      <c r="B84" s="37">
        <v>109.2</v>
      </c>
      <c r="C84" s="37">
        <v>113.1</v>
      </c>
      <c r="D84" s="37">
        <v>117.5</v>
      </c>
      <c r="E84" s="37">
        <v>120</v>
      </c>
      <c r="F84" s="37">
        <v>122.8</v>
      </c>
      <c r="G84" s="37">
        <v>124.2</v>
      </c>
      <c r="H84" s="37">
        <v>126.1</v>
      </c>
      <c r="I84" s="37">
        <v>127.4</v>
      </c>
      <c r="J84" s="37">
        <v>131</v>
      </c>
      <c r="K84" s="37">
        <v>134.1</v>
      </c>
      <c r="L84" s="37">
        <v>138.4</v>
      </c>
      <c r="M84" s="37">
        <v>142.80000000000001</v>
      </c>
      <c r="N84" s="37">
        <v>146.6</v>
      </c>
      <c r="O84" s="37">
        <v>151.6</v>
      </c>
      <c r="P84" s="37">
        <v>158.80000000000001</v>
      </c>
      <c r="Q84" s="37">
        <v>164.6</v>
      </c>
      <c r="R84" s="37">
        <v>170.5</v>
      </c>
      <c r="S84" s="37">
        <v>177.6</v>
      </c>
      <c r="T84" s="37">
        <v>183.9</v>
      </c>
      <c r="U84" s="37">
        <v>190.4</v>
      </c>
      <c r="V84" s="37">
        <v>196.4</v>
      </c>
      <c r="W84" s="37">
        <v>198.5</v>
      </c>
      <c r="X84" s="37">
        <v>202.5</v>
      </c>
      <c r="Y84" s="37">
        <v>206.5</v>
      </c>
      <c r="Z84" s="37">
        <v>210.5</v>
      </c>
      <c r="AA84" s="37">
        <v>217.1</v>
      </c>
      <c r="AB84" s="37">
        <v>222.8</v>
      </c>
      <c r="AC84" s="37">
        <v>229.7</v>
      </c>
      <c r="AD84" s="37">
        <v>238.8</v>
      </c>
      <c r="AE84" s="37">
        <v>246.6</v>
      </c>
      <c r="AF84" s="37">
        <v>255.4</v>
      </c>
      <c r="AG84" s="37">
        <v>265.5</v>
      </c>
      <c r="AH84" s="37">
        <v>273.3</v>
      </c>
      <c r="AI84" s="37">
        <v>281.3</v>
      </c>
      <c r="AJ84" s="37">
        <v>289.8</v>
      </c>
      <c r="AK84" s="37">
        <v>298.89999999999998</v>
      </c>
      <c r="AL84" s="37">
        <v>308.8</v>
      </c>
      <c r="AM84" s="37">
        <v>318.8</v>
      </c>
      <c r="AN84" s="37">
        <v>330.4</v>
      </c>
      <c r="AO84" s="37">
        <v>350.4</v>
      </c>
      <c r="AP84" s="37">
        <v>377.5</v>
      </c>
      <c r="AQ84" s="37">
        <v>391.2</v>
      </c>
      <c r="AR84" s="37">
        <v>397</v>
      </c>
      <c r="AS84" s="37">
        <v>421.9</v>
      </c>
      <c r="AT84" s="37">
        <v>440.5</v>
      </c>
      <c r="AU84" s="37">
        <v>469</v>
      </c>
      <c r="AV84" s="37">
        <v>508.5</v>
      </c>
      <c r="AW84" s="37">
        <v>525.4</v>
      </c>
      <c r="AX84" s="37">
        <v>544.1</v>
      </c>
      <c r="AY84" s="37">
        <v>559.9</v>
      </c>
      <c r="AZ84" s="37">
        <v>560.79999999999995</v>
      </c>
      <c r="BA84" s="37">
        <v>563.20000000000005</v>
      </c>
      <c r="BB84" s="37">
        <v>574.29999999999995</v>
      </c>
      <c r="BC84" s="37">
        <v>584.4</v>
      </c>
      <c r="BD84" s="37">
        <v>609.20000000000005</v>
      </c>
      <c r="BE84" s="37">
        <v>630.20000000000005</v>
      </c>
      <c r="BF84" s="37">
        <v>645.6</v>
      </c>
      <c r="BG84" s="37">
        <v>671.4</v>
      </c>
      <c r="BH84" s="37">
        <v>698.4</v>
      </c>
      <c r="BI84" s="37">
        <v>707.7</v>
      </c>
      <c r="BJ84" s="37">
        <v>718.6</v>
      </c>
      <c r="BK84" s="37">
        <v>723.8</v>
      </c>
      <c r="BL84" s="37">
        <v>724.1</v>
      </c>
      <c r="BM84" s="37">
        <v>738.7</v>
      </c>
      <c r="BN84" s="37">
        <v>762.3</v>
      </c>
      <c r="BO84" s="37">
        <v>770.2</v>
      </c>
      <c r="BP84" s="37">
        <v>770.3</v>
      </c>
      <c r="BQ84" s="37">
        <v>769.8</v>
      </c>
      <c r="BR84" s="37">
        <v>771.1</v>
      </c>
      <c r="BS84" s="37">
        <v>781</v>
      </c>
      <c r="BT84" s="37">
        <v>796.9</v>
      </c>
      <c r="BU84" s="37">
        <v>815.4</v>
      </c>
      <c r="BV84" s="37">
        <v>824</v>
      </c>
      <c r="BW84" s="37">
        <v>833.7</v>
      </c>
      <c r="BX84" s="37">
        <v>860.5</v>
      </c>
      <c r="BY84" s="37">
        <v>887.5</v>
      </c>
      <c r="BZ84" s="37">
        <v>933.6</v>
      </c>
      <c r="CA84" s="37">
        <v>961.5</v>
      </c>
      <c r="CB84" s="37">
        <v>975.6</v>
      </c>
      <c r="CC84" s="37">
        <v>986.6</v>
      </c>
      <c r="CD84" s="37">
        <v>999.5</v>
      </c>
      <c r="CE84" s="37">
        <v>1003.1</v>
      </c>
      <c r="CF84" s="37">
        <v>1010</v>
      </c>
      <c r="CG84" s="37">
        <v>1008.7</v>
      </c>
      <c r="CH84" s="37">
        <v>1003.9</v>
      </c>
      <c r="CI84" s="37">
        <v>1004.2</v>
      </c>
      <c r="CJ84" s="37">
        <v>1006.8</v>
      </c>
      <c r="CK84" s="37">
        <v>999.9</v>
      </c>
      <c r="CL84" s="37">
        <v>996.8</v>
      </c>
      <c r="CM84" s="37">
        <v>1000.4</v>
      </c>
      <c r="CN84" s="37">
        <v>997.1</v>
      </c>
      <c r="CO84" s="37">
        <v>1000.9</v>
      </c>
      <c r="CP84" s="37">
        <v>1007.7</v>
      </c>
      <c r="CQ84" s="37">
        <v>1007.4</v>
      </c>
      <c r="CR84" s="37">
        <v>1006.4</v>
      </c>
      <c r="CS84" s="37">
        <v>1006.7</v>
      </c>
      <c r="CT84" s="37">
        <v>1015.2</v>
      </c>
      <c r="CU84" s="37">
        <v>1035.9000000000001</v>
      </c>
      <c r="CV84" s="37">
        <v>1057.7</v>
      </c>
      <c r="CW84" s="37">
        <v>1090.4000000000001</v>
      </c>
      <c r="CX84" s="37">
        <v>1112.7</v>
      </c>
      <c r="CY84" s="37">
        <v>1130.9000000000001</v>
      </c>
      <c r="CZ84" s="37">
        <v>1144.3</v>
      </c>
      <c r="DA84" s="37">
        <v>1158.4000000000001</v>
      </c>
      <c r="DB84" s="37">
        <v>1170.8</v>
      </c>
      <c r="DC84" s="37">
        <v>1188.5</v>
      </c>
      <c r="DD84" s="37">
        <v>1210.7</v>
      </c>
      <c r="DE84" s="37">
        <v>1234.7</v>
      </c>
      <c r="DF84" s="37">
        <v>1251.4000000000001</v>
      </c>
      <c r="DG84" s="37">
        <v>1274.5</v>
      </c>
      <c r="DH84" s="37">
        <v>1294.9000000000001</v>
      </c>
      <c r="DI84" s="37">
        <v>1319.4</v>
      </c>
      <c r="DJ84" s="37">
        <v>1353.9</v>
      </c>
      <c r="DK84" s="37">
        <v>1379.1</v>
      </c>
      <c r="DL84" s="37">
        <v>1385.2</v>
      </c>
      <c r="DM84" s="37">
        <v>1365.3</v>
      </c>
      <c r="DN84" s="37">
        <v>1349.7</v>
      </c>
      <c r="DO84" s="37">
        <v>1347.3</v>
      </c>
      <c r="DP84" s="37">
        <v>1367.2</v>
      </c>
      <c r="DQ84" s="37">
        <v>1393</v>
      </c>
      <c r="DR84" s="37">
        <v>1432.6</v>
      </c>
      <c r="DS84" s="37">
        <v>1477.5</v>
      </c>
      <c r="DT84" s="37">
        <v>1512.9</v>
      </c>
      <c r="DU84" s="37">
        <v>1536.8</v>
      </c>
      <c r="DV84" s="37">
        <v>1528.9</v>
      </c>
      <c r="DW84" s="37">
        <v>1507</v>
      </c>
      <c r="DX84" s="37">
        <v>1474.9</v>
      </c>
      <c r="DY84" s="37">
        <v>1416</v>
      </c>
      <c r="DZ84" s="37">
        <v>1397</v>
      </c>
      <c r="EA84" s="37">
        <v>1408.1</v>
      </c>
      <c r="EB84" s="37">
        <v>1413.1</v>
      </c>
      <c r="EC84" s="37">
        <v>1436.3</v>
      </c>
      <c r="ED84" s="37">
        <v>1444.5</v>
      </c>
      <c r="EE84" s="37">
        <v>1436.1</v>
      </c>
      <c r="EF84" s="37">
        <v>1455.3</v>
      </c>
      <c r="EG84" s="37">
        <v>1473.4</v>
      </c>
      <c r="EH84" s="37">
        <v>1473.6</v>
      </c>
      <c r="EI84" s="37">
        <v>1490.5</v>
      </c>
      <c r="EJ84" s="37">
        <v>1507.5</v>
      </c>
      <c r="EK84" s="37">
        <v>1636.7</v>
      </c>
      <c r="EL84" s="37">
        <v>1598.1</v>
      </c>
      <c r="EM84" s="37">
        <v>1669.6</v>
      </c>
      <c r="EN84" s="37">
        <v>1713</v>
      </c>
      <c r="EO84" s="37">
        <v>1800.1</v>
      </c>
      <c r="EP84" s="37">
        <v>1882.7</v>
      </c>
      <c r="EQ84" s="37">
        <v>1988</v>
      </c>
      <c r="ER84" s="37">
        <v>2015.8</v>
      </c>
      <c r="ES84" s="37">
        <v>2040.4</v>
      </c>
      <c r="ET84" s="37">
        <v>2087.1</v>
      </c>
      <c r="EU84" s="37">
        <v>2212.3000000000002</v>
      </c>
      <c r="EV84" s="37">
        <v>2231.6</v>
      </c>
      <c r="EW84" s="37">
        <v>2246.9</v>
      </c>
      <c r="EX84" s="37">
        <v>2248.1999999999998</v>
      </c>
      <c r="EY84" s="37">
        <v>2204.1999999999998</v>
      </c>
      <c r="EZ84" s="37">
        <v>2222.5</v>
      </c>
      <c r="FA84" s="37">
        <v>2141.3000000000002</v>
      </c>
      <c r="FB84" s="37">
        <v>2006.9</v>
      </c>
      <c r="FC84" s="37">
        <v>1875.6</v>
      </c>
      <c r="FD84" s="37">
        <v>1783.9</v>
      </c>
      <c r="FE84" s="37">
        <v>1748.4</v>
      </c>
      <c r="FF84" s="37">
        <v>1763.3</v>
      </c>
      <c r="FG84" s="37">
        <v>1775.8</v>
      </c>
      <c r="FH84" s="37">
        <v>1780.5</v>
      </c>
      <c r="FI84" s="37">
        <v>1827.5</v>
      </c>
      <c r="FJ84" s="37">
        <v>1887.8</v>
      </c>
      <c r="FK84" s="37">
        <v>1915.4</v>
      </c>
      <c r="FL84" s="37">
        <v>1935.6</v>
      </c>
      <c r="FM84" s="37">
        <v>2009.8</v>
      </c>
      <c r="FN84" s="37">
        <v>2081.4</v>
      </c>
      <c r="FO84" s="37">
        <v>2136</v>
      </c>
      <c r="FP84" s="37">
        <v>2078.6</v>
      </c>
      <c r="FQ84" s="37">
        <v>2318.6999999999998</v>
      </c>
      <c r="FR84" s="37">
        <v>2026.1</v>
      </c>
      <c r="FS84" s="37">
        <v>2036.5</v>
      </c>
      <c r="FT84" s="37">
        <v>2074.1999999999998</v>
      </c>
      <c r="FU84" s="37">
        <v>2099</v>
      </c>
      <c r="FV84" s="37">
        <v>2167</v>
      </c>
      <c r="FW84" s="37">
        <v>2266.6999999999998</v>
      </c>
      <c r="FX84" s="37">
        <v>2336</v>
      </c>
      <c r="FY84" s="37">
        <v>2390.4</v>
      </c>
      <c r="FZ84" s="37">
        <v>2447.6</v>
      </c>
      <c r="GA84" s="37">
        <v>2469.6999999999998</v>
      </c>
      <c r="GB84" s="37">
        <v>2478.9</v>
      </c>
      <c r="GC84" s="37">
        <v>2503.1999999999998</v>
      </c>
      <c r="GD84" s="37">
        <v>2517</v>
      </c>
      <c r="GE84" s="37">
        <v>2524.3000000000002</v>
      </c>
      <c r="GF84" s="37">
        <v>2549.9</v>
      </c>
      <c r="GG84" s="37">
        <v>2579.4</v>
      </c>
      <c r="GH84" s="37">
        <v>2645.5</v>
      </c>
      <c r="GI84" s="37">
        <v>2711.5</v>
      </c>
      <c r="GJ84" s="37">
        <v>2723.3</v>
      </c>
      <c r="GK84" s="37">
        <v>2733.8</v>
      </c>
      <c r="GL84" s="37">
        <v>2758.1</v>
      </c>
      <c r="GM84" s="37">
        <v>2816.3</v>
      </c>
      <c r="GN84" s="37">
        <v>2878.4</v>
      </c>
      <c r="GO84" s="37">
        <v>2996.1</v>
      </c>
      <c r="GP84" s="37">
        <v>3047.7</v>
      </c>
      <c r="GQ84" s="37">
        <v>3121.8</v>
      </c>
      <c r="GR84" s="37">
        <v>3148.6</v>
      </c>
      <c r="GS84" s="37">
        <v>3158</v>
      </c>
      <c r="GT84" s="37">
        <v>3144.3</v>
      </c>
      <c r="GU84" s="37">
        <v>3076.3</v>
      </c>
      <c r="GV84" s="37">
        <v>3043.8</v>
      </c>
      <c r="GW84" s="37">
        <v>3117.4</v>
      </c>
      <c r="GX84" s="37">
        <v>3132</v>
      </c>
      <c r="GY84" s="37">
        <v>3196.3</v>
      </c>
      <c r="GZ84" s="37">
        <v>3222.9</v>
      </c>
      <c r="HA84" s="37">
        <v>3258.5</v>
      </c>
      <c r="HB84" s="37">
        <v>3269.9</v>
      </c>
      <c r="HC84">
        <v>3323</v>
      </c>
      <c r="HD84">
        <v>3366.9</v>
      </c>
    </row>
    <row r="85" spans="1:212" x14ac:dyDescent="0.3">
      <c r="A85" s="37" t="s">
        <v>1843</v>
      </c>
      <c r="B85" s="37">
        <v>77.5</v>
      </c>
      <c r="C85" s="37">
        <v>81.099999999999994</v>
      </c>
      <c r="D85" s="37">
        <v>81.099999999999994</v>
      </c>
      <c r="E85" s="37">
        <v>76.900000000000006</v>
      </c>
      <c r="F85" s="37">
        <v>89.1</v>
      </c>
      <c r="G85" s="37">
        <v>90.8</v>
      </c>
      <c r="H85" s="37">
        <v>93.7</v>
      </c>
      <c r="I85" s="37">
        <v>97.6</v>
      </c>
      <c r="J85" s="37">
        <v>102.7</v>
      </c>
      <c r="K85" s="37">
        <v>104.3</v>
      </c>
      <c r="L85" s="37">
        <v>108.2</v>
      </c>
      <c r="M85" s="37">
        <v>115.5</v>
      </c>
      <c r="N85" s="37">
        <v>121</v>
      </c>
      <c r="O85" s="37">
        <v>117.2</v>
      </c>
      <c r="P85" s="37">
        <v>116.6</v>
      </c>
      <c r="Q85" s="37">
        <v>119.1</v>
      </c>
      <c r="R85" s="37">
        <v>111.1</v>
      </c>
      <c r="S85" s="37">
        <v>110.8</v>
      </c>
      <c r="T85" s="37">
        <v>107.3</v>
      </c>
      <c r="U85" s="37">
        <v>103.8</v>
      </c>
      <c r="V85" s="37">
        <v>103.9</v>
      </c>
      <c r="W85" s="37">
        <v>115.6</v>
      </c>
      <c r="X85" s="37">
        <v>135.4</v>
      </c>
      <c r="Y85" s="37">
        <v>142</v>
      </c>
      <c r="Z85" s="37">
        <v>159.1</v>
      </c>
      <c r="AA85" s="37">
        <v>156.6</v>
      </c>
      <c r="AB85" s="37">
        <v>158.4</v>
      </c>
      <c r="AC85" s="37">
        <v>157.1</v>
      </c>
      <c r="AD85" s="37">
        <v>165</v>
      </c>
      <c r="AE85" s="37">
        <v>185.7</v>
      </c>
      <c r="AF85" s="37">
        <v>199.9</v>
      </c>
      <c r="AG85" s="37">
        <v>196.1</v>
      </c>
      <c r="AH85" s="37">
        <v>187.5</v>
      </c>
      <c r="AI85" s="37">
        <v>220</v>
      </c>
      <c r="AJ85" s="37">
        <v>223.8</v>
      </c>
      <c r="AK85" s="37">
        <v>231.5</v>
      </c>
      <c r="AL85" s="37">
        <v>221.9</v>
      </c>
      <c r="AM85" s="37">
        <v>219.4</v>
      </c>
      <c r="AN85" s="37">
        <v>211.1</v>
      </c>
      <c r="AO85" s="37">
        <v>205.1</v>
      </c>
      <c r="AP85" s="37">
        <v>197.2</v>
      </c>
      <c r="AQ85" s="37">
        <v>170.2</v>
      </c>
      <c r="AR85" s="37">
        <v>179.7</v>
      </c>
      <c r="AS85" s="37">
        <v>205.2</v>
      </c>
      <c r="AT85" s="37">
        <v>214.2</v>
      </c>
      <c r="AU85" s="37">
        <v>213.3</v>
      </c>
      <c r="AV85" s="37">
        <v>230.4</v>
      </c>
      <c r="AW85" s="37">
        <v>213.3</v>
      </c>
      <c r="AX85" s="37">
        <v>190.2</v>
      </c>
      <c r="AY85" s="37">
        <v>202.6</v>
      </c>
      <c r="AZ85" s="37">
        <v>202.5</v>
      </c>
      <c r="BA85" s="37">
        <v>193.7</v>
      </c>
      <c r="BB85" s="37">
        <v>211.7</v>
      </c>
      <c r="BC85" s="37">
        <v>240.3</v>
      </c>
      <c r="BD85" s="37">
        <v>256.2</v>
      </c>
      <c r="BE85" s="37">
        <v>270.60000000000002</v>
      </c>
      <c r="BF85" s="37">
        <v>302</v>
      </c>
      <c r="BG85" s="37">
        <v>301.8</v>
      </c>
      <c r="BH85" s="37">
        <v>295.7</v>
      </c>
      <c r="BI85" s="37">
        <v>305.7</v>
      </c>
      <c r="BJ85" s="37">
        <v>312.3</v>
      </c>
      <c r="BK85" s="37">
        <v>311.60000000000002</v>
      </c>
      <c r="BL85" s="37">
        <v>333.1</v>
      </c>
      <c r="BM85" s="37">
        <v>308.5</v>
      </c>
      <c r="BN85" s="37">
        <v>298.8</v>
      </c>
      <c r="BO85" s="37">
        <v>288.10000000000002</v>
      </c>
      <c r="BP85" s="37">
        <v>276.2</v>
      </c>
      <c r="BQ85" s="37">
        <v>276.39999999999998</v>
      </c>
      <c r="BR85" s="37">
        <v>284.60000000000002</v>
      </c>
      <c r="BS85" s="37">
        <v>314.39999999999998</v>
      </c>
      <c r="BT85" s="37">
        <v>338.6</v>
      </c>
      <c r="BU85" s="37">
        <v>334.3</v>
      </c>
      <c r="BV85" s="37">
        <v>341.5</v>
      </c>
      <c r="BW85" s="37">
        <v>350.9</v>
      </c>
      <c r="BX85" s="37">
        <v>358.1</v>
      </c>
      <c r="BY85" s="37">
        <v>379.5</v>
      </c>
      <c r="BZ85" s="37">
        <v>359.7</v>
      </c>
      <c r="CA85" s="37">
        <v>351.9</v>
      </c>
      <c r="CB85" s="37">
        <v>350.1</v>
      </c>
      <c r="CC85" s="37">
        <v>327</v>
      </c>
      <c r="CD85" s="37">
        <v>340.5</v>
      </c>
      <c r="CE85" s="37">
        <v>358.8</v>
      </c>
      <c r="CF85" s="37">
        <v>336.8</v>
      </c>
      <c r="CG85" s="37">
        <v>330.6</v>
      </c>
      <c r="CH85" s="37">
        <v>370.8</v>
      </c>
      <c r="CI85" s="37">
        <v>378</v>
      </c>
      <c r="CJ85" s="37">
        <v>380.7</v>
      </c>
      <c r="CK85" s="37">
        <v>375</v>
      </c>
      <c r="CL85" s="37">
        <v>399.7</v>
      </c>
      <c r="CM85" s="37">
        <v>404</v>
      </c>
      <c r="CN85" s="37">
        <v>393.9</v>
      </c>
      <c r="CO85" s="37">
        <v>418.7</v>
      </c>
      <c r="CP85" s="37">
        <v>400.8</v>
      </c>
      <c r="CQ85" s="37">
        <v>439</v>
      </c>
      <c r="CR85" s="37">
        <v>446.2</v>
      </c>
      <c r="CS85" s="37">
        <v>504.6</v>
      </c>
      <c r="CT85" s="37">
        <v>509.3</v>
      </c>
      <c r="CU85" s="37">
        <v>530</v>
      </c>
      <c r="CV85" s="37">
        <v>562.20000000000005</v>
      </c>
      <c r="CW85" s="37">
        <v>585.79999999999995</v>
      </c>
      <c r="CX85" s="37">
        <v>579</v>
      </c>
      <c r="CY85" s="37">
        <v>595.70000000000005</v>
      </c>
      <c r="CZ85" s="37">
        <v>639.4</v>
      </c>
      <c r="DA85" s="37">
        <v>639</v>
      </c>
      <c r="DB85" s="37">
        <v>671.6</v>
      </c>
      <c r="DC85" s="37">
        <v>686.9</v>
      </c>
      <c r="DD85" s="37">
        <v>691.4</v>
      </c>
      <c r="DE85" s="37">
        <v>700.2</v>
      </c>
      <c r="DF85" s="37">
        <v>735.7</v>
      </c>
      <c r="DG85" s="37">
        <v>748.6</v>
      </c>
      <c r="DH85" s="37">
        <v>787.1</v>
      </c>
      <c r="DI85" s="37">
        <v>777.2</v>
      </c>
      <c r="DJ85" s="37">
        <v>704</v>
      </c>
      <c r="DK85" s="37">
        <v>703.4</v>
      </c>
      <c r="DL85" s="37">
        <v>721.5</v>
      </c>
      <c r="DM85" s="37">
        <v>693.8</v>
      </c>
      <c r="DN85" s="37">
        <v>732.4</v>
      </c>
      <c r="DO85" s="37">
        <v>723.4</v>
      </c>
      <c r="DP85" s="37">
        <v>705.2</v>
      </c>
      <c r="DQ85" s="37">
        <v>691.7</v>
      </c>
      <c r="DR85" s="37">
        <v>677.3</v>
      </c>
      <c r="DS85" s="37">
        <v>659.6</v>
      </c>
      <c r="DT85" s="37">
        <v>636.70000000000005</v>
      </c>
      <c r="DU85" s="37">
        <v>589.9</v>
      </c>
      <c r="DV85" s="37">
        <v>588.6</v>
      </c>
      <c r="DW85" s="37">
        <v>607.9</v>
      </c>
      <c r="DX85" s="37">
        <v>601.20000000000005</v>
      </c>
      <c r="DY85" s="37">
        <v>561.9</v>
      </c>
      <c r="DZ85" s="37">
        <v>694.1</v>
      </c>
      <c r="EA85" s="37">
        <v>737.7</v>
      </c>
      <c r="EB85" s="37">
        <v>759.1</v>
      </c>
      <c r="EC85" s="37">
        <v>828.9</v>
      </c>
      <c r="ED85" s="37">
        <v>844.2</v>
      </c>
      <c r="EE85" s="37">
        <v>872.2</v>
      </c>
      <c r="EF85" s="37">
        <v>919.9</v>
      </c>
      <c r="EG85" s="37">
        <v>953.1</v>
      </c>
      <c r="EH85" s="37">
        <v>1038.4000000000001</v>
      </c>
      <c r="EI85" s="37">
        <v>1083.9000000000001</v>
      </c>
      <c r="EJ85" s="37">
        <v>1125.2</v>
      </c>
      <c r="EK85" s="37">
        <v>1129.3</v>
      </c>
      <c r="EL85" s="37">
        <v>1219.8</v>
      </c>
      <c r="EM85" s="37">
        <v>1236.8</v>
      </c>
      <c r="EN85" s="37">
        <v>1244.4000000000001</v>
      </c>
      <c r="EO85" s="37">
        <v>1350.6</v>
      </c>
      <c r="EP85" s="37">
        <v>1399.2</v>
      </c>
      <c r="EQ85" s="37">
        <v>1404.9</v>
      </c>
      <c r="ER85" s="37">
        <v>1455.1</v>
      </c>
      <c r="ES85" s="37">
        <v>1366.9</v>
      </c>
      <c r="ET85" s="37">
        <v>1257.7</v>
      </c>
      <c r="EU85" s="37">
        <v>1285.5</v>
      </c>
      <c r="EV85" s="37">
        <v>1165.3</v>
      </c>
      <c r="EW85" s="37">
        <v>1073.0999999999999</v>
      </c>
      <c r="EX85" s="37">
        <v>988</v>
      </c>
      <c r="EY85" s="37">
        <v>963.5</v>
      </c>
      <c r="EZ85" s="37">
        <v>949.5</v>
      </c>
      <c r="FA85" s="37">
        <v>681.6</v>
      </c>
      <c r="FB85" s="37">
        <v>911.1</v>
      </c>
      <c r="FC85" s="37">
        <v>965.2</v>
      </c>
      <c r="FD85" s="37">
        <v>1087.0999999999999</v>
      </c>
      <c r="FE85" s="37">
        <v>1188.7</v>
      </c>
      <c r="FF85" s="37">
        <v>1253.4000000000001</v>
      </c>
      <c r="FG85" s="37">
        <v>1255.5</v>
      </c>
      <c r="FH85" s="37">
        <v>1428</v>
      </c>
      <c r="FI85" s="37">
        <v>1434.9</v>
      </c>
      <c r="FJ85" s="37">
        <v>1273.5999999999999</v>
      </c>
      <c r="FK85" s="37">
        <v>1392.8</v>
      </c>
      <c r="FL85" s="37">
        <v>1393.4</v>
      </c>
      <c r="FM85" s="37">
        <v>1529</v>
      </c>
      <c r="FN85" s="37">
        <v>1606.9</v>
      </c>
      <c r="FO85" s="37">
        <v>1605.9</v>
      </c>
      <c r="FP85" s="37">
        <v>1583</v>
      </c>
      <c r="FQ85" s="37">
        <v>1572.4</v>
      </c>
      <c r="FR85" s="37">
        <v>1596.1</v>
      </c>
      <c r="FS85" s="37">
        <v>1605.3</v>
      </c>
      <c r="FT85" s="37">
        <v>1602.5</v>
      </c>
      <c r="FU85" s="37">
        <v>1643.5</v>
      </c>
      <c r="FV85" s="37">
        <v>1561.5</v>
      </c>
      <c r="FW85" s="37">
        <v>1743.6</v>
      </c>
      <c r="FX85" s="37">
        <v>1769.4</v>
      </c>
      <c r="FY85" s="37">
        <v>1786.9</v>
      </c>
      <c r="FZ85" s="37">
        <v>1728.9</v>
      </c>
      <c r="GA85" s="37">
        <v>1721.5</v>
      </c>
      <c r="GB85" s="37">
        <v>1673.6</v>
      </c>
      <c r="GC85" s="37">
        <v>1537.1</v>
      </c>
      <c r="GD85" s="37">
        <v>1645.7</v>
      </c>
      <c r="GE85" s="37">
        <v>1600.3</v>
      </c>
      <c r="GF85" s="37">
        <v>1625.4</v>
      </c>
      <c r="GG85" s="37">
        <v>1599.7</v>
      </c>
      <c r="GH85" s="37">
        <v>1601.7</v>
      </c>
      <c r="GI85" s="37">
        <v>1630.8</v>
      </c>
      <c r="GJ85" s="37">
        <v>1635.8</v>
      </c>
      <c r="GK85" s="37">
        <v>1650.3</v>
      </c>
      <c r="GL85" s="37">
        <v>1706.2</v>
      </c>
      <c r="GM85" s="37">
        <v>1747.5</v>
      </c>
      <c r="GN85" s="37">
        <v>1825.6</v>
      </c>
      <c r="GO85" s="37">
        <v>1886.2</v>
      </c>
      <c r="GP85" s="37">
        <v>1806.1</v>
      </c>
      <c r="GQ85" s="37">
        <v>1872</v>
      </c>
      <c r="GR85" s="37">
        <v>1882</v>
      </c>
      <c r="GS85" s="37">
        <v>1933.8</v>
      </c>
      <c r="GT85" s="37">
        <v>1736.3</v>
      </c>
      <c r="GU85" s="37">
        <v>1597.1</v>
      </c>
      <c r="GV85" s="37">
        <v>2041.1</v>
      </c>
      <c r="GW85" s="37">
        <v>1947.4</v>
      </c>
      <c r="GX85" s="37">
        <v>2152.8000000000002</v>
      </c>
      <c r="GY85" s="37">
        <v>2407.1</v>
      </c>
      <c r="GZ85" s="37">
        <v>2431.8000000000002</v>
      </c>
      <c r="HA85" s="37">
        <v>2443.1999999999998</v>
      </c>
      <c r="HB85">
        <v>2432.6999999999998</v>
      </c>
      <c r="HC85">
        <v>2538.9</v>
      </c>
      <c r="HD85">
        <v>2512.1</v>
      </c>
    </row>
    <row r="86" spans="1:212" x14ac:dyDescent="0.3">
      <c r="A86" s="37" t="s">
        <v>1844</v>
      </c>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c r="AU86" s="37"/>
      <c r="AV86" s="37"/>
      <c r="AW86" s="37"/>
      <c r="AX86" s="37"/>
      <c r="AY86" s="37"/>
      <c r="AZ86" s="37"/>
      <c r="BA86" s="37"/>
      <c r="BB86" s="37"/>
      <c r="BC86" s="37"/>
      <c r="BD86" s="37"/>
      <c r="BE86" s="37"/>
      <c r="BF86" s="37"/>
      <c r="BG86" s="37"/>
      <c r="BH86" s="37"/>
      <c r="BI86" s="37"/>
      <c r="BJ86" s="37"/>
      <c r="BK86" s="37"/>
      <c r="BL86" s="37"/>
      <c r="BM86" s="37"/>
      <c r="BN86" s="37"/>
      <c r="BO86" s="37"/>
      <c r="BP86" s="37"/>
      <c r="BQ86" s="37"/>
      <c r="BR86" s="37"/>
      <c r="BS86" s="37"/>
      <c r="BT86" s="37"/>
      <c r="BU86" s="37"/>
      <c r="BV86" s="37"/>
      <c r="BW86" s="37"/>
      <c r="BX86" s="37"/>
      <c r="BY86" s="37"/>
      <c r="BZ86" s="37"/>
      <c r="CA86" s="37"/>
      <c r="CB86" s="37"/>
      <c r="CC86" s="37"/>
      <c r="CD86" s="37"/>
      <c r="CE86" s="37"/>
      <c r="CF86" s="37"/>
      <c r="CG86" s="37"/>
      <c r="CH86" s="37"/>
      <c r="CI86" s="37"/>
      <c r="CJ86" s="37"/>
      <c r="CK86" s="37"/>
      <c r="CL86" s="37"/>
      <c r="CM86" s="37"/>
      <c r="CN86" s="37"/>
      <c r="CO86" s="37"/>
      <c r="CP86" s="37"/>
      <c r="CQ86" s="37"/>
      <c r="CR86" s="37"/>
      <c r="CS86" s="37"/>
      <c r="CT86" s="37"/>
      <c r="CU86" s="37"/>
      <c r="CV86" s="37"/>
      <c r="CW86" s="37"/>
      <c r="CX86" s="37"/>
      <c r="CY86" s="37"/>
      <c r="CZ86" s="37"/>
      <c r="DA86" s="37"/>
      <c r="DB86" s="37"/>
      <c r="DC86" s="37"/>
      <c r="DD86" s="37"/>
      <c r="DE86" s="37"/>
      <c r="DF86" s="37"/>
      <c r="DG86" s="37"/>
      <c r="DH86" s="37"/>
      <c r="DI86" s="37"/>
      <c r="DJ86" s="37"/>
      <c r="DK86" s="37"/>
      <c r="DL86" s="37"/>
      <c r="DM86" s="37"/>
      <c r="DN86" s="37"/>
      <c r="DO86" s="37"/>
      <c r="DP86" s="37"/>
      <c r="DQ86" s="37"/>
      <c r="DR86" s="37"/>
      <c r="DS86" s="37"/>
      <c r="DT86" s="37"/>
      <c r="DU86" s="37"/>
      <c r="DV86" s="37"/>
      <c r="DW86" s="37"/>
      <c r="DX86" s="37"/>
      <c r="DY86" s="37"/>
      <c r="DZ86" s="37"/>
      <c r="EA86" s="37"/>
      <c r="EB86" s="37"/>
      <c r="EC86" s="37"/>
      <c r="ED86" s="37"/>
      <c r="EE86" s="37"/>
      <c r="EF86" s="37"/>
      <c r="EG86" s="37"/>
      <c r="EH86" s="37"/>
      <c r="EI86" s="37"/>
      <c r="EJ86" s="37"/>
      <c r="EK86" s="37"/>
      <c r="EL86" s="37"/>
      <c r="EM86" s="37"/>
      <c r="EN86" s="37"/>
      <c r="EO86" s="37"/>
      <c r="EP86" s="37"/>
      <c r="EQ86" s="37"/>
      <c r="ER86" s="37"/>
      <c r="ES86" s="37"/>
      <c r="ET86" s="37"/>
      <c r="EU86" s="37"/>
      <c r="EV86" s="37"/>
      <c r="EW86" s="37"/>
      <c r="EX86" s="37"/>
      <c r="EY86" s="37"/>
      <c r="EZ86" s="37"/>
      <c r="FA86" s="37"/>
      <c r="FB86" s="37"/>
      <c r="FC86" s="37"/>
      <c r="FD86" s="37"/>
      <c r="FE86" s="37"/>
      <c r="FF86" s="37"/>
      <c r="FG86" s="37"/>
      <c r="FH86" s="37"/>
      <c r="FI86" s="37"/>
      <c r="FJ86" s="37"/>
      <c r="FK86" s="37"/>
      <c r="FL86" s="37"/>
      <c r="FM86" s="37"/>
      <c r="FN86" s="37"/>
      <c r="FO86" s="37"/>
      <c r="FP86" s="37"/>
      <c r="FQ86" s="37"/>
      <c r="FR86" s="37"/>
      <c r="FS86" s="37"/>
      <c r="FT86" s="37"/>
      <c r="FU86" s="37"/>
      <c r="FV86" s="37"/>
      <c r="FW86" s="37"/>
      <c r="FX86" s="37"/>
      <c r="FY86" s="37"/>
      <c r="FZ86" s="37"/>
      <c r="GA86" s="37"/>
      <c r="GB86" s="37"/>
      <c r="GC86" s="37"/>
      <c r="GD86" s="37"/>
      <c r="GE86" s="37"/>
      <c r="GF86" s="37"/>
      <c r="GG86" s="37"/>
      <c r="GH86" s="37"/>
      <c r="GI86" s="37"/>
      <c r="GJ86" s="37"/>
      <c r="GK86" s="37"/>
      <c r="GL86" s="37"/>
      <c r="GM86" s="37"/>
      <c r="GN86" s="37"/>
      <c r="GO86" s="37"/>
      <c r="GP86" s="37"/>
      <c r="GQ86" s="37"/>
      <c r="GR86" s="37"/>
      <c r="GS86" s="37"/>
      <c r="GT86" s="37"/>
      <c r="GU86" s="37"/>
      <c r="GV86" s="37"/>
      <c r="GW86" s="37"/>
      <c r="GX86" s="37">
        <v>0</v>
      </c>
      <c r="GY86" s="37">
        <v>21.4</v>
      </c>
      <c r="GZ86" s="37">
        <v>57</v>
      </c>
      <c r="HA86" s="37">
        <v>35.5</v>
      </c>
      <c r="HB86" s="37">
        <v>0</v>
      </c>
      <c r="HC86">
        <v>0</v>
      </c>
      <c r="HD86">
        <v>0</v>
      </c>
    </row>
    <row r="87" spans="1:212" x14ac:dyDescent="0.3">
      <c r="A87" s="37" t="s">
        <v>1845</v>
      </c>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c r="BC87" s="37"/>
      <c r="BD87" s="37"/>
      <c r="BE87" s="37"/>
      <c r="BF87" s="37"/>
      <c r="BG87" s="37"/>
      <c r="BH87" s="37"/>
      <c r="BI87" s="37"/>
      <c r="BJ87" s="37"/>
      <c r="BK87" s="37"/>
      <c r="BL87" s="37"/>
      <c r="BM87" s="37"/>
      <c r="BN87" s="37"/>
      <c r="BO87" s="37"/>
      <c r="BP87" s="37"/>
      <c r="BQ87" s="37"/>
      <c r="BR87" s="37"/>
      <c r="BS87" s="37"/>
      <c r="BT87" s="37"/>
      <c r="BU87" s="37"/>
      <c r="BV87" s="37"/>
      <c r="BW87" s="37"/>
      <c r="BX87" s="37"/>
      <c r="BY87" s="37"/>
      <c r="BZ87" s="37"/>
      <c r="CA87" s="37"/>
      <c r="CB87" s="37"/>
      <c r="CC87" s="37"/>
      <c r="CD87" s="37"/>
      <c r="CE87" s="37"/>
      <c r="CF87" s="37"/>
      <c r="CG87" s="37"/>
      <c r="CH87" s="37"/>
      <c r="CI87" s="37"/>
      <c r="CJ87" s="37"/>
      <c r="CK87" s="37"/>
      <c r="CL87" s="37"/>
      <c r="CM87" s="37"/>
      <c r="CN87" s="37"/>
      <c r="CO87" s="37"/>
      <c r="CP87" s="37"/>
      <c r="CQ87" s="37"/>
      <c r="CR87" s="37"/>
      <c r="CS87" s="37"/>
      <c r="CT87" s="37"/>
      <c r="CU87" s="37"/>
      <c r="CV87" s="37"/>
      <c r="CW87" s="37"/>
      <c r="CX87" s="37"/>
      <c r="CY87" s="37"/>
      <c r="CZ87" s="37"/>
      <c r="DA87" s="37"/>
      <c r="DB87" s="37"/>
      <c r="DC87" s="37"/>
      <c r="DD87" s="37"/>
      <c r="DE87" s="37"/>
      <c r="DF87" s="37"/>
      <c r="DG87" s="37"/>
      <c r="DH87" s="37"/>
      <c r="DI87" s="37"/>
      <c r="DJ87" s="37"/>
      <c r="DK87" s="37"/>
      <c r="DL87" s="37"/>
      <c r="DM87" s="37"/>
      <c r="DN87" s="37"/>
      <c r="DO87" s="37"/>
      <c r="DP87" s="37"/>
      <c r="DQ87" s="37"/>
      <c r="DR87" s="37"/>
      <c r="DS87" s="37"/>
      <c r="DT87" s="37"/>
      <c r="DU87" s="37"/>
      <c r="DV87" s="37"/>
      <c r="DW87" s="37"/>
      <c r="DX87" s="37"/>
      <c r="DY87" s="37"/>
      <c r="DZ87" s="37"/>
      <c r="EA87" s="37"/>
      <c r="EB87" s="37"/>
      <c r="EC87" s="37"/>
      <c r="ED87" s="37"/>
      <c r="EE87" s="37"/>
      <c r="EF87" s="37"/>
      <c r="EG87" s="37"/>
      <c r="EH87" s="37"/>
      <c r="EI87" s="37"/>
      <c r="EJ87" s="37"/>
      <c r="EK87" s="37"/>
      <c r="EL87" s="37"/>
      <c r="EM87" s="37"/>
      <c r="EN87" s="37"/>
      <c r="EO87" s="37"/>
      <c r="EP87" s="37"/>
      <c r="EQ87" s="37"/>
      <c r="ER87" s="37"/>
      <c r="ES87" s="37"/>
      <c r="ET87" s="37"/>
      <c r="EU87" s="37"/>
      <c r="EV87" s="37"/>
      <c r="EW87" s="37"/>
      <c r="EX87" s="37"/>
      <c r="EY87" s="37"/>
      <c r="EZ87" s="37"/>
      <c r="FA87" s="37"/>
      <c r="FB87" s="37"/>
      <c r="FC87" s="37"/>
      <c r="FD87" s="37"/>
      <c r="FE87" s="37"/>
      <c r="FF87" s="37"/>
      <c r="FG87" s="37"/>
      <c r="FH87" s="37"/>
      <c r="FI87" s="37"/>
      <c r="FJ87" s="37"/>
      <c r="FK87" s="37"/>
      <c r="FL87" s="37"/>
      <c r="FM87" s="37"/>
      <c r="FN87" s="37"/>
      <c r="FO87" s="37"/>
      <c r="FP87" s="37"/>
      <c r="FQ87" s="37"/>
      <c r="FR87" s="37"/>
      <c r="FS87" s="37"/>
      <c r="FT87" s="37"/>
      <c r="FU87" s="37"/>
      <c r="FV87" s="37"/>
      <c r="FW87" s="37"/>
      <c r="FX87" s="37"/>
      <c r="FY87" s="37"/>
      <c r="FZ87" s="37"/>
      <c r="GA87" s="37"/>
      <c r="GB87" s="37"/>
      <c r="GC87" s="37"/>
      <c r="GD87" s="37"/>
      <c r="GE87" s="37"/>
      <c r="GF87" s="37"/>
      <c r="GG87" s="37"/>
      <c r="GH87" s="37"/>
      <c r="GI87" s="37"/>
      <c r="GJ87" s="37"/>
      <c r="GK87" s="37"/>
      <c r="GL87" s="37"/>
      <c r="GM87" s="37"/>
      <c r="GN87" s="37"/>
      <c r="GO87" s="37"/>
      <c r="GP87" s="37"/>
      <c r="GQ87" s="37"/>
      <c r="GR87" s="37"/>
      <c r="GS87" s="37"/>
      <c r="GT87" s="37"/>
      <c r="GU87" s="37">
        <v>60.3</v>
      </c>
      <c r="GV87" s="37">
        <v>18.5</v>
      </c>
      <c r="GW87" s="37">
        <v>0</v>
      </c>
      <c r="GX87" s="37">
        <v>0.3</v>
      </c>
      <c r="GY87" s="37">
        <v>11.3</v>
      </c>
      <c r="GZ87" s="37">
        <v>10.4</v>
      </c>
      <c r="HA87" s="37">
        <v>5.3</v>
      </c>
      <c r="HB87" s="37">
        <v>2.4</v>
      </c>
      <c r="HC87">
        <v>0.3</v>
      </c>
      <c r="HD87">
        <v>0</v>
      </c>
    </row>
    <row r="88" spans="1:212" ht="19.2" customHeight="1" x14ac:dyDescent="0.3">
      <c r="A88" s="37" t="s">
        <v>1846</v>
      </c>
      <c r="B88" s="37">
        <v>27088</v>
      </c>
      <c r="C88" s="37">
        <v>34148</v>
      </c>
      <c r="D88" s="37">
        <v>31952</v>
      </c>
      <c r="E88" s="37">
        <v>32332</v>
      </c>
      <c r="F88" s="37">
        <v>32820</v>
      </c>
      <c r="G88" s="37">
        <v>38700</v>
      </c>
      <c r="H88" s="37">
        <v>37216</v>
      </c>
      <c r="I88" s="37">
        <v>37732</v>
      </c>
      <c r="J88" s="37">
        <v>38284</v>
      </c>
      <c r="K88" s="37">
        <v>38748</v>
      </c>
      <c r="L88" s="37">
        <v>39284</v>
      </c>
      <c r="M88" s="37">
        <v>47476</v>
      </c>
      <c r="N88" s="37">
        <v>49096</v>
      </c>
      <c r="O88" s="37">
        <v>50332</v>
      </c>
      <c r="P88" s="37">
        <v>51216</v>
      </c>
      <c r="Q88" s="37">
        <v>52016</v>
      </c>
      <c r="R88" s="37">
        <v>52464</v>
      </c>
      <c r="S88" s="37">
        <v>56916</v>
      </c>
      <c r="T88" s="37">
        <v>59804</v>
      </c>
      <c r="U88" s="37">
        <v>61244</v>
      </c>
      <c r="V88" s="37">
        <v>62000</v>
      </c>
      <c r="W88" s="37">
        <v>62888</v>
      </c>
      <c r="X88" s="37">
        <v>69012</v>
      </c>
      <c r="Y88" s="37">
        <v>69680</v>
      </c>
      <c r="Z88" s="37">
        <v>70960</v>
      </c>
      <c r="AA88" s="37">
        <v>71416</v>
      </c>
      <c r="AB88" s="37">
        <v>76996</v>
      </c>
      <c r="AC88" s="37">
        <v>78632</v>
      </c>
      <c r="AD88" s="37">
        <v>79228</v>
      </c>
      <c r="AE88" s="37">
        <v>80364</v>
      </c>
      <c r="AF88" s="37">
        <v>86256</v>
      </c>
      <c r="AG88" s="37">
        <v>87108</v>
      </c>
      <c r="AH88" s="37">
        <v>87776</v>
      </c>
      <c r="AI88" s="37">
        <v>87912</v>
      </c>
      <c r="AJ88" s="37">
        <v>94276</v>
      </c>
      <c r="AK88" s="37">
        <v>95556</v>
      </c>
      <c r="AL88" s="37">
        <v>96528</v>
      </c>
      <c r="AM88" s="37">
        <v>97848</v>
      </c>
      <c r="AN88" s="37">
        <v>107624</v>
      </c>
      <c r="AO88" s="37">
        <v>108324</v>
      </c>
      <c r="AP88" s="37">
        <v>109348</v>
      </c>
      <c r="AQ88" s="37">
        <v>109988</v>
      </c>
      <c r="AR88" s="37">
        <v>126932</v>
      </c>
      <c r="AS88" s="37">
        <v>128076</v>
      </c>
      <c r="AT88" s="37">
        <v>130716</v>
      </c>
      <c r="AU88" s="37">
        <v>131096</v>
      </c>
      <c r="AV88" s="37">
        <v>146284</v>
      </c>
      <c r="AW88" s="37">
        <v>146480</v>
      </c>
      <c r="AX88" s="37">
        <v>146772</v>
      </c>
      <c r="AY88" s="37">
        <v>147528</v>
      </c>
      <c r="AZ88" s="37">
        <v>157636</v>
      </c>
      <c r="BA88" s="37">
        <v>162896</v>
      </c>
      <c r="BB88" s="37">
        <v>162144</v>
      </c>
      <c r="BC88" s="37">
        <v>164008</v>
      </c>
      <c r="BD88" s="37">
        <v>163980</v>
      </c>
      <c r="BE88" s="37">
        <v>167572</v>
      </c>
      <c r="BF88" s="37">
        <v>170936</v>
      </c>
      <c r="BG88" s="37">
        <v>172680</v>
      </c>
      <c r="BH88" s="37">
        <v>172444</v>
      </c>
      <c r="BI88" s="37">
        <v>176048</v>
      </c>
      <c r="BJ88" s="37">
        <v>181540</v>
      </c>
      <c r="BK88" s="37">
        <v>181976</v>
      </c>
      <c r="BL88" s="37">
        <v>185252</v>
      </c>
      <c r="BM88" s="37">
        <v>184332</v>
      </c>
      <c r="BN88" s="37">
        <v>191100</v>
      </c>
      <c r="BO88" s="37">
        <v>192104</v>
      </c>
      <c r="BP88" s="37">
        <v>195880</v>
      </c>
      <c r="BQ88" s="37">
        <v>195440</v>
      </c>
      <c r="BR88" s="37">
        <v>198912</v>
      </c>
      <c r="BS88" s="37">
        <v>201652</v>
      </c>
      <c r="BT88" s="37">
        <v>201436</v>
      </c>
      <c r="BU88" s="37">
        <v>201980</v>
      </c>
      <c r="BV88" s="37">
        <v>213484</v>
      </c>
      <c r="BW88" s="37">
        <v>213536</v>
      </c>
      <c r="BX88" s="37">
        <v>214156</v>
      </c>
      <c r="BY88" s="37">
        <v>214488</v>
      </c>
      <c r="BZ88" s="37">
        <v>225904</v>
      </c>
      <c r="CA88" s="37">
        <v>226768</v>
      </c>
      <c r="CB88" s="37">
        <v>227804</v>
      </c>
      <c r="CC88" s="37">
        <v>229044</v>
      </c>
      <c r="CD88" s="37">
        <v>241024</v>
      </c>
      <c r="CE88" s="37">
        <v>243792</v>
      </c>
      <c r="CF88" s="37">
        <v>244712</v>
      </c>
      <c r="CG88" s="37">
        <v>247012</v>
      </c>
      <c r="CH88" s="37">
        <v>261292</v>
      </c>
      <c r="CI88" s="37">
        <v>263620</v>
      </c>
      <c r="CJ88" s="37">
        <v>265076</v>
      </c>
      <c r="CK88" s="37">
        <v>266828</v>
      </c>
      <c r="CL88" s="37">
        <v>278568</v>
      </c>
      <c r="CM88" s="37">
        <v>281744</v>
      </c>
      <c r="CN88" s="37">
        <v>282848</v>
      </c>
      <c r="CO88" s="37">
        <v>283944</v>
      </c>
      <c r="CP88" s="37">
        <v>295568</v>
      </c>
      <c r="CQ88" s="37">
        <v>297064</v>
      </c>
      <c r="CR88" s="37">
        <v>298552</v>
      </c>
      <c r="CS88" s="37">
        <v>300556</v>
      </c>
      <c r="CT88" s="37">
        <v>308800</v>
      </c>
      <c r="CU88" s="37">
        <v>311776</v>
      </c>
      <c r="CV88" s="37">
        <v>312956</v>
      </c>
      <c r="CW88" s="37">
        <v>315112</v>
      </c>
      <c r="CX88" s="37">
        <v>324784</v>
      </c>
      <c r="CY88" s="37">
        <v>327504</v>
      </c>
      <c r="CZ88" s="37">
        <v>328632</v>
      </c>
      <c r="DA88" s="37">
        <v>329780</v>
      </c>
      <c r="DB88" s="37">
        <v>339100</v>
      </c>
      <c r="DC88" s="37">
        <v>341412</v>
      </c>
      <c r="DD88" s="37">
        <v>342632</v>
      </c>
      <c r="DE88" s="37">
        <v>344876</v>
      </c>
      <c r="DF88" s="37">
        <v>353920</v>
      </c>
      <c r="DG88" s="37">
        <v>355872</v>
      </c>
      <c r="DH88" s="37">
        <v>357524</v>
      </c>
      <c r="DI88" s="37">
        <v>359052</v>
      </c>
      <c r="DJ88" s="37">
        <v>366632</v>
      </c>
      <c r="DK88" s="37">
        <v>368208</v>
      </c>
      <c r="DL88" s="37">
        <v>370704</v>
      </c>
      <c r="DM88" s="37">
        <v>371184</v>
      </c>
      <c r="DN88" s="37">
        <v>376964</v>
      </c>
      <c r="DO88" s="37">
        <v>378944</v>
      </c>
      <c r="DP88" s="37">
        <v>380800</v>
      </c>
      <c r="DQ88" s="37">
        <v>382748</v>
      </c>
      <c r="DR88" s="37">
        <v>392512</v>
      </c>
      <c r="DS88" s="37">
        <v>404664</v>
      </c>
      <c r="DT88" s="37">
        <v>403872</v>
      </c>
      <c r="DU88" s="37">
        <v>404524</v>
      </c>
      <c r="DV88" s="37">
        <v>420812</v>
      </c>
      <c r="DW88" s="37">
        <v>422668</v>
      </c>
      <c r="DX88" s="37">
        <v>428384</v>
      </c>
      <c r="DY88" s="37">
        <v>428472</v>
      </c>
      <c r="DZ88" s="37">
        <v>442872</v>
      </c>
      <c r="EA88" s="37">
        <v>445487</v>
      </c>
      <c r="EB88" s="37">
        <v>448080</v>
      </c>
      <c r="EC88" s="37">
        <v>451196</v>
      </c>
      <c r="ED88" s="37">
        <v>458142</v>
      </c>
      <c r="EE88" s="37">
        <v>463083</v>
      </c>
      <c r="EF88" s="37">
        <v>464765</v>
      </c>
      <c r="EG88" s="37">
        <v>468133</v>
      </c>
      <c r="EH88" s="37">
        <v>479685</v>
      </c>
      <c r="EI88" s="37">
        <v>484798</v>
      </c>
      <c r="EJ88" s="37">
        <v>486184</v>
      </c>
      <c r="EK88" s="37">
        <v>491380</v>
      </c>
      <c r="EL88" s="37">
        <v>506486</v>
      </c>
      <c r="EM88" s="37">
        <v>512872</v>
      </c>
      <c r="EN88" s="37">
        <v>514043</v>
      </c>
      <c r="EO88" s="37">
        <v>517512</v>
      </c>
      <c r="EP88" s="37">
        <v>538042</v>
      </c>
      <c r="EQ88" s="37">
        <v>543660</v>
      </c>
      <c r="ER88" s="37">
        <v>546105</v>
      </c>
      <c r="ES88" s="37">
        <v>548576</v>
      </c>
      <c r="ET88" s="37">
        <v>568277</v>
      </c>
      <c r="EU88" s="37">
        <v>575021</v>
      </c>
      <c r="EV88" s="37">
        <v>578227</v>
      </c>
      <c r="EW88" s="37">
        <v>581089</v>
      </c>
      <c r="EX88" s="37">
        <v>597326</v>
      </c>
      <c r="EY88" s="37">
        <v>602859</v>
      </c>
      <c r="EZ88" s="37">
        <v>608868</v>
      </c>
      <c r="FA88" s="37">
        <v>613115</v>
      </c>
      <c r="FB88" s="37">
        <v>651871</v>
      </c>
      <c r="FC88" s="37">
        <v>662422</v>
      </c>
      <c r="FD88" s="37">
        <v>667932</v>
      </c>
      <c r="FE88" s="37">
        <v>675654</v>
      </c>
      <c r="FF88" s="37">
        <v>678854</v>
      </c>
      <c r="FG88" s="37">
        <v>689251</v>
      </c>
      <c r="FH88" s="37">
        <v>693594</v>
      </c>
      <c r="FI88" s="37">
        <v>698996</v>
      </c>
      <c r="FJ88" s="37">
        <v>703143</v>
      </c>
      <c r="FK88" s="37">
        <v>712039</v>
      </c>
      <c r="FL88" s="37">
        <v>716021</v>
      </c>
      <c r="FM88" s="37">
        <v>721840</v>
      </c>
      <c r="FN88" s="37">
        <v>753212</v>
      </c>
      <c r="FO88" s="37">
        <v>759410</v>
      </c>
      <c r="FP88" s="37">
        <v>765124</v>
      </c>
      <c r="FQ88" s="37">
        <v>770811</v>
      </c>
      <c r="FR88" s="37">
        <v>789992</v>
      </c>
      <c r="FS88" s="37">
        <v>795240</v>
      </c>
      <c r="FT88" s="37">
        <v>802336</v>
      </c>
      <c r="FU88" s="37">
        <v>808608</v>
      </c>
      <c r="FV88" s="37">
        <v>824825</v>
      </c>
      <c r="FW88" s="37">
        <v>831664</v>
      </c>
      <c r="FX88" s="37">
        <v>836478</v>
      </c>
      <c r="FY88" s="37">
        <v>845592</v>
      </c>
      <c r="FZ88" s="37">
        <v>861827</v>
      </c>
      <c r="GA88" s="37">
        <v>868501</v>
      </c>
      <c r="GB88" s="37">
        <v>873921</v>
      </c>
      <c r="GC88" s="37">
        <v>882925</v>
      </c>
      <c r="GD88" s="37">
        <v>886054</v>
      </c>
      <c r="GE88" s="37">
        <v>893200</v>
      </c>
      <c r="GF88" s="37">
        <v>899396</v>
      </c>
      <c r="GG88" s="37">
        <v>907237</v>
      </c>
      <c r="GH88" s="37">
        <v>916306</v>
      </c>
      <c r="GI88" s="37">
        <v>922033</v>
      </c>
      <c r="GJ88" s="37">
        <v>929279</v>
      </c>
      <c r="GK88" s="37">
        <v>936668</v>
      </c>
      <c r="GL88" s="37">
        <v>960827</v>
      </c>
      <c r="GM88" s="37">
        <v>968287</v>
      </c>
      <c r="GN88" s="37">
        <v>976649</v>
      </c>
      <c r="GO88" s="37">
        <v>983886</v>
      </c>
      <c r="GP88" s="37">
        <v>1019209</v>
      </c>
      <c r="GQ88" s="37">
        <v>1026622</v>
      </c>
      <c r="GR88" s="37">
        <v>1034357</v>
      </c>
      <c r="GS88" s="37">
        <v>1042782</v>
      </c>
      <c r="GT88" s="37">
        <v>1068228</v>
      </c>
      <c r="GU88" s="37">
        <v>1074912</v>
      </c>
      <c r="GV88" s="37">
        <v>1080340</v>
      </c>
      <c r="GW88" s="37">
        <v>1088233</v>
      </c>
      <c r="GX88" s="37">
        <v>1105676</v>
      </c>
      <c r="GY88" s="37">
        <v>1109371</v>
      </c>
      <c r="GZ88" s="37">
        <v>1116815</v>
      </c>
      <c r="HA88" s="37">
        <v>1126539</v>
      </c>
      <c r="HB88" s="37">
        <v>1198712</v>
      </c>
      <c r="HC88">
        <v>1206892</v>
      </c>
      <c r="HD88">
        <v>1214402</v>
      </c>
    </row>
    <row r="89" spans="1:212" x14ac:dyDescent="0.3">
      <c r="A89" s="37" t="s">
        <v>1847</v>
      </c>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7"/>
      <c r="AY89" s="37"/>
      <c r="AZ89" s="37"/>
      <c r="BA89" s="37"/>
      <c r="BB89" s="37"/>
      <c r="BC89" s="37"/>
      <c r="BD89" s="37"/>
      <c r="BE89" s="37"/>
      <c r="BF89" s="37"/>
      <c r="BG89" s="37"/>
      <c r="BH89" s="37"/>
      <c r="BI89" s="37"/>
      <c r="BJ89" s="37"/>
      <c r="BK89" s="37"/>
      <c r="BL89" s="37"/>
      <c r="BM89" s="37"/>
      <c r="BN89" s="37"/>
      <c r="BO89" s="37"/>
      <c r="BP89" s="37"/>
      <c r="BQ89" s="37"/>
      <c r="BR89" s="37"/>
      <c r="BS89" s="37"/>
      <c r="BT89" s="37"/>
      <c r="BU89" s="37"/>
      <c r="BV89" s="37"/>
      <c r="BW89" s="37"/>
      <c r="BX89" s="37"/>
      <c r="BY89" s="37"/>
      <c r="BZ89" s="37"/>
      <c r="CA89" s="37"/>
      <c r="CB89" s="37"/>
      <c r="CC89" s="37"/>
      <c r="CD89" s="37"/>
      <c r="CE89" s="37"/>
      <c r="CF89" s="37"/>
      <c r="CG89" s="37"/>
      <c r="CH89" s="37"/>
      <c r="CI89" s="37"/>
      <c r="CJ89" s="37"/>
      <c r="CK89" s="37"/>
      <c r="CL89" s="37"/>
      <c r="CM89" s="37"/>
      <c r="CN89" s="37"/>
      <c r="CO89" s="37"/>
      <c r="CP89" s="37"/>
      <c r="CQ89" s="37"/>
      <c r="CR89" s="37"/>
      <c r="CS89" s="37"/>
      <c r="CT89" s="37"/>
      <c r="CU89" s="37"/>
      <c r="CV89" s="37"/>
      <c r="CW89" s="37"/>
      <c r="CX89" s="37"/>
      <c r="CY89" s="37"/>
      <c r="CZ89" s="37"/>
      <c r="DA89" s="37"/>
      <c r="DB89" s="37"/>
      <c r="DC89" s="37"/>
      <c r="DD89" s="37"/>
      <c r="DE89" s="37"/>
      <c r="DF89" s="37"/>
      <c r="DG89" s="37"/>
      <c r="DH89" s="37"/>
      <c r="DI89" s="37"/>
      <c r="DJ89" s="37"/>
      <c r="DK89" s="37"/>
      <c r="DL89" s="37"/>
      <c r="DM89" s="37"/>
      <c r="DN89" s="37"/>
      <c r="DO89" s="37"/>
      <c r="DP89" s="37"/>
      <c r="DQ89" s="37"/>
      <c r="DR89" s="37"/>
      <c r="DS89" s="37"/>
      <c r="DT89" s="37"/>
      <c r="DU89" s="37"/>
      <c r="DV89" s="37"/>
      <c r="DW89" s="37"/>
      <c r="DX89" s="37"/>
      <c r="DY89" s="37"/>
      <c r="DZ89" s="37"/>
      <c r="EA89" s="37"/>
      <c r="EB89" s="37"/>
      <c r="EC89" s="37"/>
      <c r="ED89" s="37"/>
      <c r="EE89" s="37"/>
      <c r="EF89" s="37"/>
      <c r="EG89" s="37"/>
      <c r="EH89" s="37"/>
      <c r="EI89" s="37"/>
      <c r="EJ89" s="37"/>
      <c r="EK89" s="37"/>
      <c r="EL89" s="37"/>
      <c r="EM89" s="37"/>
      <c r="EN89" s="37"/>
      <c r="EO89" s="37"/>
      <c r="EP89" s="37"/>
      <c r="EQ89" s="37"/>
      <c r="ER89" s="37"/>
      <c r="ES89" s="37"/>
      <c r="ET89" s="37"/>
      <c r="EU89" s="37"/>
      <c r="EV89" s="37"/>
      <c r="EW89" s="37"/>
      <c r="EX89" s="37"/>
      <c r="EY89" s="37"/>
      <c r="EZ89" s="37"/>
      <c r="FA89" s="37"/>
      <c r="FB89" s="37"/>
      <c r="FC89" s="37"/>
      <c r="FD89" s="37"/>
      <c r="FE89" s="37"/>
      <c r="FF89" s="37"/>
      <c r="FG89" s="37"/>
      <c r="FH89" s="37"/>
      <c r="FI89" s="37"/>
      <c r="FJ89" s="37"/>
      <c r="FK89" s="37"/>
      <c r="FL89" s="37"/>
      <c r="FM89" s="37"/>
      <c r="FN89" s="37"/>
      <c r="FO89" s="37"/>
      <c r="FP89" s="37"/>
      <c r="FQ89" s="37"/>
      <c r="FR89" s="37"/>
      <c r="FS89" s="37"/>
      <c r="FT89" s="37"/>
      <c r="FU89" s="37"/>
      <c r="FV89" s="37"/>
      <c r="FW89" s="37"/>
      <c r="FX89" s="37"/>
      <c r="FY89" s="37"/>
      <c r="FZ89" s="37"/>
      <c r="GA89" s="37"/>
      <c r="GB89" s="37"/>
      <c r="GC89" s="37"/>
      <c r="GD89" s="37"/>
      <c r="GE89" s="37"/>
      <c r="GF89" s="37"/>
      <c r="GG89" s="37"/>
      <c r="GH89" s="37"/>
      <c r="GI89" s="37"/>
      <c r="GJ89" s="37"/>
      <c r="GK89" s="37"/>
      <c r="GL89" s="37"/>
      <c r="GM89" s="37"/>
      <c r="GN89" s="37"/>
      <c r="GO89" s="37"/>
      <c r="GP89" s="37"/>
      <c r="GQ89" s="37"/>
      <c r="GR89" s="37"/>
      <c r="GS89" s="37"/>
      <c r="GT89" s="37"/>
      <c r="GU89" s="37"/>
      <c r="GV89" s="37"/>
      <c r="GW89" s="37"/>
      <c r="GX89" s="37">
        <v>34.4</v>
      </c>
      <c r="GY89" s="37">
        <v>34.4</v>
      </c>
      <c r="GZ89" s="37">
        <v>218.933333333333</v>
      </c>
      <c r="HA89" s="37">
        <v>223.13333333333301</v>
      </c>
      <c r="HB89" s="37">
        <v>94.3</v>
      </c>
      <c r="HC89">
        <v>94.3</v>
      </c>
      <c r="HD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49" zoomScale="109" workbookViewId="0">
      <selection activeCell="B29" sqref="B29"/>
    </sheetView>
  </sheetViews>
  <sheetFormatPr defaultColWidth="11.5546875" defaultRowHeight="14.4" x14ac:dyDescent="0.3"/>
  <cols>
    <col min="1" max="1" width="15.21875" customWidth="1"/>
    <col min="2" max="2" width="28.44140625" customWidth="1"/>
    <col min="3" max="3" width="25.21875" customWidth="1"/>
    <col min="4" max="4" width="11.21875" customWidth="1"/>
    <col min="5" max="5" width="15.21875" customWidth="1"/>
    <col min="6" max="6" width="12.44140625" customWidth="1"/>
    <col min="7" max="7" width="11.77734375" customWidth="1"/>
  </cols>
  <sheetData>
    <row r="1" spans="1:11" x14ac:dyDescent="0.3">
      <c r="A1" s="62" t="s">
        <v>85</v>
      </c>
      <c r="B1" s="62" t="s">
        <v>86</v>
      </c>
      <c r="C1" s="62" t="s">
        <v>87</v>
      </c>
      <c r="D1" s="62" t="s">
        <v>88</v>
      </c>
      <c r="E1" s="62" t="s">
        <v>89</v>
      </c>
      <c r="F1" s="62" t="s">
        <v>90</v>
      </c>
    </row>
    <row r="2" spans="1:11" x14ac:dyDescent="0.3">
      <c r="C2" s="57" t="str">
        <f>'Haver Pivoted'!A1</f>
        <v>name</v>
      </c>
      <c r="D2" s="63" t="s">
        <v>1544</v>
      </c>
      <c r="E2" s="63" t="s">
        <v>1545</v>
      </c>
      <c r="F2" s="63"/>
      <c r="H2" s="64"/>
    </row>
    <row r="3" spans="1:11" x14ac:dyDescent="0.3">
      <c r="B3" s="57" t="s">
        <v>91</v>
      </c>
      <c r="C3" s="57" t="str">
        <f>'Haver Pivoted'!A2</f>
        <v>gdp</v>
      </c>
      <c r="D3">
        <v>25663.3</v>
      </c>
      <c r="E3" s="57">
        <f>'Haver Pivoted'!HD2</f>
        <v>25699</v>
      </c>
      <c r="F3" s="57">
        <f>E3-D3</f>
        <v>35.700000000000728</v>
      </c>
      <c r="G3" s="65">
        <f>F3/D3</f>
        <v>1.391091558762931E-3</v>
      </c>
      <c r="H3" s="66"/>
    </row>
    <row r="4" spans="1:11" x14ac:dyDescent="0.3">
      <c r="B4" s="57" t="s">
        <v>92</v>
      </c>
      <c r="C4" s="57" t="str">
        <f>'Haver Pivoted'!A3</f>
        <v>gdph</v>
      </c>
      <c r="D4">
        <v>20021.7</v>
      </c>
      <c r="E4" s="57">
        <f>'Haver Pivoted'!HD3</f>
        <v>20039.400000000001</v>
      </c>
      <c r="F4" s="57">
        <f t="shared" ref="F4:F67" si="0">E4-D4</f>
        <v>17.700000000000728</v>
      </c>
      <c r="G4" s="65">
        <f t="shared" ref="G4:G67" si="1">F4/D4</f>
        <v>8.8404081571498557E-4</v>
      </c>
      <c r="H4" s="66"/>
    </row>
    <row r="5" spans="1:11" x14ac:dyDescent="0.3">
      <c r="B5" s="57" t="s">
        <v>93</v>
      </c>
      <c r="C5" s="57" t="str">
        <f>'Haver Pivoted'!A4</f>
        <v>jgdp</v>
      </c>
      <c r="D5">
        <v>128.18799999999999</v>
      </c>
      <c r="E5" s="57">
        <f>'Haver Pivoted'!HD4</f>
        <v>128.24799999999999</v>
      </c>
      <c r="F5" s="57">
        <f t="shared" si="0"/>
        <v>6.0000000000002274E-2</v>
      </c>
      <c r="G5" s="65">
        <f t="shared" si="1"/>
        <v>4.6806253315444723E-4</v>
      </c>
      <c r="H5" s="67"/>
    </row>
    <row r="6" spans="1:11" x14ac:dyDescent="0.3">
      <c r="B6" s="57" t="s">
        <v>94</v>
      </c>
      <c r="C6" s="57" t="str">
        <f>'Haver Pivoted'!A5</f>
        <v>c</v>
      </c>
      <c r="D6">
        <v>17500.3</v>
      </c>
      <c r="E6" s="57">
        <f>'Haver Pivoted'!HD5</f>
        <v>17517.099999999999</v>
      </c>
      <c r="F6" s="57">
        <f t="shared" si="0"/>
        <v>16.799999999999272</v>
      </c>
      <c r="G6" s="65">
        <f t="shared" si="1"/>
        <v>9.599835431392189E-4</v>
      </c>
    </row>
    <row r="7" spans="1:11" x14ac:dyDescent="0.3">
      <c r="B7" s="57" t="s">
        <v>95</v>
      </c>
      <c r="C7" s="57" t="str">
        <f>'Haver Pivoted'!A6</f>
        <v>ch</v>
      </c>
      <c r="D7">
        <v>14149</v>
      </c>
      <c r="E7" s="57">
        <f>'Haver Pivoted'!HD6</f>
        <v>14159.9</v>
      </c>
      <c r="F7" s="57">
        <f t="shared" si="0"/>
        <v>10.899999999999636</v>
      </c>
      <c r="G7" s="65">
        <f t="shared" si="1"/>
        <v>7.7037246448509694E-4</v>
      </c>
      <c r="K7" s="67"/>
    </row>
    <row r="8" spans="1:11" x14ac:dyDescent="0.3">
      <c r="B8" s="57" t="s">
        <v>96</v>
      </c>
      <c r="C8" s="57" t="str">
        <f>'Haver Pivoted'!A7</f>
        <v>jc</v>
      </c>
      <c r="D8">
        <v>123.71899999999999</v>
      </c>
      <c r="E8" s="57">
        <f>'Haver Pivoted'!HD7</f>
        <v>123.74299999999999</v>
      </c>
      <c r="F8" s="57">
        <f t="shared" si="0"/>
        <v>2.4000000000000909E-2</v>
      </c>
      <c r="G8" s="65">
        <f t="shared" si="1"/>
        <v>1.9398798891036065E-4</v>
      </c>
    </row>
    <row r="9" spans="1:11" x14ac:dyDescent="0.3">
      <c r="B9" s="57" t="s">
        <v>97</v>
      </c>
      <c r="C9" s="57" t="str">
        <f>'Haver Pivoted'!A8</f>
        <v>jgf</v>
      </c>
      <c r="D9">
        <v>122.38800000000001</v>
      </c>
      <c r="E9" s="57">
        <f>'Haver Pivoted'!HD8</f>
        <v>122.473</v>
      </c>
      <c r="F9" s="57">
        <f t="shared" si="0"/>
        <v>8.4999999999993747E-2</v>
      </c>
      <c r="G9" s="65">
        <f t="shared" si="1"/>
        <v>6.9451253390850204E-4</v>
      </c>
    </row>
    <row r="10" spans="1:11" x14ac:dyDescent="0.3">
      <c r="B10" s="57" t="s">
        <v>98</v>
      </c>
      <c r="C10" s="57" t="str">
        <f>'Haver Pivoted'!A9</f>
        <v>jgs</v>
      </c>
      <c r="D10">
        <v>137.68</v>
      </c>
      <c r="E10" s="57">
        <f>'Haver Pivoted'!HD9</f>
        <v>137.90199999999999</v>
      </c>
      <c r="F10" s="57">
        <f t="shared" si="0"/>
        <v>0.22199999999997999</v>
      </c>
      <c r="G10" s="65">
        <f t="shared" si="1"/>
        <v>1.6124346310283264E-3</v>
      </c>
    </row>
    <row r="11" spans="1:11" x14ac:dyDescent="0.3">
      <c r="B11" s="57" t="s">
        <v>99</v>
      </c>
      <c r="C11" s="57" t="str">
        <f>'Haver Pivoted'!A10</f>
        <v>jgse</v>
      </c>
      <c r="D11">
        <v>137.05000000000001</v>
      </c>
      <c r="E11" s="57">
        <f>'Haver Pivoted'!HD10</f>
        <v>137.28899999999999</v>
      </c>
      <c r="F11" s="57">
        <f t="shared" si="0"/>
        <v>0.2389999999999759</v>
      </c>
      <c r="G11" s="65">
        <f t="shared" si="1"/>
        <v>1.7438890915722428E-3</v>
      </c>
    </row>
    <row r="12" spans="1:11" x14ac:dyDescent="0.3">
      <c r="B12" s="57" t="s">
        <v>100</v>
      </c>
      <c r="C12" s="57" t="str">
        <f>'Haver Pivoted'!A11</f>
        <v>jgsi</v>
      </c>
      <c r="D12">
        <v>140.81100000000001</v>
      </c>
      <c r="E12" s="57">
        <f>'Haver Pivoted'!HD11</f>
        <v>140.93299999999999</v>
      </c>
      <c r="F12" s="57">
        <f t="shared" si="0"/>
        <v>0.12199999999998568</v>
      </c>
      <c r="G12" s="65">
        <f t="shared" si="1"/>
        <v>8.6640958447838361E-4</v>
      </c>
    </row>
    <row r="13" spans="1:11" x14ac:dyDescent="0.3">
      <c r="A13" s="57" t="s">
        <v>55</v>
      </c>
      <c r="B13" s="57" t="s">
        <v>55</v>
      </c>
      <c r="C13" s="57" t="str">
        <f>'Haver Pivoted'!A12</f>
        <v>yptmr</v>
      </c>
      <c r="D13">
        <v>920.3</v>
      </c>
      <c r="E13" s="57">
        <f>'Haver Pivoted'!HD12</f>
        <v>920.3</v>
      </c>
      <c r="F13" s="57">
        <f t="shared" si="0"/>
        <v>0</v>
      </c>
      <c r="G13" s="65">
        <f t="shared" si="1"/>
        <v>0</v>
      </c>
      <c r="I13" s="68"/>
    </row>
    <row r="14" spans="1:11" x14ac:dyDescent="0.3">
      <c r="A14" s="57" t="s">
        <v>54</v>
      </c>
      <c r="B14" s="57" t="s">
        <v>101</v>
      </c>
      <c r="C14" s="57" t="str">
        <f>'Haver Pivoted'!A13</f>
        <v>yptmd</v>
      </c>
      <c r="D14">
        <v>799.4</v>
      </c>
      <c r="E14" s="57">
        <f>'Haver Pivoted'!HD13</f>
        <v>790</v>
      </c>
      <c r="F14" s="57">
        <f t="shared" si="0"/>
        <v>-9.3999999999999773</v>
      </c>
      <c r="G14" s="65">
        <f t="shared" si="1"/>
        <v>-1.1758819114335723E-2</v>
      </c>
    </row>
    <row r="15" spans="1:11" x14ac:dyDescent="0.3">
      <c r="A15" s="57" t="s">
        <v>53</v>
      </c>
      <c r="B15" s="57" t="s">
        <v>102</v>
      </c>
      <c r="C15" s="57" t="str">
        <f>'Haver Pivoted'!A14</f>
        <v>yptu</v>
      </c>
      <c r="D15">
        <v>18.600000000000001</v>
      </c>
      <c r="E15" s="57">
        <f>'Haver Pivoted'!HD14</f>
        <v>18.5</v>
      </c>
      <c r="F15" s="57">
        <f t="shared" si="0"/>
        <v>-0.10000000000000142</v>
      </c>
      <c r="G15" s="65">
        <f t="shared" si="1"/>
        <v>-5.3763440860215813E-3</v>
      </c>
    </row>
    <row r="16" spans="1:11" x14ac:dyDescent="0.3">
      <c r="B16" s="57" t="s">
        <v>57</v>
      </c>
      <c r="C16" s="57" t="str">
        <f>'Haver Pivoted'!A15</f>
        <v>gtfp</v>
      </c>
      <c r="D16">
        <v>3812.2</v>
      </c>
      <c r="E16" s="57">
        <f>'Haver Pivoted'!HD15</f>
        <v>3828.2</v>
      </c>
      <c r="F16" s="57">
        <f t="shared" si="0"/>
        <v>16</v>
      </c>
      <c r="G16" s="65">
        <f t="shared" si="1"/>
        <v>4.1970515712711825E-3</v>
      </c>
    </row>
    <row r="17" spans="1:7" x14ac:dyDescent="0.3">
      <c r="B17" s="57" t="s">
        <v>103</v>
      </c>
      <c r="C17" s="57" t="str">
        <f>'Haver Pivoted'!A16</f>
        <v>ypog</v>
      </c>
      <c r="D17">
        <v>116.4</v>
      </c>
      <c r="E17" s="57">
        <f>'Haver Pivoted'!HD16</f>
        <v>116.4</v>
      </c>
      <c r="F17" s="57">
        <f t="shared" si="0"/>
        <v>0</v>
      </c>
      <c r="G17" s="65">
        <f t="shared" si="1"/>
        <v>0</v>
      </c>
    </row>
    <row r="18" spans="1:7" x14ac:dyDescent="0.3">
      <c r="B18" s="57" t="s">
        <v>104</v>
      </c>
      <c r="C18" s="57" t="str">
        <f>'Haver Pivoted'!A17</f>
        <v>yptx</v>
      </c>
      <c r="D18">
        <v>3220.8</v>
      </c>
      <c r="E18" s="57">
        <f>'Haver Pivoted'!HD17</f>
        <v>3244</v>
      </c>
      <c r="F18" s="57">
        <f t="shared" si="0"/>
        <v>23.199999999999818</v>
      </c>
      <c r="G18" s="65">
        <f t="shared" si="1"/>
        <v>7.2031793343268185E-3</v>
      </c>
    </row>
    <row r="19" spans="1:7" x14ac:dyDescent="0.3">
      <c r="B19" s="57" t="s">
        <v>105</v>
      </c>
      <c r="C19" s="57" t="str">
        <f>'Haver Pivoted'!A18</f>
        <v>ytpi</v>
      </c>
      <c r="D19">
        <v>1792.8</v>
      </c>
      <c r="E19" s="57">
        <f>'Haver Pivoted'!HD18</f>
        <v>1791.7</v>
      </c>
      <c r="F19" s="57">
        <f t="shared" si="0"/>
        <v>-1.0999999999999091</v>
      </c>
      <c r="G19" s="65">
        <f t="shared" si="1"/>
        <v>-6.1356537260146644E-4</v>
      </c>
    </row>
    <row r="20" spans="1:7" x14ac:dyDescent="0.3">
      <c r="B20" s="57" t="s">
        <v>106</v>
      </c>
      <c r="C20" s="57" t="str">
        <f>'Haver Pivoted'!A19</f>
        <v>yctlg</v>
      </c>
      <c r="D20">
        <v>0</v>
      </c>
      <c r="E20" s="57">
        <f>'Haver Pivoted'!HD19</f>
        <v>436.3</v>
      </c>
      <c r="F20" s="57">
        <f t="shared" si="0"/>
        <v>436.3</v>
      </c>
      <c r="G20" s="65" t="e">
        <f t="shared" si="1"/>
        <v>#DIV/0!</v>
      </c>
    </row>
    <row r="21" spans="1:7" x14ac:dyDescent="0.3">
      <c r="B21" s="57" t="s">
        <v>107</v>
      </c>
      <c r="C21" s="57" t="str">
        <f>'Haver Pivoted'!A20</f>
        <v>g</v>
      </c>
      <c r="D21">
        <v>4474.1000000000004</v>
      </c>
      <c r="E21" s="57">
        <f>'Haver Pivoted'!HD20</f>
        <v>4486.5</v>
      </c>
      <c r="F21" s="57">
        <f t="shared" si="0"/>
        <v>12.399999999999636</v>
      </c>
      <c r="G21" s="65">
        <f t="shared" si="1"/>
        <v>2.7715071187500583E-3</v>
      </c>
    </row>
    <row r="22" spans="1:7" x14ac:dyDescent="0.3">
      <c r="B22" s="57" t="s">
        <v>108</v>
      </c>
      <c r="C22" s="57" t="str">
        <f>'Haver Pivoted'!A21</f>
        <v>grcsi</v>
      </c>
      <c r="D22">
        <v>1694.8</v>
      </c>
      <c r="E22" s="57">
        <f>'Haver Pivoted'!HD21</f>
        <v>1688</v>
      </c>
      <c r="F22" s="57">
        <f t="shared" si="0"/>
        <v>-6.7999999999999545</v>
      </c>
      <c r="G22" s="65">
        <f t="shared" si="1"/>
        <v>-4.0122728345527228E-3</v>
      </c>
    </row>
    <row r="23" spans="1:7" x14ac:dyDescent="0.3">
      <c r="B23" s="57" t="s">
        <v>96</v>
      </c>
      <c r="C23" s="57" t="str">
        <f>'Haver Pivoted'!A22</f>
        <v>dc</v>
      </c>
      <c r="D23">
        <v>123.68600000000001</v>
      </c>
      <c r="E23" s="57">
        <f>'Haver Pivoted'!HD22</f>
        <v>123.71</v>
      </c>
      <c r="F23" s="57">
        <f t="shared" si="0"/>
        <v>2.3999999999986699E-2</v>
      </c>
      <c r="G23" s="65">
        <f t="shared" si="1"/>
        <v>1.9403974580782543E-4</v>
      </c>
    </row>
    <row r="24" spans="1:7" x14ac:dyDescent="0.3">
      <c r="A24" s="57" t="s">
        <v>109</v>
      </c>
      <c r="B24" s="57" t="s">
        <v>110</v>
      </c>
      <c r="C24" s="57" t="str">
        <f>'Haver Pivoted'!A23</f>
        <v>gf</v>
      </c>
      <c r="D24">
        <v>1656.8</v>
      </c>
      <c r="E24" s="57">
        <f>'Haver Pivoted'!HD23</f>
        <v>1656.9</v>
      </c>
      <c r="F24" s="57">
        <f t="shared" si="0"/>
        <v>0.10000000000013642</v>
      </c>
      <c r="G24" s="65">
        <f t="shared" si="1"/>
        <v>6.0357315306697505E-5</v>
      </c>
    </row>
    <row r="25" spans="1:7" x14ac:dyDescent="0.3">
      <c r="A25" s="57" t="s">
        <v>109</v>
      </c>
      <c r="B25" s="57" t="s">
        <v>111</v>
      </c>
      <c r="C25" s="57" t="str">
        <f>'Haver Pivoted'!A24</f>
        <v>gs</v>
      </c>
      <c r="D25">
        <v>2817.3</v>
      </c>
      <c r="E25" s="57">
        <f>'Haver Pivoted'!HD24</f>
        <v>2829.6</v>
      </c>
      <c r="F25" s="57">
        <f t="shared" si="0"/>
        <v>12.299999999999727</v>
      </c>
      <c r="G25" s="65">
        <f t="shared" si="1"/>
        <v>4.3658822276646881E-3</v>
      </c>
    </row>
    <row r="26" spans="1:7" x14ac:dyDescent="0.3">
      <c r="B26" s="57" t="s">
        <v>112</v>
      </c>
      <c r="C26" s="57" t="str">
        <f>'Haver Pivoted'!A25</f>
        <v>gfh</v>
      </c>
      <c r="D26">
        <v>1353.4</v>
      </c>
      <c r="E26" s="57">
        <f>'Haver Pivoted'!HD25</f>
        <v>1352.6</v>
      </c>
      <c r="F26" s="57">
        <f t="shared" si="0"/>
        <v>-0.8000000000001819</v>
      </c>
      <c r="G26" s="65">
        <f t="shared" si="1"/>
        <v>-5.911038865081882E-4</v>
      </c>
    </row>
    <row r="27" spans="1:7" x14ac:dyDescent="0.3">
      <c r="B27" s="57" t="s">
        <v>113</v>
      </c>
      <c r="C27" s="57" t="str">
        <f>'Haver Pivoted'!A26</f>
        <v>gsh</v>
      </c>
      <c r="D27">
        <v>2046.5</v>
      </c>
      <c r="E27" s="57">
        <f>'Haver Pivoted'!HD26</f>
        <v>2052.1</v>
      </c>
      <c r="F27" s="57">
        <f t="shared" si="0"/>
        <v>5.5999999999999091</v>
      </c>
      <c r="G27" s="65">
        <f t="shared" si="1"/>
        <v>2.7363791839725917E-3</v>
      </c>
    </row>
    <row r="28" spans="1:7" x14ac:dyDescent="0.3">
      <c r="A28" s="57" t="s">
        <v>58</v>
      </c>
      <c r="B28" s="57" t="s">
        <v>114</v>
      </c>
      <c r="C28" s="57" t="s">
        <v>115</v>
      </c>
      <c r="D28">
        <v>2648.4</v>
      </c>
      <c r="E28" s="57">
        <f>'Haver Pivoted'!HD27</f>
        <v>2638.6</v>
      </c>
      <c r="F28" s="57">
        <f t="shared" si="0"/>
        <v>-9.8000000000001819</v>
      </c>
      <c r="G28" s="65">
        <f t="shared" si="1"/>
        <v>-3.7003473795499853E-3</v>
      </c>
    </row>
    <row r="29" spans="1:7" x14ac:dyDescent="0.3">
      <c r="A29" s="57" t="s">
        <v>58</v>
      </c>
      <c r="B29" s="57" t="s">
        <v>116</v>
      </c>
      <c r="C29" s="57" t="s">
        <v>117</v>
      </c>
      <c r="D29">
        <v>202</v>
      </c>
      <c r="E29" s="57">
        <f>'Haver Pivoted'!HD28</f>
        <v>202.6</v>
      </c>
      <c r="F29" s="57">
        <f t="shared" si="0"/>
        <v>0.59999999999999432</v>
      </c>
      <c r="G29" s="65">
        <f t="shared" si="1"/>
        <v>2.9702970297029421E-3</v>
      </c>
    </row>
    <row r="30" spans="1:7" x14ac:dyDescent="0.3">
      <c r="A30" s="57" t="s">
        <v>58</v>
      </c>
      <c r="B30" s="57" t="s">
        <v>118</v>
      </c>
      <c r="C30" s="57" t="s">
        <v>119</v>
      </c>
      <c r="D30">
        <v>0</v>
      </c>
      <c r="E30" s="57">
        <f>'Haver Pivoted'!HD29</f>
        <v>334.6</v>
      </c>
      <c r="F30" s="57">
        <f t="shared" si="0"/>
        <v>334.6</v>
      </c>
      <c r="G30" s="65" t="e">
        <f t="shared" si="1"/>
        <v>#DIV/0!</v>
      </c>
    </row>
    <row r="31" spans="1:7" x14ac:dyDescent="0.3">
      <c r="A31" s="57" t="s">
        <v>58</v>
      </c>
      <c r="B31" s="57" t="s">
        <v>120</v>
      </c>
      <c r="C31" s="57" t="s">
        <v>121</v>
      </c>
      <c r="D31">
        <v>1670.9</v>
      </c>
      <c r="E31" s="57">
        <f>'Haver Pivoted'!HD30</f>
        <v>1664</v>
      </c>
      <c r="F31" s="57">
        <f t="shared" si="0"/>
        <v>-6.9000000000000909</v>
      </c>
      <c r="G31" s="65">
        <f t="shared" si="1"/>
        <v>-4.1295110419534925E-3</v>
      </c>
    </row>
    <row r="32" spans="1:7" x14ac:dyDescent="0.3">
      <c r="A32" s="57" t="s">
        <v>122</v>
      </c>
      <c r="B32" s="57" t="s">
        <v>123</v>
      </c>
      <c r="C32" s="57" t="str">
        <f>'Haver Pivoted'!A31</f>
        <v>gftfp</v>
      </c>
      <c r="D32">
        <v>2837.9</v>
      </c>
      <c r="E32" s="57">
        <f>'Haver Pivoted'!HD31</f>
        <v>2841.4</v>
      </c>
      <c r="F32" s="57">
        <f t="shared" si="0"/>
        <v>3.5</v>
      </c>
      <c r="G32" s="65">
        <f t="shared" si="1"/>
        <v>1.2333063180520808E-3</v>
      </c>
    </row>
    <row r="33" spans="1:10" x14ac:dyDescent="0.3">
      <c r="A33" s="57" t="s">
        <v>51</v>
      </c>
      <c r="B33" s="56" t="s">
        <v>124</v>
      </c>
      <c r="C33" s="57" t="str">
        <f>'Haver Pivoted'!A32</f>
        <v>gfeg</v>
      </c>
      <c r="D33">
        <v>953.4</v>
      </c>
      <c r="E33" s="57">
        <f>'Haver Pivoted'!HD32</f>
        <v>953.4</v>
      </c>
      <c r="F33" s="57">
        <f t="shared" si="0"/>
        <v>0</v>
      </c>
      <c r="G33" s="65">
        <f t="shared" si="1"/>
        <v>0</v>
      </c>
    </row>
    <row r="34" spans="1:10" x14ac:dyDescent="0.3">
      <c r="A34" s="57" t="s">
        <v>58</v>
      </c>
      <c r="B34" s="57" t="s">
        <v>125</v>
      </c>
      <c r="C34" s="57" t="str">
        <f>'Haver Pivoted'!A33</f>
        <v>gsrpt</v>
      </c>
      <c r="D34">
        <v>572.4</v>
      </c>
      <c r="E34" s="57">
        <f>'Haver Pivoted'!HD33</f>
        <v>605.4</v>
      </c>
      <c r="F34" s="57">
        <f t="shared" si="0"/>
        <v>33</v>
      </c>
      <c r="G34" s="65">
        <f t="shared" si="1"/>
        <v>5.7651991614255771E-2</v>
      </c>
    </row>
    <row r="35" spans="1:10" x14ac:dyDescent="0.3">
      <c r="A35" s="57" t="s">
        <v>58</v>
      </c>
      <c r="B35" s="57" t="s">
        <v>126</v>
      </c>
      <c r="C35" s="57" t="str">
        <f>'Haver Pivoted'!A34</f>
        <v>gsrpri</v>
      </c>
      <c r="D35">
        <v>1590.8</v>
      </c>
      <c r="E35" s="57">
        <f>'Haver Pivoted'!HD34</f>
        <v>1589.1</v>
      </c>
      <c r="F35" s="57">
        <f t="shared" si="0"/>
        <v>-1.7000000000000455</v>
      </c>
      <c r="G35" s="65">
        <f t="shared" si="1"/>
        <v>-1.0686447070656559E-3</v>
      </c>
    </row>
    <row r="36" spans="1:10" x14ac:dyDescent="0.3">
      <c r="A36" s="57" t="s">
        <v>58</v>
      </c>
      <c r="B36" s="57" t="s">
        <v>127</v>
      </c>
      <c r="C36" s="57" t="str">
        <f>'Haver Pivoted'!A35</f>
        <v>gsrcp</v>
      </c>
      <c r="D36">
        <v>0</v>
      </c>
      <c r="E36" s="57">
        <f>'Haver Pivoted'!HD35</f>
        <v>101.6</v>
      </c>
      <c r="F36" s="57">
        <f t="shared" si="0"/>
        <v>101.6</v>
      </c>
      <c r="G36" s="65" t="e">
        <f t="shared" si="1"/>
        <v>#DIV/0!</v>
      </c>
    </row>
    <row r="37" spans="1:10" x14ac:dyDescent="0.3">
      <c r="A37" s="57" t="s">
        <v>58</v>
      </c>
      <c r="B37" s="57" t="s">
        <v>128</v>
      </c>
      <c r="C37" s="57" t="str">
        <f>'Haver Pivoted'!A36</f>
        <v>gsrs</v>
      </c>
      <c r="D37">
        <v>23.9</v>
      </c>
      <c r="E37" s="57">
        <f>'Haver Pivoted'!HD36</f>
        <v>24</v>
      </c>
      <c r="F37" s="57">
        <f t="shared" si="0"/>
        <v>0.10000000000000142</v>
      </c>
      <c r="G37" s="65">
        <f t="shared" si="1"/>
        <v>4.1841004184101013E-3</v>
      </c>
    </row>
    <row r="38" spans="1:10" x14ac:dyDescent="0.3">
      <c r="A38" s="57" t="s">
        <v>57</v>
      </c>
      <c r="B38" s="57" t="s">
        <v>129</v>
      </c>
      <c r="C38" s="57" t="str">
        <f>'Haver Pivoted'!A37</f>
        <v>gstfp</v>
      </c>
      <c r="D38">
        <v>974.3</v>
      </c>
      <c r="E38" s="57">
        <f>'Haver Pivoted'!HD37</f>
        <v>986.8</v>
      </c>
      <c r="F38" s="57">
        <f t="shared" si="0"/>
        <v>12.5</v>
      </c>
      <c r="G38" s="65">
        <f t="shared" si="1"/>
        <v>1.2829723904341579E-2</v>
      </c>
    </row>
    <row r="39" spans="1:10" x14ac:dyDescent="0.3">
      <c r="B39" s="57" t="s">
        <v>130</v>
      </c>
      <c r="C39" s="57" t="str">
        <f>'Haver Pivoted'!A38</f>
        <v>gset</v>
      </c>
      <c r="D39">
        <v>3713.1</v>
      </c>
      <c r="E39" s="57">
        <f>'Haver Pivoted'!HD38</f>
        <v>3737.6</v>
      </c>
      <c r="F39" s="57">
        <f t="shared" si="0"/>
        <v>24.5</v>
      </c>
      <c r="G39" s="65">
        <f t="shared" si="1"/>
        <v>6.5982602138374945E-3</v>
      </c>
    </row>
    <row r="40" spans="1:10" x14ac:dyDescent="0.3">
      <c r="B40" s="57" t="s">
        <v>131</v>
      </c>
      <c r="C40" s="57" t="str">
        <f>'Haver Pivoted'!A39</f>
        <v>gfeghhx</v>
      </c>
      <c r="D40">
        <v>638.77099999999996</v>
      </c>
      <c r="E40" s="57">
        <f>'Haver Pivoted'!HD39</f>
        <v>638.77099999999996</v>
      </c>
      <c r="F40" s="57">
        <f t="shared" si="0"/>
        <v>0</v>
      </c>
      <c r="G40" s="65">
        <f t="shared" si="1"/>
        <v>0</v>
      </c>
    </row>
    <row r="41" spans="1:10" x14ac:dyDescent="0.3">
      <c r="A41" s="57" t="s">
        <v>132</v>
      </c>
      <c r="B41" s="57" t="s">
        <v>133</v>
      </c>
      <c r="C41" s="57" t="str">
        <f>'Haver Pivoted'!A40</f>
        <v>gfeghdx</v>
      </c>
      <c r="D41">
        <v>605.63699999999994</v>
      </c>
      <c r="E41" s="57">
        <f>'Haver Pivoted'!HD40</f>
        <v>605.63699999999994</v>
      </c>
      <c r="F41" s="57">
        <f t="shared" si="0"/>
        <v>0</v>
      </c>
      <c r="G41" s="65">
        <f t="shared" si="1"/>
        <v>0</v>
      </c>
    </row>
    <row r="42" spans="1:10" x14ac:dyDescent="0.3">
      <c r="A42" s="57" t="s">
        <v>51</v>
      </c>
      <c r="B42" s="57" t="s">
        <v>134</v>
      </c>
      <c r="C42" s="57" t="str">
        <f>'Haver Pivoted'!A41</f>
        <v>gfeigx</v>
      </c>
      <c r="D42">
        <v>140.26400000000001</v>
      </c>
      <c r="E42" s="57">
        <f>'Haver Pivoted'!HD41</f>
        <v>140.262</v>
      </c>
      <c r="F42" s="57">
        <f t="shared" si="0"/>
        <v>-2.0000000000095497E-3</v>
      </c>
      <c r="G42" s="65">
        <f t="shared" si="1"/>
        <v>-1.4258826213494193E-5</v>
      </c>
    </row>
    <row r="43" spans="1:10" x14ac:dyDescent="0.3">
      <c r="B43" s="57" t="s">
        <v>135</v>
      </c>
      <c r="C43" s="57" t="str">
        <f>'Haver Pivoted'!A42</f>
        <v>gfsub</v>
      </c>
      <c r="D43">
        <v>113.4</v>
      </c>
      <c r="E43" s="57">
        <f>'Haver Pivoted'!HD42</f>
        <v>113.4</v>
      </c>
      <c r="F43" s="57">
        <f t="shared" si="0"/>
        <v>0</v>
      </c>
      <c r="G43" s="65">
        <f t="shared" si="1"/>
        <v>0</v>
      </c>
      <c r="I43" s="69"/>
      <c r="J43" s="66"/>
    </row>
    <row r="44" spans="1:10" x14ac:dyDescent="0.3">
      <c r="B44" s="57" t="s">
        <v>136</v>
      </c>
      <c r="C44" s="57" t="str">
        <f>'Haver Pivoted'!A43</f>
        <v>gssub</v>
      </c>
      <c r="D44">
        <v>0.7</v>
      </c>
      <c r="E44" s="57">
        <f>'Haver Pivoted'!HD43</f>
        <v>0.7</v>
      </c>
      <c r="F44" s="57">
        <f t="shared" si="0"/>
        <v>0</v>
      </c>
      <c r="G44" s="65">
        <f t="shared" si="1"/>
        <v>0</v>
      </c>
      <c r="I44" s="58"/>
      <c r="J44" s="66"/>
    </row>
    <row r="45" spans="1:10" x14ac:dyDescent="0.3">
      <c r="B45" s="57" t="s">
        <v>52</v>
      </c>
      <c r="C45" s="57" t="str">
        <f>'Haver Pivoted'!A44</f>
        <v>gsub</v>
      </c>
      <c r="D45">
        <v>114.1</v>
      </c>
      <c r="E45" s="57">
        <f>'Haver Pivoted'!HD44</f>
        <v>114.1</v>
      </c>
      <c r="F45" s="57">
        <f t="shared" si="0"/>
        <v>0</v>
      </c>
      <c r="G45" s="65">
        <f t="shared" si="1"/>
        <v>0</v>
      </c>
      <c r="I45" s="58"/>
      <c r="J45" s="67"/>
    </row>
    <row r="46" spans="1:10" x14ac:dyDescent="0.3">
      <c r="A46" s="57" t="s">
        <v>56</v>
      </c>
      <c r="B46" s="57" t="s">
        <v>56</v>
      </c>
      <c r="C46" s="57" t="str">
        <f>'Haver Pivoted'!A45</f>
        <v>gftfpe</v>
      </c>
      <c r="D46">
        <v>0</v>
      </c>
      <c r="E46" s="57">
        <f>'Haver Pivoted'!HD45</f>
        <v>0</v>
      </c>
      <c r="F46" s="57">
        <f t="shared" si="0"/>
        <v>0</v>
      </c>
      <c r="G46" s="65" t="e">
        <f t="shared" si="1"/>
        <v>#DIV/0!</v>
      </c>
      <c r="I46" s="58"/>
      <c r="J46" s="67"/>
    </row>
    <row r="47" spans="1:10" x14ac:dyDescent="0.3">
      <c r="B47" s="57" t="s">
        <v>137</v>
      </c>
      <c r="C47" s="57" t="str">
        <f>'Haver Pivoted'!A46</f>
        <v>gftfpr</v>
      </c>
      <c r="D47">
        <v>0</v>
      </c>
      <c r="E47" s="57">
        <f>'Haver Pivoted'!HD46</f>
        <v>0</v>
      </c>
      <c r="F47" s="57">
        <f t="shared" si="0"/>
        <v>0</v>
      </c>
      <c r="G47" s="65" t="e">
        <f t="shared" si="1"/>
        <v>#DIV/0!</v>
      </c>
      <c r="I47" s="58"/>
      <c r="J47" s="67"/>
    </row>
    <row r="48" spans="1:10" x14ac:dyDescent="0.3">
      <c r="A48" s="57" t="s">
        <v>50</v>
      </c>
      <c r="B48" s="57" t="s">
        <v>138</v>
      </c>
      <c r="C48" s="57" t="str">
        <f>'Haver Pivoted'!A47</f>
        <v>gftfpp</v>
      </c>
      <c r="D48">
        <v>0</v>
      </c>
      <c r="E48" s="57">
        <f>'Haver Pivoted'!HD47</f>
        <v>0</v>
      </c>
      <c r="F48" s="57">
        <f t="shared" si="0"/>
        <v>0</v>
      </c>
      <c r="G48" s="65" t="e">
        <f t="shared" si="1"/>
        <v>#DIV/0!</v>
      </c>
      <c r="J48" s="67"/>
    </row>
    <row r="49" spans="1:9" x14ac:dyDescent="0.3">
      <c r="A49" s="57" t="s">
        <v>49</v>
      </c>
      <c r="B49" s="57" t="s">
        <v>139</v>
      </c>
      <c r="C49" s="57" t="str">
        <f>'Haver Pivoted'!A48</f>
        <v>gftfpv</v>
      </c>
      <c r="D49">
        <v>8.1</v>
      </c>
      <c r="E49" s="57">
        <f>'Haver Pivoted'!HD48</f>
        <v>8.1</v>
      </c>
      <c r="F49" s="57">
        <f t="shared" si="0"/>
        <v>0</v>
      </c>
      <c r="G49" s="65">
        <f t="shared" si="1"/>
        <v>0</v>
      </c>
      <c r="H49" s="59"/>
      <c r="I49" s="59"/>
    </row>
    <row r="50" spans="1:9" x14ac:dyDescent="0.3">
      <c r="A50" s="57" t="s">
        <v>140</v>
      </c>
      <c r="B50" s="54" t="s">
        <v>141</v>
      </c>
      <c r="C50" s="57" t="str">
        <f>'Haver Pivoted'!A49</f>
        <v>gfsubp</v>
      </c>
      <c r="D50">
        <v>0</v>
      </c>
      <c r="E50" s="57">
        <f>'Haver Pivoted'!HD49</f>
        <v>0</v>
      </c>
      <c r="F50" s="57">
        <f t="shared" si="0"/>
        <v>0</v>
      </c>
      <c r="G50" s="65" t="e">
        <f t="shared" si="1"/>
        <v>#DIV/0!</v>
      </c>
      <c r="H50" s="72"/>
      <c r="I50" s="73"/>
    </row>
    <row r="51" spans="1:9" x14ac:dyDescent="0.3">
      <c r="A51" s="57" t="s">
        <v>52</v>
      </c>
      <c r="B51" s="54" t="s">
        <v>142</v>
      </c>
      <c r="C51" s="57" t="str">
        <f>'Haver Pivoted'!A50</f>
        <v>gfsubg</v>
      </c>
      <c r="D51">
        <v>0.3</v>
      </c>
      <c r="E51" s="57">
        <f>'Haver Pivoted'!HD50</f>
        <v>0.3</v>
      </c>
      <c r="F51" s="57">
        <f t="shared" si="0"/>
        <v>0</v>
      </c>
      <c r="G51" s="65">
        <f t="shared" si="1"/>
        <v>0</v>
      </c>
      <c r="H51" s="71"/>
      <c r="I51" s="70"/>
    </row>
    <row r="52" spans="1:9" x14ac:dyDescent="0.3">
      <c r="A52" s="57" t="s">
        <v>52</v>
      </c>
      <c r="B52" s="54" t="s">
        <v>143</v>
      </c>
      <c r="C52" s="57" t="str">
        <f>'Haver Pivoted'!A51</f>
        <v>gfsube</v>
      </c>
      <c r="D52">
        <v>0</v>
      </c>
      <c r="E52" s="57">
        <f>'Haver Pivoted'!HD51</f>
        <v>0</v>
      </c>
      <c r="F52" s="57">
        <f t="shared" si="0"/>
        <v>0</v>
      </c>
      <c r="G52" s="65" t="e">
        <f t="shared" si="1"/>
        <v>#DIV/0!</v>
      </c>
      <c r="H52" s="53"/>
      <c r="I52" s="73"/>
    </row>
    <row r="53" spans="1:9" x14ac:dyDescent="0.3">
      <c r="A53" s="57" t="s">
        <v>52</v>
      </c>
      <c r="B53" s="54" t="s">
        <v>144</v>
      </c>
      <c r="C53" s="57" t="str">
        <f>'Haver Pivoted'!A52</f>
        <v>gfsubs</v>
      </c>
      <c r="D53">
        <v>20.2</v>
      </c>
      <c r="E53" s="57">
        <f>'Haver Pivoted'!HD52</f>
        <v>20.2</v>
      </c>
      <c r="F53" s="57">
        <f t="shared" si="0"/>
        <v>0</v>
      </c>
      <c r="G53" s="65">
        <f t="shared" si="1"/>
        <v>0</v>
      </c>
      <c r="H53" s="53"/>
      <c r="I53" s="73"/>
    </row>
    <row r="54" spans="1:9" x14ac:dyDescent="0.3">
      <c r="A54" s="57" t="s">
        <v>52</v>
      </c>
      <c r="B54" s="54" t="s">
        <v>145</v>
      </c>
      <c r="C54" s="57" t="str">
        <f>'Haver Pivoted'!A53</f>
        <v>gfsubf</v>
      </c>
      <c r="D54">
        <v>0</v>
      </c>
      <c r="E54" s="57">
        <f>'Haver Pivoted'!HD53</f>
        <v>0</v>
      </c>
      <c r="F54" s="57">
        <f t="shared" si="0"/>
        <v>0</v>
      </c>
      <c r="G54" s="65" t="e">
        <f t="shared" si="1"/>
        <v>#DIV/0!</v>
      </c>
      <c r="H54" s="72"/>
      <c r="I54" s="73"/>
    </row>
    <row r="55" spans="1:9" x14ac:dyDescent="0.3">
      <c r="A55" s="57" t="s">
        <v>146</v>
      </c>
      <c r="B55" s="54" t="s">
        <v>147</v>
      </c>
      <c r="C55" s="57" t="str">
        <f>'Haver Pivoted'!A54</f>
        <v>gfsubv</v>
      </c>
      <c r="D55">
        <v>5.9</v>
      </c>
      <c r="E55" s="57">
        <f>'Haver Pivoted'!HD54</f>
        <v>5.9</v>
      </c>
      <c r="F55" s="57">
        <f t="shared" si="0"/>
        <v>0</v>
      </c>
      <c r="G55" s="65">
        <f t="shared" si="1"/>
        <v>0</v>
      </c>
    </row>
    <row r="56" spans="1:9" x14ac:dyDescent="0.3">
      <c r="A56" s="57" t="s">
        <v>52</v>
      </c>
      <c r="B56" s="54" t="s">
        <v>148</v>
      </c>
      <c r="C56" s="57" t="str">
        <f>'Haver Pivoted'!A55</f>
        <v>gfsubk</v>
      </c>
      <c r="D56">
        <v>0</v>
      </c>
      <c r="E56" s="57">
        <f>'Haver Pivoted'!HD55</f>
        <v>0</v>
      </c>
      <c r="F56" s="57">
        <f t="shared" si="0"/>
        <v>0</v>
      </c>
      <c r="G56" s="65" t="e">
        <f t="shared" si="1"/>
        <v>#DIV/0!</v>
      </c>
      <c r="H56" s="72"/>
      <c r="I56" s="73"/>
    </row>
    <row r="57" spans="1:9" x14ac:dyDescent="0.3">
      <c r="A57" s="57" t="s">
        <v>51</v>
      </c>
      <c r="B57" s="56" t="s">
        <v>149</v>
      </c>
      <c r="C57" s="57" t="str">
        <f>'Haver Pivoted'!A56</f>
        <v>gfegc</v>
      </c>
      <c r="D57">
        <v>0</v>
      </c>
      <c r="E57" s="57">
        <f>'Haver Pivoted'!HD56</f>
        <v>0</v>
      </c>
      <c r="F57" s="57">
        <f t="shared" si="0"/>
        <v>0</v>
      </c>
      <c r="G57" s="65"/>
      <c r="H57" s="72"/>
      <c r="I57" s="73"/>
    </row>
    <row r="58" spans="1:9" x14ac:dyDescent="0.3">
      <c r="A58" s="57" t="s">
        <v>51</v>
      </c>
      <c r="B58" s="56" t="s">
        <v>150</v>
      </c>
      <c r="C58" s="57" t="str">
        <f>'Haver Pivoted'!A57</f>
        <v>gfege</v>
      </c>
      <c r="D58">
        <v>68.3</v>
      </c>
      <c r="E58" s="57">
        <f>'Haver Pivoted'!HD57</f>
        <v>68.3</v>
      </c>
      <c r="F58" s="57">
        <f t="shared" si="0"/>
        <v>0</v>
      </c>
      <c r="G58" s="65">
        <f t="shared" si="1"/>
        <v>0</v>
      </c>
      <c r="H58" s="72"/>
      <c r="I58" s="73"/>
    </row>
    <row r="59" spans="1:9" x14ac:dyDescent="0.3">
      <c r="A59" s="57" t="s">
        <v>151</v>
      </c>
      <c r="B59" s="56" t="s">
        <v>152</v>
      </c>
      <c r="C59" s="57" t="str">
        <f>'Haver Pivoted'!A58</f>
        <v>gfegv</v>
      </c>
      <c r="D59">
        <v>7.5</v>
      </c>
      <c r="E59" s="57">
        <f>'Haver Pivoted'!HD58</f>
        <v>7.5</v>
      </c>
      <c r="F59" s="57">
        <f t="shared" si="0"/>
        <v>0</v>
      </c>
      <c r="G59" s="65">
        <f t="shared" si="1"/>
        <v>0</v>
      </c>
    </row>
    <row r="60" spans="1:9" x14ac:dyDescent="0.3">
      <c r="A60" s="57" t="s">
        <v>53</v>
      </c>
      <c r="B60" s="57" t="s">
        <v>153</v>
      </c>
      <c r="C60" s="57" t="str">
        <f>'Haver Pivoted'!A59</f>
        <v>yptue</v>
      </c>
      <c r="D60">
        <v>0.3</v>
      </c>
      <c r="E60" s="57">
        <f>'Haver Pivoted'!HD59</f>
        <v>0.3</v>
      </c>
      <c r="F60" s="57">
        <f t="shared" si="0"/>
        <v>0</v>
      </c>
      <c r="G60" s="65">
        <f t="shared" si="1"/>
        <v>0</v>
      </c>
    </row>
    <row r="61" spans="1:9" x14ac:dyDescent="0.3">
      <c r="A61" s="57" t="s">
        <v>53</v>
      </c>
      <c r="B61" s="57" t="s">
        <v>154</v>
      </c>
      <c r="C61" s="57" t="str">
        <f>'Haver Pivoted'!A60</f>
        <v>yptup</v>
      </c>
      <c r="D61">
        <v>0.2</v>
      </c>
      <c r="E61" s="57">
        <f>'Haver Pivoted'!HD60</f>
        <v>0.2</v>
      </c>
      <c r="F61" s="57">
        <f t="shared" si="0"/>
        <v>0</v>
      </c>
      <c r="G61" s="65">
        <f t="shared" si="1"/>
        <v>0</v>
      </c>
    </row>
    <row r="62" spans="1:9" x14ac:dyDescent="0.3">
      <c r="A62" s="57" t="s">
        <v>53</v>
      </c>
      <c r="B62" s="57" t="s">
        <v>155</v>
      </c>
      <c r="C62" s="57" t="str">
        <f>'Haver Pivoted'!A61</f>
        <v>yptuc</v>
      </c>
      <c r="D62">
        <v>0</v>
      </c>
      <c r="E62" s="57">
        <f>'Haver Pivoted'!HD61</f>
        <v>0</v>
      </c>
      <c r="F62" s="57">
        <f t="shared" si="0"/>
        <v>0</v>
      </c>
      <c r="G62" s="65" t="e">
        <f t="shared" si="1"/>
        <v>#DIV/0!</v>
      </c>
    </row>
    <row r="63" spans="1:9" x14ac:dyDescent="0.3">
      <c r="B63" s="57" t="s">
        <v>156</v>
      </c>
      <c r="C63" s="57" t="str">
        <f>'Haver Pivoted'!A62</f>
        <v>gftfpu</v>
      </c>
      <c r="D63">
        <v>0.5</v>
      </c>
      <c r="E63" s="57">
        <f>'Haver Pivoted'!HD62</f>
        <v>0.5</v>
      </c>
      <c r="F63" s="57">
        <f t="shared" si="0"/>
        <v>0</v>
      </c>
      <c r="G63" s="65">
        <f t="shared" si="1"/>
        <v>0</v>
      </c>
      <c r="H63" s="56"/>
      <c r="I63" s="56"/>
    </row>
    <row r="64" spans="1:9" x14ac:dyDescent="0.3">
      <c r="A64" s="57" t="s">
        <v>53</v>
      </c>
      <c r="B64" s="60" t="s">
        <v>157</v>
      </c>
      <c r="C64" s="57" t="str">
        <f>'Haver Pivoted'!A63</f>
        <v>yptub</v>
      </c>
      <c r="D64">
        <v>0</v>
      </c>
      <c r="E64" s="57">
        <f>'Haver Pivoted'!HD63</f>
        <v>0</v>
      </c>
      <c r="F64" s="57">
        <f t="shared" si="0"/>
        <v>0</v>
      </c>
      <c r="G64" s="65" t="e">
        <f t="shared" si="1"/>
        <v>#DIV/0!</v>
      </c>
      <c r="H64" s="56"/>
      <c r="I64" s="56"/>
    </row>
    <row r="65" spans="1:9" x14ac:dyDescent="0.3">
      <c r="A65" s="57" t="s">
        <v>53</v>
      </c>
      <c r="B65" s="57" t="s">
        <v>158</v>
      </c>
      <c r="C65" s="57" t="str">
        <f>'Haver Pivoted'!A64</f>
        <v>yptol</v>
      </c>
      <c r="D65">
        <v>0</v>
      </c>
      <c r="E65" s="57">
        <f>'Haver Pivoted'!HD64</f>
        <v>0</v>
      </c>
      <c r="F65" s="57">
        <f t="shared" si="0"/>
        <v>0</v>
      </c>
      <c r="G65" s="65" t="e">
        <f t="shared" si="1"/>
        <v>#DIV/0!</v>
      </c>
      <c r="H65" s="56"/>
      <c r="I65" s="56"/>
    </row>
    <row r="66" spans="1:9" x14ac:dyDescent="0.3">
      <c r="B66" s="57" t="s">
        <v>159</v>
      </c>
      <c r="C66" s="57" t="str">
        <f>'Haver Pivoted'!A65</f>
        <v>gfctp</v>
      </c>
      <c r="D66">
        <v>205.5</v>
      </c>
      <c r="E66" s="57">
        <f>'Haver Pivoted'!HD65</f>
        <v>206.4</v>
      </c>
      <c r="F66" s="57">
        <f t="shared" si="0"/>
        <v>0.90000000000000568</v>
      </c>
      <c r="G66" s="65">
        <f t="shared" si="1"/>
        <v>4.3795620437956477E-3</v>
      </c>
      <c r="H66" s="61"/>
      <c r="I66" s="61"/>
    </row>
    <row r="67" spans="1:9" x14ac:dyDescent="0.3">
      <c r="A67" s="57" t="s">
        <v>57</v>
      </c>
      <c r="B67" s="55" t="s">
        <v>160</v>
      </c>
      <c r="C67" s="57" t="str">
        <f>'Haver Pivoted'!A66</f>
        <v>gftffx</v>
      </c>
      <c r="D67">
        <v>110.152</v>
      </c>
      <c r="E67" s="57">
        <f>'Haver Pivoted'!HD66</f>
        <v>113.163</v>
      </c>
      <c r="F67" s="57">
        <f t="shared" si="0"/>
        <v>3.0109999999999957</v>
      </c>
      <c r="G67" s="65">
        <f t="shared" si="1"/>
        <v>2.7334955334446905E-2</v>
      </c>
      <c r="H67" s="61"/>
      <c r="I67" s="61"/>
    </row>
    <row r="68" spans="1:9" x14ac:dyDescent="0.3">
      <c r="B68" s="57" t="s">
        <v>161</v>
      </c>
      <c r="C68" s="57" t="str">
        <f>'Haver Pivoted'!A67</f>
        <v>cpiu</v>
      </c>
      <c r="D68">
        <v>295.88400000000001</v>
      </c>
      <c r="E68" s="57">
        <f>'Haver Pivoted'!HD67</f>
        <v>295.88400000000001</v>
      </c>
      <c r="F68" s="57">
        <f t="shared" ref="F68:F81" si="2">E68-D68</f>
        <v>0</v>
      </c>
      <c r="G68" s="65">
        <f t="shared" ref="G68:G81" si="3">F68/D68</f>
        <v>0</v>
      </c>
      <c r="H68" s="61"/>
      <c r="I68" s="61"/>
    </row>
    <row r="69" spans="1:9" x14ac:dyDescent="0.3">
      <c r="C69" s="57" t="str">
        <f>'Haver Pivoted'!A68</f>
        <v>pcw</v>
      </c>
      <c r="D69">
        <v>291.26533333333299</v>
      </c>
      <c r="E69" s="57">
        <f>'Haver Pivoted'!HD68</f>
        <v>291.26533333333299</v>
      </c>
      <c r="F69" s="57">
        <f t="shared" si="2"/>
        <v>0</v>
      </c>
      <c r="G69" s="65">
        <f t="shared" si="3"/>
        <v>0</v>
      </c>
    </row>
    <row r="70" spans="1:9" x14ac:dyDescent="0.3">
      <c r="B70" s="57" t="s">
        <v>162</v>
      </c>
      <c r="C70" s="57" t="str">
        <f>'Haver Pivoted'!A69</f>
        <v>gdppothq</v>
      </c>
      <c r="D70">
        <v>20197.900000000001</v>
      </c>
      <c r="E70" s="57">
        <f>'Haver Pivoted'!HD69</f>
        <v>20197.900000000001</v>
      </c>
      <c r="F70" s="57">
        <f t="shared" si="2"/>
        <v>0</v>
      </c>
      <c r="G70" s="65">
        <f t="shared" si="3"/>
        <v>0</v>
      </c>
    </row>
    <row r="71" spans="1:9" x14ac:dyDescent="0.3">
      <c r="B71" s="57" t="s">
        <v>163</v>
      </c>
      <c r="C71" s="57" t="str">
        <f>'Haver Pivoted'!A70</f>
        <v>gdppotq</v>
      </c>
      <c r="D71">
        <v>25289.599999999999</v>
      </c>
      <c r="E71" s="57">
        <f>'Haver Pivoted'!HD70</f>
        <v>25289.599999999999</v>
      </c>
      <c r="F71" s="57">
        <f t="shared" si="2"/>
        <v>0</v>
      </c>
      <c r="G71" s="65">
        <f t="shared" si="3"/>
        <v>0</v>
      </c>
    </row>
    <row r="72" spans="1:9" x14ac:dyDescent="0.3">
      <c r="B72" s="57" t="s">
        <v>164</v>
      </c>
      <c r="C72" s="57" t="str">
        <f>'Haver Pivoted'!A71</f>
        <v>recessq</v>
      </c>
      <c r="D72">
        <v>-1</v>
      </c>
      <c r="E72" s="57">
        <f>'Haver Pivoted'!HD71</f>
        <v>-1</v>
      </c>
      <c r="F72" s="57">
        <f t="shared" si="2"/>
        <v>0</v>
      </c>
      <c r="G72" s="65">
        <f t="shared" si="3"/>
        <v>0</v>
      </c>
    </row>
    <row r="73" spans="1:9" x14ac:dyDescent="0.3">
      <c r="A73" s="57" t="s">
        <v>165</v>
      </c>
      <c r="B73" s="57" t="s">
        <v>166</v>
      </c>
      <c r="C73" s="57" t="str">
        <f>'Haver Pivoted'!A72</f>
        <v>lasgova</v>
      </c>
      <c r="D73">
        <v>5241.3333333333303</v>
      </c>
      <c r="E73" s="57">
        <f>'Haver Pivoted'!HD72</f>
        <v>5256</v>
      </c>
      <c r="F73" s="57">
        <f t="shared" si="2"/>
        <v>14.666666666669698</v>
      </c>
      <c r="G73" s="65">
        <f t="shared" si="3"/>
        <v>2.7982701602651439E-3</v>
      </c>
    </row>
    <row r="74" spans="1:9" x14ac:dyDescent="0.3">
      <c r="A74" s="57" t="s">
        <v>165</v>
      </c>
      <c r="B74" s="57" t="s">
        <v>167</v>
      </c>
      <c r="C74" s="57" t="str">
        <f>'Haver Pivoted'!A73</f>
        <v>lalgova</v>
      </c>
      <c r="D74">
        <v>14180.666666666701</v>
      </c>
      <c r="E74" s="57">
        <f>'Haver Pivoted'!HD73</f>
        <v>14184</v>
      </c>
      <c r="F74" s="57">
        <f t="shared" si="2"/>
        <v>3.3333333332993789</v>
      </c>
      <c r="G74" s="65">
        <f t="shared" si="3"/>
        <v>2.3506182125659613E-4</v>
      </c>
    </row>
    <row r="75" spans="1:9" x14ac:dyDescent="0.3">
      <c r="A75" s="57" t="s">
        <v>165</v>
      </c>
      <c r="B75" s="57" t="s">
        <v>168</v>
      </c>
      <c r="C75" s="57" t="str">
        <f>'Haver Pivoted'!A74</f>
        <v>cpgs</v>
      </c>
      <c r="D75">
        <v>0</v>
      </c>
      <c r="E75" s="57">
        <f>'Haver Pivoted'!HD74</f>
        <v>337751.66666666698</v>
      </c>
      <c r="F75" s="57">
        <f t="shared" si="2"/>
        <v>337751.66666666698</v>
      </c>
      <c r="G75" s="65" t="e">
        <f t="shared" si="3"/>
        <v>#DIV/0!</v>
      </c>
    </row>
    <row r="76" spans="1:9" x14ac:dyDescent="0.3">
      <c r="B76" s="57" t="s">
        <v>169</v>
      </c>
      <c r="C76" s="57" t="str">
        <f>'Haver Pivoted'!A75</f>
        <v>jgdp_growth</v>
      </c>
      <c r="D76">
        <v>1.0038293647666801E-2</v>
      </c>
      <c r="E76" s="57">
        <f>'Haver Pivoted'!HD75</f>
        <v>1.05110547299745E-2</v>
      </c>
      <c r="F76" s="52">
        <f t="shared" si="2"/>
        <v>4.7276108230769921E-4</v>
      </c>
      <c r="G76" s="65">
        <f t="shared" si="3"/>
        <v>4.7095761381475726E-2</v>
      </c>
    </row>
    <row r="77" spans="1:9" x14ac:dyDescent="0.3">
      <c r="B77" s="57" t="s">
        <v>170</v>
      </c>
      <c r="C77" s="57" t="str">
        <f>'Haver Pivoted'!A76</f>
        <v>jc_growth</v>
      </c>
      <c r="D77">
        <v>1.0289158003903299E-2</v>
      </c>
      <c r="E77" s="57">
        <f>'Haver Pivoted'!HD76</f>
        <v>1.0485141965882501E-2</v>
      </c>
      <c r="F77" s="52">
        <f t="shared" si="2"/>
        <v>1.9598396197920143E-4</v>
      </c>
      <c r="G77" s="65">
        <f t="shared" si="3"/>
        <v>1.9047619047627889E-2</v>
      </c>
    </row>
    <row r="78" spans="1:9" x14ac:dyDescent="0.3">
      <c r="B78" s="57" t="s">
        <v>171</v>
      </c>
      <c r="C78" s="57" t="str">
        <f>'Haver Pivoted'!A77</f>
        <v>jgf_growth</v>
      </c>
      <c r="D78">
        <v>1.1880844308852501E-2</v>
      </c>
      <c r="E78" s="57">
        <f>'Haver Pivoted'!HD77</f>
        <v>1.2583608238046801E-2</v>
      </c>
      <c r="F78" s="52">
        <f t="shared" si="2"/>
        <v>7.0276392919429997E-4</v>
      </c>
      <c r="G78" s="65">
        <f t="shared" si="3"/>
        <v>5.9151009046610067E-2</v>
      </c>
    </row>
    <row r="79" spans="1:9" x14ac:dyDescent="0.3">
      <c r="B79" s="57" t="s">
        <v>172</v>
      </c>
      <c r="C79" s="57" t="str">
        <f>'Haver Pivoted'!A78</f>
        <v>jgs_growth</v>
      </c>
      <c r="D79">
        <v>5.4772511502227898E-3</v>
      </c>
      <c r="E79" s="57">
        <f>'Haver Pivoted'!HD78</f>
        <v>7.09851749068857E-3</v>
      </c>
      <c r="F79" s="52">
        <f>E79/D79-1</f>
        <v>0.29599999999996984</v>
      </c>
      <c r="G79" s="65">
        <f t="shared" si="3"/>
        <v>54.041706666660687</v>
      </c>
    </row>
    <row r="80" spans="1:9" x14ac:dyDescent="0.3">
      <c r="B80" s="57" t="s">
        <v>173</v>
      </c>
      <c r="C80" s="57" t="str">
        <f>'Haver Pivoted'!A79</f>
        <v>jgse_growth</v>
      </c>
      <c r="D80">
        <v>2.2377581466097602E-3</v>
      </c>
      <c r="E80" s="57">
        <f>'Haver Pivoted'!HD79</f>
        <v>3.9855496402034802E-3</v>
      </c>
      <c r="F80" s="52">
        <f t="shared" si="2"/>
        <v>1.74779149359372E-3</v>
      </c>
      <c r="G80" s="65">
        <f t="shared" si="3"/>
        <v>0.78104575163390755</v>
      </c>
    </row>
    <row r="81" spans="2:7" x14ac:dyDescent="0.3">
      <c r="B81" s="57" t="s">
        <v>174</v>
      </c>
      <c r="C81" s="57" t="str">
        <f>'Haver Pivoted'!A80</f>
        <v>jgsi_growth</v>
      </c>
      <c r="D81">
        <v>2.16799808449968E-2</v>
      </c>
      <c r="E81" s="57">
        <f>'Haver Pivoted'!HD80</f>
        <v>2.2565174172670701E-2</v>
      </c>
      <c r="F81" s="52">
        <f t="shared" si="2"/>
        <v>8.851933276739013E-4</v>
      </c>
      <c r="G81" s="65">
        <f t="shared" si="3"/>
        <v>4.0829986613119262E-2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N100"/>
  <sheetViews>
    <sheetView topLeftCell="A47" zoomScale="84" zoomScaleNormal="133" workbookViewId="0">
      <selection activeCell="D57" sqref="D57"/>
    </sheetView>
  </sheetViews>
  <sheetFormatPr defaultColWidth="11.5546875" defaultRowHeight="14.4" x14ac:dyDescent="0.3"/>
  <cols>
    <col min="2" max="2" width="26.44140625" customWidth="1"/>
    <col min="3" max="3" width="20.21875" customWidth="1"/>
    <col min="4" max="11" width="9.44140625" customWidth="1"/>
  </cols>
  <sheetData>
    <row r="2" spans="2:14" x14ac:dyDescent="0.3">
      <c r="B2" s="1133" t="s">
        <v>1547</v>
      </c>
      <c r="C2" s="1133"/>
      <c r="D2" s="1133"/>
      <c r="E2" s="1133"/>
      <c r="F2" s="1133"/>
      <c r="G2" s="1133"/>
      <c r="H2" s="1133"/>
      <c r="I2" s="1133"/>
      <c r="J2" s="1133"/>
      <c r="K2" s="1133"/>
      <c r="L2" s="1133"/>
      <c r="M2" s="1133"/>
      <c r="N2" s="1133"/>
    </row>
    <row r="3" spans="2:14" x14ac:dyDescent="0.3">
      <c r="B3" t="str">
        <f>forecast!A1</f>
        <v>name</v>
      </c>
      <c r="C3" t="str">
        <f>forecast!B1</f>
        <v>variable</v>
      </c>
      <c r="D3" t="str">
        <f>forecast!C1</f>
        <v>2022 Q3</v>
      </c>
      <c r="E3" t="str">
        <f>forecast!D1</f>
        <v>2022 Q4</v>
      </c>
      <c r="F3" t="str">
        <f>forecast!E1</f>
        <v>2023 Q1</v>
      </c>
      <c r="G3" t="str">
        <f>forecast!F1</f>
        <v>2023 Q2</v>
      </c>
      <c r="H3" t="str">
        <f>forecast!G1</f>
        <v>2023 Q3</v>
      </c>
      <c r="I3" t="str">
        <f>forecast!H1</f>
        <v>2023 Q4</v>
      </c>
      <c r="J3" t="str">
        <f>forecast!I1</f>
        <v>2024 Q1</v>
      </c>
      <c r="K3" t="str">
        <f>forecast!J1</f>
        <v>2024 Q2</v>
      </c>
      <c r="L3" t="s">
        <v>175</v>
      </c>
      <c r="M3" t="s">
        <v>176</v>
      </c>
      <c r="N3" t="s">
        <v>177</v>
      </c>
    </row>
    <row r="4" spans="2:14" x14ac:dyDescent="0.3">
      <c r="B4" t="str">
        <f>forecast!A2</f>
        <v>Consumption Grants</v>
      </c>
      <c r="C4" t="str">
        <f>forecast!B2</f>
        <v>consumption_grants</v>
      </c>
      <c r="D4" s="74">
        <f>forecast!C2</f>
        <v>492.38786800000003</v>
      </c>
      <c r="E4" s="74">
        <f>forecast!D2</f>
        <v>483.36755273237202</v>
      </c>
      <c r="F4" s="74">
        <f>forecast!E2</f>
        <v>468.25943079425093</v>
      </c>
      <c r="G4" s="74">
        <f>forecast!F2</f>
        <v>472.80054303303206</v>
      </c>
      <c r="H4" s="74">
        <f>forecast!G2</f>
        <v>471.87100266666664</v>
      </c>
      <c r="I4" s="74">
        <f>forecast!H2</f>
        <v>472.47773764166686</v>
      </c>
      <c r="J4" s="74">
        <f>forecast!I2</f>
        <v>461.31629365802087</v>
      </c>
      <c r="K4" s="74">
        <f>forecast!J2</f>
        <v>441.70520399435327</v>
      </c>
      <c r="L4" s="74">
        <f>forecast!K2</f>
        <v>446.41869053333329</v>
      </c>
      <c r="M4" s="74">
        <f>forecast!L2</f>
        <v>451.42557348733351</v>
      </c>
      <c r="N4" s="74">
        <f>forecast!M2</f>
        <v>434.85302592434175</v>
      </c>
    </row>
    <row r="5" spans="2:14" x14ac:dyDescent="0.3">
      <c r="B5" t="str">
        <f>forecast!A3</f>
        <v>Investment Grants</v>
      </c>
      <c r="C5" t="str">
        <f>forecast!B3</f>
        <v>investment_grants</v>
      </c>
      <c r="D5" s="74">
        <f>forecast!C3</f>
        <v>75.340000000000018</v>
      </c>
      <c r="E5" s="74">
        <f>forecast!D3</f>
        <v>76.15900000000002</v>
      </c>
      <c r="F5" s="74">
        <f>forecast!E3</f>
        <v>76.15900000000002</v>
      </c>
      <c r="G5" s="74">
        <f>forecast!F3</f>
        <v>76.15900000000002</v>
      </c>
      <c r="H5" s="74">
        <f>forecast!G3</f>
        <v>76.15900000000002</v>
      </c>
      <c r="I5" s="74">
        <f>forecast!H3</f>
        <v>77.818000000000012</v>
      </c>
      <c r="J5" s="74">
        <f>forecast!I3</f>
        <v>77.818000000000012</v>
      </c>
      <c r="K5" s="74">
        <f>forecast!J3</f>
        <v>77.818000000000012</v>
      </c>
      <c r="L5" s="74">
        <f>forecast!K3</f>
        <v>77.818000000000012</v>
      </c>
      <c r="M5" s="74">
        <f>forecast!L3</f>
        <v>79.41200000000002</v>
      </c>
      <c r="N5" s="74">
        <f>forecast!M3</f>
        <v>79.41200000000002</v>
      </c>
    </row>
    <row r="6" spans="2:14" x14ac:dyDescent="0.3">
      <c r="B6" t="str">
        <f>forecast!A4</f>
        <v>Federal Purchases (NIPA Consistent)</v>
      </c>
      <c r="C6" t="str">
        <f>forecast!B4</f>
        <v>federal_purchases</v>
      </c>
      <c r="D6" s="74">
        <f>forecast!C4</f>
        <v>1656.9</v>
      </c>
      <c r="E6" s="74">
        <f>forecast!D4</f>
        <v>1676.9001179799739</v>
      </c>
      <c r="F6" s="74">
        <f>forecast!E4</f>
        <v>1693.4907579451458</v>
      </c>
      <c r="G6" s="74">
        <f>forecast!F4</f>
        <v>1708.8448284719198</v>
      </c>
      <c r="H6" s="74">
        <f>forecast!G4</f>
        <v>1722.7562346538962</v>
      </c>
      <c r="I6" s="74">
        <f>forecast!H4</f>
        <v>1736.3930239442748</v>
      </c>
      <c r="J6" s="74">
        <f>forecast!I4</f>
        <v>1750.510525032651</v>
      </c>
      <c r="K6" s="74">
        <f>forecast!J4</f>
        <v>1764.0097414018283</v>
      </c>
      <c r="L6" s="74">
        <f>forecast!K4</f>
        <v>1777.6120052242049</v>
      </c>
      <c r="M6" s="74">
        <f>forecast!L4</f>
        <v>1793.7662690465822</v>
      </c>
      <c r="N6" s="74">
        <f>forecast!M4</f>
        <v>1804.9984414453634</v>
      </c>
    </row>
    <row r="7" spans="2:14" x14ac:dyDescent="0.3">
      <c r="B7" t="str">
        <f>forecast!A5</f>
        <v>State Purchases (NIPA Consistent)</v>
      </c>
      <c r="C7" t="str">
        <f>forecast!B5</f>
        <v>state_purchases</v>
      </c>
      <c r="D7" s="74">
        <f>forecast!C5</f>
        <v>2829.6</v>
      </c>
      <c r="E7" s="74">
        <f>forecast!D5</f>
        <v>2867.1479295552822</v>
      </c>
      <c r="F7" s="74">
        <f>forecast!E5</f>
        <v>2902.161011259866</v>
      </c>
      <c r="G7" s="74">
        <f>forecast!F5</f>
        <v>2932.4230553290195</v>
      </c>
      <c r="H7" s="74">
        <f>forecast!G5</f>
        <v>2959.7931634461715</v>
      </c>
      <c r="I7" s="74">
        <f>forecast!H5</f>
        <v>2986.2337207216096</v>
      </c>
      <c r="J7" s="74">
        <f>forecast!I5</f>
        <v>3012.157860862761</v>
      </c>
      <c r="K7" s="74">
        <f>forecast!J5</f>
        <v>3037.9787175770557</v>
      </c>
      <c r="L7" s="74">
        <f>forecast!K5</f>
        <v>3064.5225582793501</v>
      </c>
      <c r="M7" s="74">
        <f>forecast!L5</f>
        <v>3091.9959498233598</v>
      </c>
      <c r="N7" s="74">
        <f>forecast!M5</f>
        <v>3137.5691162790699</v>
      </c>
    </row>
    <row r="8" spans="2:14" x14ac:dyDescent="0.3">
      <c r="B8" t="str">
        <f>forecast!A6</f>
        <v>Non-ARP Subsidies + ARP Provider Relief and PPP</v>
      </c>
      <c r="C8" t="str">
        <f>forecast!B6</f>
        <v>federal_subsidies</v>
      </c>
      <c r="D8" s="74">
        <f>forecast!C6</f>
        <v>3.1520000000000152</v>
      </c>
      <c r="E8" s="74">
        <f>forecast!D6</f>
        <v>75.782000000000011</v>
      </c>
      <c r="F8" s="74">
        <f>forecast!E6</f>
        <v>75.782000000000011</v>
      </c>
      <c r="G8" s="74">
        <f>forecast!F6</f>
        <v>75.782000000000011</v>
      </c>
      <c r="H8" s="74">
        <f>forecast!G6</f>
        <v>75.782000000000011</v>
      </c>
      <c r="I8" s="74">
        <f>forecast!H6</f>
        <v>84.266000000000005</v>
      </c>
      <c r="J8" s="74">
        <f>forecast!I6</f>
        <v>84.266000000000005</v>
      </c>
      <c r="K8" s="74">
        <f>forecast!J6</f>
        <v>84.266000000000005</v>
      </c>
      <c r="L8" s="74">
        <f>forecast!K6</f>
        <v>84.266000000000005</v>
      </c>
      <c r="M8" s="74">
        <f>forecast!L6</f>
        <v>91.364999999999995</v>
      </c>
      <c r="N8" s="74">
        <f>forecast!M6</f>
        <v>91.364999999999995</v>
      </c>
    </row>
    <row r="9" spans="2:14" x14ac:dyDescent="0.3">
      <c r="B9" t="str">
        <f>forecast!A7</f>
        <v>ARP Subsidies less Provider Relief and PPP</v>
      </c>
      <c r="C9" t="str">
        <f>forecast!B7</f>
        <v>federal_aid_to_small_businesses_arp</v>
      </c>
      <c r="D9" s="74">
        <f>forecast!C7</f>
        <v>110.24799999999999</v>
      </c>
      <c r="E9" s="74">
        <f>forecast!D7</f>
        <v>12.726000000000001</v>
      </c>
      <c r="F9" s="74">
        <f>forecast!E7</f>
        <v>12.726000000000001</v>
      </c>
      <c r="G9" s="74">
        <f>forecast!F7</f>
        <v>12.726000000000001</v>
      </c>
      <c r="H9" s="74">
        <f>forecast!G7</f>
        <v>12.726000000000001</v>
      </c>
      <c r="I9" s="74">
        <f>forecast!H7</f>
        <v>1.365</v>
      </c>
      <c r="J9" s="74">
        <f>forecast!I7</f>
        <v>1.365</v>
      </c>
      <c r="K9" s="74">
        <f>forecast!J7</f>
        <v>1.365</v>
      </c>
      <c r="L9" s="74">
        <f>forecast!K7</f>
        <v>1.365</v>
      </c>
      <c r="M9" s="74">
        <f>forecast!L7</f>
        <v>-0.90100000000000025</v>
      </c>
      <c r="N9" s="74">
        <f>forecast!M7</f>
        <v>-0.90100000000000025</v>
      </c>
    </row>
    <row r="10" spans="2:14" x14ac:dyDescent="0.3">
      <c r="B10" t="str">
        <f>forecast!A8</f>
        <v>Federal UI</v>
      </c>
      <c r="C10" t="str">
        <f>forecast!B8</f>
        <v>federal_ui</v>
      </c>
      <c r="D10" s="74">
        <f>forecast!C8</f>
        <v>0.5</v>
      </c>
      <c r="E10" s="74">
        <f>forecast!D8</f>
        <v>0</v>
      </c>
      <c r="F10" s="74">
        <f>forecast!E8</f>
        <v>0</v>
      </c>
      <c r="G10" s="74">
        <f>forecast!F8</f>
        <v>0</v>
      </c>
      <c r="H10" s="74">
        <f>forecast!G8</f>
        <v>0</v>
      </c>
      <c r="I10" s="74">
        <f>forecast!H8</f>
        <v>0</v>
      </c>
      <c r="J10" s="74">
        <f>forecast!I8</f>
        <v>0</v>
      </c>
      <c r="K10" s="74">
        <f>forecast!J8</f>
        <v>0</v>
      </c>
      <c r="L10" s="74">
        <f>forecast!K8</f>
        <v>0</v>
      </c>
      <c r="M10" s="74">
        <f>forecast!L8</f>
        <v>0</v>
      </c>
      <c r="N10" s="74">
        <f>forecast!M8</f>
        <v>0</v>
      </c>
    </row>
    <row r="11" spans="2:14" x14ac:dyDescent="0.3">
      <c r="B11" t="str">
        <f>forecast!A9</f>
        <v>State UI</v>
      </c>
      <c r="C11" t="str">
        <f>forecast!B9</f>
        <v>state_ui</v>
      </c>
      <c r="D11" s="74">
        <f>forecast!C9</f>
        <v>18</v>
      </c>
      <c r="E11" s="74">
        <f>forecast!D9</f>
        <v>18.420560747663554</v>
      </c>
      <c r="F11" s="74">
        <f>forecast!E9</f>
        <v>18.067289719626174</v>
      </c>
      <c r="G11" s="74">
        <f>forecast!F9</f>
        <v>17.764485981308418</v>
      </c>
      <c r="H11" s="74">
        <f>forecast!G9</f>
        <v>17.820000000000007</v>
      </c>
      <c r="I11" s="74">
        <f>forecast!H9</f>
        <v>17.920934579439262</v>
      </c>
      <c r="J11" s="74">
        <f>forecast!I9</f>
        <v>18.279252336448607</v>
      </c>
      <c r="K11" s="74">
        <f>forecast!J9</f>
        <v>20.045607476635524</v>
      </c>
      <c r="L11" s="74">
        <f>forecast!K9</f>
        <v>20.292897196261695</v>
      </c>
      <c r="M11" s="74">
        <f>forecast!L9</f>
        <v>20.600747663551413</v>
      </c>
      <c r="N11" s="74">
        <f>forecast!M9</f>
        <v>20.898504672897207</v>
      </c>
    </row>
    <row r="12" spans="2:14" x14ac:dyDescent="0.3">
      <c r="B12" t="str">
        <f>forecast!A10</f>
        <v>Federal Medicaid</v>
      </c>
      <c r="C12" t="str">
        <f>forecast!B10</f>
        <v>medicaid_grants</v>
      </c>
      <c r="D12" s="74">
        <f>forecast!C10</f>
        <v>605.63699999999994</v>
      </c>
      <c r="E12" s="74">
        <f>forecast!D10</f>
        <v>603.11189267450743</v>
      </c>
      <c r="F12" s="74">
        <f>forecast!E10</f>
        <v>603.29307201470419</v>
      </c>
      <c r="G12" s="74">
        <f>forecast!F10</f>
        <v>603.47430578253488</v>
      </c>
      <c r="H12" s="74">
        <f>forecast!G10</f>
        <v>564.10810821595339</v>
      </c>
      <c r="I12" s="74">
        <f>forecast!H10</f>
        <v>557.45153077441046</v>
      </c>
      <c r="J12" s="74">
        <f>forecast!I10</f>
        <v>551.29379215137783</v>
      </c>
      <c r="K12" s="74">
        <f>forecast!J10</f>
        <v>545.20407333429478</v>
      </c>
      <c r="L12" s="74">
        <f>forecast!K10</f>
        <v>539.1816229606427</v>
      </c>
      <c r="M12" s="74">
        <f>forecast!L10</f>
        <v>529.58444971757342</v>
      </c>
      <c r="N12" s="74">
        <f>forecast!M10</f>
        <v>523.73453732132771</v>
      </c>
    </row>
    <row r="13" spans="2:14" x14ac:dyDescent="0.3">
      <c r="B13" t="str">
        <f>forecast!A11</f>
        <v>Total Medicaid</v>
      </c>
      <c r="C13" t="str">
        <f>forecast!B11</f>
        <v>medicaid</v>
      </c>
      <c r="D13" s="74">
        <f>forecast!C11</f>
        <v>790</v>
      </c>
      <c r="E13" s="74">
        <f>forecast!D11</f>
        <v>790.23732193063006</v>
      </c>
      <c r="F13" s="74">
        <f>forecast!E11</f>
        <v>790.4747151545497</v>
      </c>
      <c r="G13" s="74">
        <f>forecast!F11</f>
        <v>790.71217969317593</v>
      </c>
      <c r="H13" s="74">
        <f>forecast!G11</f>
        <v>790.94971556793223</v>
      </c>
      <c r="I13" s="74">
        <f>forecast!H11</f>
        <v>782.21270195589079</v>
      </c>
      <c r="J13" s="74">
        <f>forecast!I11</f>
        <v>773.57219941826349</v>
      </c>
      <c r="K13" s="74">
        <f>forecast!J11</f>
        <v>765.02714187138622</v>
      </c>
      <c r="L13" s="74">
        <f>forecast!K11</f>
        <v>756.57647500780183</v>
      </c>
      <c r="M13" s="74">
        <f>forecast!L11</f>
        <v>748.2191561661773</v>
      </c>
      <c r="N13" s="74">
        <f>forecast!M11</f>
        <v>739.95415420265795</v>
      </c>
    </row>
    <row r="14" spans="2:14" x14ac:dyDescent="0.3">
      <c r="B14" t="str">
        <f>forecast!A12</f>
        <v>Medicare</v>
      </c>
      <c r="C14" t="str">
        <f>forecast!B12</f>
        <v>medicare</v>
      </c>
      <c r="D14" s="74">
        <f>forecast!C12</f>
        <v>920.3</v>
      </c>
      <c r="E14" s="74">
        <f>forecast!D12</f>
        <v>942.65830121332203</v>
      </c>
      <c r="F14" s="74">
        <f>forecast!E12</f>
        <v>965.55978794565488</v>
      </c>
      <c r="G14" s="74">
        <f>forecast!F12</f>
        <v>989.017656660596</v>
      </c>
      <c r="H14" s="74">
        <f>forecast!G12</f>
        <v>1013.0454244242726</v>
      </c>
      <c r="I14" s="74">
        <f>forecast!H12</f>
        <v>1037.4736868172592</v>
      </c>
      <c r="J14" s="74">
        <f>forecast!I12</f>
        <v>1062.4910047344636</v>
      </c>
      <c r="K14" s="74">
        <f>forecast!J12</f>
        <v>1088.11158247765</v>
      </c>
      <c r="L14" s="74">
        <f>forecast!K12</f>
        <v>1114.3499668666996</v>
      </c>
      <c r="M14" s="74">
        <f>forecast!L12</f>
        <v>1141.2210554989849</v>
      </c>
      <c r="N14" s="74">
        <f>forecast!M12</f>
        <v>1168.7401052079097</v>
      </c>
    </row>
    <row r="15" spans="2:14" x14ac:dyDescent="0.3">
      <c r="B15" t="str">
        <f>forecast!A13</f>
        <v>Non-ARP Rebate Checks</v>
      </c>
      <c r="C15" t="str">
        <f>forecast!B13</f>
        <v>rebate_checks</v>
      </c>
      <c r="D15" s="74">
        <f>forecast!C13</f>
        <v>0</v>
      </c>
      <c r="E15" s="74">
        <f>forecast!D13</f>
        <v>0</v>
      </c>
      <c r="F15" s="74">
        <f>forecast!E13</f>
        <v>0</v>
      </c>
      <c r="G15" s="74">
        <f>forecast!F13</f>
        <v>0</v>
      </c>
      <c r="H15" s="74">
        <f>forecast!G13</f>
        <v>0</v>
      </c>
      <c r="I15" s="74">
        <f>forecast!H13</f>
        <v>0</v>
      </c>
      <c r="J15" s="74">
        <f>forecast!I13</f>
        <v>0</v>
      </c>
      <c r="K15" s="74">
        <f>forecast!J13</f>
        <v>0</v>
      </c>
      <c r="L15" s="74">
        <f>forecast!K13</f>
        <v>0</v>
      </c>
      <c r="M15" s="74">
        <f>forecast!L13</f>
        <v>0</v>
      </c>
      <c r="N15" s="74">
        <f>forecast!M13</f>
        <v>0</v>
      </c>
    </row>
    <row r="16" spans="2:14" x14ac:dyDescent="0.3">
      <c r="B16" t="str">
        <f>forecast!A14</f>
        <v>ARP Rebate Checks</v>
      </c>
      <c r="C16" t="str">
        <f>forecast!B14</f>
        <v>rebate_checks_arp</v>
      </c>
      <c r="D16" s="74">
        <f>forecast!C14</f>
        <v>0</v>
      </c>
      <c r="E16" s="74">
        <f>forecast!D14</f>
        <v>0</v>
      </c>
      <c r="F16" s="74">
        <f>forecast!E14</f>
        <v>0</v>
      </c>
      <c r="G16" s="74">
        <f>forecast!F14</f>
        <v>0</v>
      </c>
      <c r="H16" s="74">
        <f>forecast!G14</f>
        <v>0</v>
      </c>
      <c r="I16" s="74">
        <f>forecast!H14</f>
        <v>0</v>
      </c>
      <c r="J16" s="74">
        <f>forecast!I14</f>
        <v>0</v>
      </c>
      <c r="K16" s="74">
        <f>forecast!J14</f>
        <v>0</v>
      </c>
      <c r="L16" s="74">
        <f>forecast!K14</f>
        <v>0</v>
      </c>
      <c r="M16" s="74">
        <f>forecast!L14</f>
        <v>0</v>
      </c>
      <c r="N16" s="74">
        <f>forecast!M14</f>
        <v>0</v>
      </c>
    </row>
    <row r="17" spans="2:14" x14ac:dyDescent="0.3">
      <c r="B17" t="str">
        <f>forecast!A15</f>
        <v>ARP Other Vulnerable</v>
      </c>
      <c r="C17" t="str">
        <f>forecast!B15</f>
        <v>federal_other_vulnerable_arp</v>
      </c>
      <c r="D17" s="74">
        <f>forecast!C15</f>
        <v>52.756999999999998</v>
      </c>
      <c r="E17" s="74">
        <f>forecast!D15</f>
        <v>12</v>
      </c>
      <c r="F17" s="74">
        <f>forecast!E15</f>
        <v>12</v>
      </c>
      <c r="G17" s="74">
        <f>forecast!F15</f>
        <v>12</v>
      </c>
      <c r="H17" s="74">
        <f>forecast!G15</f>
        <v>12</v>
      </c>
      <c r="I17" s="74">
        <f>forecast!H15</f>
        <v>4.2219999999999995</v>
      </c>
      <c r="J17" s="74">
        <f>forecast!I15</f>
        <v>4.2219999999999995</v>
      </c>
      <c r="K17" s="74">
        <f>forecast!J15</f>
        <v>4.2219999999999995</v>
      </c>
      <c r="L17" s="74">
        <f>forecast!K15</f>
        <v>4.2219999999999995</v>
      </c>
      <c r="M17" s="74">
        <f>forecast!L15</f>
        <v>2.3719999999999999</v>
      </c>
      <c r="N17" s="74">
        <f>forecast!M15</f>
        <v>2.3719999999999999</v>
      </c>
    </row>
    <row r="18" spans="2:14" x14ac:dyDescent="0.3">
      <c r="B18" t="str">
        <f>forecast!A16</f>
        <v xml:space="preserve">ARP Other Direct Aid plus Provider Relief </v>
      </c>
      <c r="C18" t="str">
        <f>forecast!B16</f>
        <v>federal_other_direct_aid_arp</v>
      </c>
      <c r="D18" s="74">
        <f>forecast!C16</f>
        <v>27.819000000000003</v>
      </c>
      <c r="E18" s="74">
        <f>forecast!D16</f>
        <v>1.4159999999999999</v>
      </c>
      <c r="F18" s="74">
        <f>forecast!E16</f>
        <v>1.4159999999999999</v>
      </c>
      <c r="G18" s="74">
        <f>forecast!F16</f>
        <v>1.4159999999999999</v>
      </c>
      <c r="H18" s="74">
        <f>forecast!G16</f>
        <v>1.4159999999999999</v>
      </c>
      <c r="I18" s="74">
        <f>forecast!H16</f>
        <v>1.4790000000000001</v>
      </c>
      <c r="J18" s="74">
        <f>forecast!I16</f>
        <v>1.4790000000000001</v>
      </c>
      <c r="K18" s="74">
        <f>forecast!J16</f>
        <v>1.4790000000000001</v>
      </c>
      <c r="L18" s="74">
        <f>forecast!K16</f>
        <v>1.4790000000000001</v>
      </c>
      <c r="M18" s="74">
        <f>forecast!L16</f>
        <v>1.63</v>
      </c>
      <c r="N18" s="74">
        <f>forecast!M16</f>
        <v>1.63</v>
      </c>
    </row>
    <row r="19" spans="2:14" x14ac:dyDescent="0.3">
      <c r="B19" t="str">
        <f>forecast!A17</f>
        <v>Other Federal Social Benefits (including all SNAP)</v>
      </c>
      <c r="C19" t="str">
        <f>forecast!B17</f>
        <v>federal_social_benefits</v>
      </c>
      <c r="D19" s="74">
        <f>forecast!C17</f>
        <v>1818.9020000000003</v>
      </c>
      <c r="E19" s="74">
        <f>forecast!D17</f>
        <v>1852.2204375000003</v>
      </c>
      <c r="F19" s="74">
        <f>forecast!E17</f>
        <v>1902.6775146250002</v>
      </c>
      <c r="G19" s="74">
        <f>forecast!F17</f>
        <v>1909.6775146250002</v>
      </c>
      <c r="H19" s="74">
        <f>forecast!G17</f>
        <v>1916.6775146250002</v>
      </c>
      <c r="I19" s="74">
        <f>forecast!H17</f>
        <v>1918.9265146250002</v>
      </c>
      <c r="J19" s="74">
        <f>forecast!I17</f>
        <v>1963.7985746250001</v>
      </c>
      <c r="K19" s="74">
        <f>forecast!J17</f>
        <v>1970.7985746250001</v>
      </c>
      <c r="L19" s="74">
        <f>forecast!K17</f>
        <v>1977.7985746250001</v>
      </c>
      <c r="M19" s="74">
        <f>forecast!L17</f>
        <v>1985.8265746250001</v>
      </c>
      <c r="N19" s="74">
        <f>forecast!M17</f>
        <v>2018.7146146250002</v>
      </c>
    </row>
    <row r="20" spans="2:14" x14ac:dyDescent="0.3">
      <c r="B20" t="str">
        <f>forecast!A18</f>
        <v>State Social Benefits ex Medicaid</v>
      </c>
      <c r="C20" t="str">
        <f>forecast!B18</f>
        <v>state_social_benefits</v>
      </c>
      <c r="D20" s="74">
        <f>forecast!C18</f>
        <v>196.79999999999995</v>
      </c>
      <c r="E20" s="74">
        <f>forecast!D18</f>
        <v>177.85179962461578</v>
      </c>
      <c r="F20" s="74">
        <f>forecast!E18</f>
        <v>180.60976738544733</v>
      </c>
      <c r="G20" s="74">
        <f>forecast!F18</f>
        <v>183.41050326100046</v>
      </c>
      <c r="H20" s="74">
        <f>forecast!G18</f>
        <v>186.25467046121651</v>
      </c>
      <c r="I20" s="74">
        <f>forecast!H18</f>
        <v>189.14294248050757</v>
      </c>
      <c r="J20" s="74">
        <f>forecast!I18</f>
        <v>192.07600325723899</v>
      </c>
      <c r="K20" s="74">
        <f>forecast!J18</f>
        <v>195.05454733568487</v>
      </c>
      <c r="L20" s="74">
        <f>forecast!K18</f>
        <v>198.07928003049508</v>
      </c>
      <c r="M20" s="74">
        <f>forecast!L18</f>
        <v>201.15091759371273</v>
      </c>
      <c r="N20" s="74">
        <f>forecast!M18</f>
        <v>204.27018738438153</v>
      </c>
    </row>
    <row r="21" spans="2:14" x14ac:dyDescent="0.3">
      <c r="B21" t="str">
        <f>forecast!A19</f>
        <v>Federal Non-Corporate Taxes</v>
      </c>
      <c r="C21" t="str">
        <f>forecast!B19</f>
        <v>federal_non_corporate_taxes</v>
      </c>
      <c r="D21" s="74">
        <f>forecast!C19</f>
        <v>4505.2000000000007</v>
      </c>
      <c r="E21" s="74">
        <f>forecast!D19</f>
        <v>4574.8644920383394</v>
      </c>
      <c r="F21" s="74">
        <f>forecast!E19</f>
        <v>4528.6569166191493</v>
      </c>
      <c r="G21" s="74">
        <f>forecast!F19</f>
        <v>4544.8795506226297</v>
      </c>
      <c r="H21" s="74">
        <f>forecast!G19</f>
        <v>4561.5377512540026</v>
      </c>
      <c r="I21" s="74">
        <f>forecast!H19</f>
        <v>4564.9831242368391</v>
      </c>
      <c r="J21" s="74">
        <f>forecast!I19</f>
        <v>4571.7917472467925</v>
      </c>
      <c r="K21" s="74">
        <f>forecast!J19</f>
        <v>4578.7665782937693</v>
      </c>
      <c r="L21" s="74">
        <f>forecast!K19</f>
        <v>4585.908584776219</v>
      </c>
      <c r="M21" s="74">
        <f>forecast!L19</f>
        <v>4602.1144223049096</v>
      </c>
      <c r="N21" s="74">
        <f>forecast!M19</f>
        <v>4613.636665183144</v>
      </c>
    </row>
    <row r="22" spans="2:14" x14ac:dyDescent="0.3">
      <c r="B22" t="str">
        <f>forecast!A20</f>
        <v>State Non-Corporate Taxes</v>
      </c>
      <c r="C22" t="str">
        <f>forecast!B20</f>
        <v>state_non_corporate_taxes</v>
      </c>
      <c r="D22" s="74">
        <f>forecast!C20</f>
        <v>2238.5</v>
      </c>
      <c r="E22" s="74">
        <f>forecast!D20</f>
        <v>2268.4182561651428</v>
      </c>
      <c r="F22" s="74">
        <f>forecast!E20</f>
        <v>2295.2562539532132</v>
      </c>
      <c r="G22" s="74">
        <f>forecast!F20</f>
        <v>2321.7782878540979</v>
      </c>
      <c r="H22" s="74">
        <f>forecast!G20</f>
        <v>2347.5507271003335</v>
      </c>
      <c r="I22" s="74">
        <f>forecast!H20</f>
        <v>2371.5299731521227</v>
      </c>
      <c r="J22" s="74">
        <f>forecast!I20</f>
        <v>2395.115238871128</v>
      </c>
      <c r="K22" s="74">
        <f>forecast!J20</f>
        <v>2417.0388945898803</v>
      </c>
      <c r="L22" s="74">
        <f>forecast!K20</f>
        <v>2438.7623017299529</v>
      </c>
      <c r="M22" s="74">
        <f>forecast!L20</f>
        <v>2461.5282045683075</v>
      </c>
      <c r="N22" s="74">
        <f>forecast!M20</f>
        <v>2483.9169649053383</v>
      </c>
    </row>
    <row r="23" spans="2:14" x14ac:dyDescent="0.3">
      <c r="B23" t="str">
        <f>forecast!A21</f>
        <v>Federal Corporate Taxes</v>
      </c>
      <c r="C23" t="str">
        <f>forecast!B21</f>
        <v>federal_corporate_taxes</v>
      </c>
      <c r="D23" s="74">
        <f>forecast!C21</f>
        <v>334.6</v>
      </c>
      <c r="E23" s="74">
        <f>forecast!D21</f>
        <v>382.19188884072923</v>
      </c>
      <c r="F23" s="74">
        <f>forecast!E21</f>
        <v>394.91708520104078</v>
      </c>
      <c r="G23" s="74">
        <f>forecast!F21</f>
        <v>408.10910873050739</v>
      </c>
      <c r="H23" s="74">
        <f>forecast!G21</f>
        <v>421.78508510638312</v>
      </c>
      <c r="I23" s="74">
        <f>forecast!H21</f>
        <v>427.08469138358691</v>
      </c>
      <c r="J23" s="74">
        <f>forecast!I21</f>
        <v>431.72266035544538</v>
      </c>
      <c r="K23" s="74">
        <f>forecast!J21</f>
        <v>436.41563677685053</v>
      </c>
      <c r="L23" s="74">
        <f>forecast!K21</f>
        <v>441.16427304964549</v>
      </c>
      <c r="M23" s="74">
        <f>forecast!L21</f>
        <v>427.29133875132953</v>
      </c>
      <c r="N23" s="74">
        <f>forecast!M21</f>
        <v>423.03821600000856</v>
      </c>
    </row>
    <row r="24" spans="2:14" x14ac:dyDescent="0.3">
      <c r="B24" t="str">
        <f>forecast!A22</f>
        <v>State Corporate Taxes</v>
      </c>
      <c r="C24" s="37" t="str">
        <f>forecast!B22</f>
        <v>state_corporate_taxes</v>
      </c>
      <c r="D24" s="74">
        <f>forecast!C22</f>
        <v>101.6</v>
      </c>
      <c r="E24" s="74">
        <f>forecast!D22</f>
        <v>102.34079475027343</v>
      </c>
      <c r="F24" s="74">
        <f>forecast!E22</f>
        <v>102.15559606270509</v>
      </c>
      <c r="G24" s="74">
        <f>forecast!F22</f>
        <v>101.60411552639043</v>
      </c>
      <c r="H24" s="74">
        <f>forecast!G22</f>
        <v>100.98678656782924</v>
      </c>
      <c r="I24" s="74">
        <f>forecast!H22</f>
        <v>100.44765261068579</v>
      </c>
      <c r="J24" s="74">
        <f>forecast!I22</f>
        <v>99.982598128569705</v>
      </c>
      <c r="K24" s="74">
        <f>forecast!J22</f>
        <v>99.863247863247878</v>
      </c>
      <c r="L24" s="74">
        <f>forecast!K22</f>
        <v>99.51342812006321</v>
      </c>
      <c r="M24" s="74">
        <f>forecast!L22</f>
        <v>100.06079312998747</v>
      </c>
      <c r="N24" s="74">
        <f>forecast!M22</f>
        <v>100.42295945234335</v>
      </c>
    </row>
    <row r="25" spans="2:14" x14ac:dyDescent="0.3">
      <c r="B25" s="37" t="str">
        <f>forecast!A23</f>
        <v>Federal Student Loans</v>
      </c>
      <c r="C25" s="37" t="str">
        <f>forecast!B23</f>
        <v>federal_student_loans</v>
      </c>
      <c r="D25" s="74">
        <f>forecast!C23</f>
        <v>0</v>
      </c>
      <c r="E25" s="74">
        <f>forecast!D23</f>
        <v>0</v>
      </c>
      <c r="F25" s="74">
        <f>forecast!E23</f>
        <v>0</v>
      </c>
      <c r="G25" s="74">
        <f>forecast!F23</f>
        <v>0</v>
      </c>
      <c r="H25" s="74">
        <f>forecast!G23</f>
        <v>20.815079999999998</v>
      </c>
      <c r="I25" s="74">
        <f>forecast!H23</f>
        <v>21.006180000000001</v>
      </c>
      <c r="J25" s="74">
        <f>forecast!I23</f>
        <v>25.815300000000001</v>
      </c>
      <c r="K25" s="74">
        <f>forecast!J23</f>
        <v>26.04045</v>
      </c>
      <c r="L25" s="74">
        <f>forecast!K23</f>
        <v>26.26465</v>
      </c>
      <c r="M25" s="74">
        <f>forecast!L23</f>
        <v>26.498349999999999</v>
      </c>
      <c r="N25" s="74">
        <f>forecast!M23</f>
        <v>26.454419999999999</v>
      </c>
    </row>
    <row r="27" spans="2:14" x14ac:dyDescent="0.3">
      <c r="B27" s="1133" t="s">
        <v>1546</v>
      </c>
      <c r="C27" s="1133"/>
      <c r="D27" s="1133"/>
      <c r="E27" s="1133"/>
      <c r="F27" s="1133"/>
      <c r="G27" s="1133"/>
      <c r="H27" s="1133"/>
      <c r="I27" s="1133"/>
      <c r="J27" s="1133"/>
      <c r="K27" s="1133"/>
      <c r="L27" s="1133"/>
      <c r="M27" s="1133"/>
      <c r="N27" s="1133"/>
    </row>
    <row r="28" spans="2:14" x14ac:dyDescent="0.3">
      <c r="B28" t="s">
        <v>178</v>
      </c>
      <c r="C28" t="s">
        <v>179</v>
      </c>
      <c r="D28" t="s">
        <v>184</v>
      </c>
      <c r="E28" t="s">
        <v>185</v>
      </c>
      <c r="F28" t="s">
        <v>186</v>
      </c>
      <c r="G28" t="s">
        <v>187</v>
      </c>
      <c r="H28" t="s">
        <v>188</v>
      </c>
      <c r="I28" t="s">
        <v>189</v>
      </c>
      <c r="J28" t="s">
        <v>190</v>
      </c>
      <c r="K28" t="s">
        <v>191</v>
      </c>
      <c r="L28" t="s">
        <v>175</v>
      </c>
      <c r="M28" t="s">
        <v>176</v>
      </c>
      <c r="N28" t="s">
        <v>177</v>
      </c>
    </row>
    <row r="29" spans="2:14" x14ac:dyDescent="0.3">
      <c r="B29" t="s">
        <v>192</v>
      </c>
      <c r="C29" t="s">
        <v>193</v>
      </c>
      <c r="D29" s="74">
        <v>492.38786800000003</v>
      </c>
      <c r="E29" s="74">
        <v>483.36755273237202</v>
      </c>
      <c r="F29" s="74">
        <v>468.25943079425093</v>
      </c>
      <c r="G29" s="74">
        <v>472.80054303303206</v>
      </c>
      <c r="H29" s="74">
        <v>471.87100266666664</v>
      </c>
      <c r="I29" s="74">
        <v>472.47773764166686</v>
      </c>
      <c r="J29" s="74">
        <v>461.31629365802087</v>
      </c>
      <c r="K29" s="74">
        <v>441.70520399435327</v>
      </c>
      <c r="L29" s="74">
        <v>446.41869053333329</v>
      </c>
      <c r="M29" s="74">
        <v>451.42557348733351</v>
      </c>
      <c r="N29" s="74">
        <v>434.85302592434175</v>
      </c>
    </row>
    <row r="30" spans="2:14" x14ac:dyDescent="0.3">
      <c r="B30" t="s">
        <v>134</v>
      </c>
      <c r="C30" t="s">
        <v>194</v>
      </c>
      <c r="D30" s="74">
        <v>75.340000000000018</v>
      </c>
      <c r="E30" s="74">
        <v>76.15900000000002</v>
      </c>
      <c r="F30" s="74">
        <v>76.15900000000002</v>
      </c>
      <c r="G30" s="74">
        <v>76.15900000000002</v>
      </c>
      <c r="H30" s="74">
        <v>76.15900000000002</v>
      </c>
      <c r="I30" s="74">
        <v>77.818000000000012</v>
      </c>
      <c r="J30" s="74">
        <v>77.818000000000012</v>
      </c>
      <c r="K30" s="74">
        <v>77.818000000000012</v>
      </c>
      <c r="L30" s="74">
        <v>77.818000000000012</v>
      </c>
      <c r="M30" s="74">
        <v>79.41200000000002</v>
      </c>
      <c r="N30" s="74">
        <v>79.41200000000002</v>
      </c>
    </row>
    <row r="31" spans="2:14" x14ac:dyDescent="0.3">
      <c r="B31" t="s">
        <v>195</v>
      </c>
      <c r="C31" t="s">
        <v>196</v>
      </c>
      <c r="D31" s="74">
        <v>1656.8</v>
      </c>
      <c r="E31" s="74">
        <v>1676.799185086137</v>
      </c>
      <c r="F31" s="74">
        <v>1693.3888237452575</v>
      </c>
      <c r="G31" s="74">
        <v>1708.741967597487</v>
      </c>
      <c r="H31" s="74">
        <v>1722.6525341750105</v>
      </c>
      <c r="I31" s="74">
        <v>1736.2885647117353</v>
      </c>
      <c r="J31" s="74">
        <v>1750.4052137570741</v>
      </c>
      <c r="K31" s="74">
        <v>1763.9036153989673</v>
      </c>
      <c r="L31" s="74">
        <v>1777.5050582747679</v>
      </c>
      <c r="M31" s="74">
        <v>1793.6585011505688</v>
      </c>
      <c r="N31" s="74">
        <v>1804.8899956464954</v>
      </c>
    </row>
    <row r="32" spans="2:14" x14ac:dyDescent="0.3">
      <c r="B32" t="s">
        <v>197</v>
      </c>
      <c r="C32" t="s">
        <v>198</v>
      </c>
      <c r="D32" s="74">
        <v>2817.3</v>
      </c>
      <c r="E32" s="74">
        <v>2854.6847123042471</v>
      </c>
      <c r="F32" s="74">
        <v>2889.5455954984527</v>
      </c>
      <c r="G32" s="74">
        <v>2919.676093362471</v>
      </c>
      <c r="H32" s="74">
        <v>2946.9272262428967</v>
      </c>
      <c r="I32" s="74">
        <v>2973.252848950026</v>
      </c>
      <c r="J32" s="74">
        <v>2999.0642993386555</v>
      </c>
      <c r="K32" s="74">
        <v>3024.7729152635852</v>
      </c>
      <c r="L32" s="74">
        <v>3051.2013724344129</v>
      </c>
      <c r="M32" s="74">
        <v>3078.5553397785384</v>
      </c>
      <c r="N32" s="74">
        <v>3137.5691162790699</v>
      </c>
    </row>
    <row r="33" spans="2:14" x14ac:dyDescent="0.3">
      <c r="B33" t="s">
        <v>199</v>
      </c>
      <c r="C33" t="s">
        <v>200</v>
      </c>
      <c r="D33" s="74">
        <v>3.1520000000000152</v>
      </c>
      <c r="E33" s="74">
        <v>75.782000000000011</v>
      </c>
      <c r="F33" s="74">
        <v>75.782000000000011</v>
      </c>
      <c r="G33" s="74">
        <v>75.782000000000011</v>
      </c>
      <c r="H33" s="74">
        <v>75.782000000000011</v>
      </c>
      <c r="I33" s="74">
        <v>84.266000000000005</v>
      </c>
      <c r="J33" s="74">
        <v>84.266000000000005</v>
      </c>
      <c r="K33" s="74">
        <v>84.266000000000005</v>
      </c>
      <c r="L33" s="74">
        <v>84.266000000000005</v>
      </c>
      <c r="M33" s="74">
        <v>91.364999999999995</v>
      </c>
      <c r="N33" s="74">
        <v>91.364999999999995</v>
      </c>
    </row>
    <row r="34" spans="2:14" x14ac:dyDescent="0.3">
      <c r="B34" t="s">
        <v>201</v>
      </c>
      <c r="C34" t="s">
        <v>202</v>
      </c>
      <c r="D34" s="74">
        <v>110.24799999999999</v>
      </c>
      <c r="E34" s="74">
        <v>12.726000000000001</v>
      </c>
      <c r="F34" s="74">
        <v>12.726000000000001</v>
      </c>
      <c r="G34" s="74">
        <v>12.726000000000001</v>
      </c>
      <c r="H34" s="74">
        <v>12.726000000000001</v>
      </c>
      <c r="I34" s="74">
        <v>1.365</v>
      </c>
      <c r="J34" s="74">
        <v>1.365</v>
      </c>
      <c r="K34" s="74">
        <v>1.365</v>
      </c>
      <c r="L34" s="74">
        <v>1.365</v>
      </c>
      <c r="M34" s="74">
        <v>-0.90100000000000025</v>
      </c>
      <c r="N34" s="74">
        <v>-0.90100000000000025</v>
      </c>
    </row>
    <row r="35" spans="2:14" x14ac:dyDescent="0.3">
      <c r="B35" t="s">
        <v>203</v>
      </c>
      <c r="C35" t="s">
        <v>204</v>
      </c>
      <c r="D35" s="74">
        <v>0.5</v>
      </c>
      <c r="E35" s="74">
        <v>0</v>
      </c>
      <c r="F35" s="74">
        <v>0</v>
      </c>
      <c r="G35" s="74">
        <v>0</v>
      </c>
      <c r="H35" s="74">
        <v>0</v>
      </c>
      <c r="I35" s="74">
        <v>0</v>
      </c>
      <c r="J35" s="74">
        <v>0</v>
      </c>
      <c r="K35" s="74">
        <v>0</v>
      </c>
      <c r="L35" s="74">
        <v>0</v>
      </c>
      <c r="M35" s="74">
        <v>0</v>
      </c>
      <c r="N35" s="74">
        <v>0</v>
      </c>
    </row>
    <row r="36" spans="2:14" x14ac:dyDescent="0.3">
      <c r="B36" t="s">
        <v>205</v>
      </c>
      <c r="C36" t="s">
        <v>206</v>
      </c>
      <c r="D36" s="74">
        <v>18.100000000000001</v>
      </c>
      <c r="E36" s="74">
        <v>18.522897196261681</v>
      </c>
      <c r="F36" s="74">
        <v>18.167663551401869</v>
      </c>
      <c r="G36" s="74">
        <v>17.863177570093459</v>
      </c>
      <c r="H36" s="74">
        <v>17.919</v>
      </c>
      <c r="I36" s="74">
        <v>18.020495327102804</v>
      </c>
      <c r="J36" s="74">
        <v>18.380803738317756</v>
      </c>
      <c r="K36" s="74">
        <v>20.156971962616822</v>
      </c>
      <c r="L36" s="74">
        <v>20.405635514018691</v>
      </c>
      <c r="M36" s="74">
        <v>20.715196261682241</v>
      </c>
      <c r="N36" s="74">
        <v>21.014607476635511</v>
      </c>
    </row>
    <row r="37" spans="2:14" x14ac:dyDescent="0.3">
      <c r="B37" t="s">
        <v>207</v>
      </c>
      <c r="C37" t="s">
        <v>208</v>
      </c>
      <c r="D37" s="74">
        <v>605.63699999999994</v>
      </c>
      <c r="E37" s="74">
        <v>613.84597247353656</v>
      </c>
      <c r="F37" s="74">
        <v>624.99216044308173</v>
      </c>
      <c r="G37" s="74">
        <v>636.34074039990639</v>
      </c>
      <c r="H37" s="74">
        <v>604.94226050750615</v>
      </c>
      <c r="I37" s="74">
        <v>597.8950000265861</v>
      </c>
      <c r="J37" s="74">
        <v>591.38646351724287</v>
      </c>
      <c r="K37" s="74">
        <v>584.94877732023133</v>
      </c>
      <c r="L37" s="74">
        <v>578.58117017664404</v>
      </c>
      <c r="M37" s="74">
        <v>568.32485419463796</v>
      </c>
      <c r="N37" s="74">
        <v>562.1382109503752</v>
      </c>
    </row>
    <row r="38" spans="2:14" x14ac:dyDescent="0.3">
      <c r="B38" t="s">
        <v>209</v>
      </c>
      <c r="C38" t="s">
        <v>210</v>
      </c>
      <c r="D38" s="74">
        <v>799.4</v>
      </c>
      <c r="E38" s="74">
        <v>813.9154697797394</v>
      </c>
      <c r="F38" s="74">
        <v>828.69451081657985</v>
      </c>
      <c r="G38" s="74">
        <v>843.74190902572923</v>
      </c>
      <c r="H38" s="74">
        <v>859.06253722483177</v>
      </c>
      <c r="I38" s="74">
        <v>849.71099575502819</v>
      </c>
      <c r="J38" s="74">
        <v>840.46125284362051</v>
      </c>
      <c r="K38" s="74">
        <v>831.31220033677926</v>
      </c>
      <c r="L38" s="74">
        <v>822.26274214376235</v>
      </c>
      <c r="M38" s="74">
        <v>813.31179410559946</v>
      </c>
      <c r="N38" s="74">
        <v>804.45828386520543</v>
      </c>
    </row>
    <row r="39" spans="2:14" x14ac:dyDescent="0.3">
      <c r="B39" t="s">
        <v>55</v>
      </c>
      <c r="C39" t="s">
        <v>211</v>
      </c>
      <c r="D39" s="74">
        <v>920.3</v>
      </c>
      <c r="E39" s="74">
        <v>942.65830121332203</v>
      </c>
      <c r="F39" s="74">
        <v>965.55978794565488</v>
      </c>
      <c r="G39" s="74">
        <v>989.017656660596</v>
      </c>
      <c r="H39" s="74">
        <v>1013.0454244242726</v>
      </c>
      <c r="I39" s="74">
        <v>1037.4736868172592</v>
      </c>
      <c r="J39" s="74">
        <v>1062.4910047344636</v>
      </c>
      <c r="K39" s="74">
        <v>1088.11158247765</v>
      </c>
      <c r="L39" s="74">
        <v>1114.3499668666996</v>
      </c>
      <c r="M39" s="74">
        <v>1141.2210554989849</v>
      </c>
      <c r="N39" s="74">
        <v>1168.7401052079097</v>
      </c>
    </row>
    <row r="40" spans="2:14" x14ac:dyDescent="0.3">
      <c r="B40" t="s">
        <v>212</v>
      </c>
      <c r="C40" t="s">
        <v>213</v>
      </c>
      <c r="D40" s="74">
        <v>0</v>
      </c>
      <c r="E40" s="74">
        <v>0</v>
      </c>
      <c r="F40" s="74">
        <v>0</v>
      </c>
      <c r="G40" s="74">
        <v>0</v>
      </c>
      <c r="H40" s="74">
        <v>0</v>
      </c>
      <c r="I40" s="74">
        <v>0</v>
      </c>
      <c r="J40" s="74">
        <v>0</v>
      </c>
      <c r="K40" s="74">
        <v>0</v>
      </c>
      <c r="L40" s="74">
        <v>0</v>
      </c>
      <c r="M40" s="74">
        <v>0</v>
      </c>
      <c r="N40" s="74">
        <v>0</v>
      </c>
    </row>
    <row r="41" spans="2:14" x14ac:dyDescent="0.3">
      <c r="B41" t="s">
        <v>214</v>
      </c>
      <c r="C41" t="s">
        <v>215</v>
      </c>
      <c r="D41" s="74">
        <v>0</v>
      </c>
      <c r="E41" s="74">
        <v>0</v>
      </c>
      <c r="F41" s="74">
        <v>0</v>
      </c>
      <c r="G41" s="74">
        <v>0</v>
      </c>
      <c r="H41" s="74">
        <v>0</v>
      </c>
      <c r="I41" s="74">
        <v>0</v>
      </c>
      <c r="J41" s="74">
        <v>0</v>
      </c>
      <c r="K41" s="74">
        <v>0</v>
      </c>
      <c r="L41" s="74">
        <v>0</v>
      </c>
      <c r="M41" s="74">
        <v>0</v>
      </c>
      <c r="N41" s="74">
        <v>0</v>
      </c>
    </row>
    <row r="42" spans="2:14" x14ac:dyDescent="0.3">
      <c r="B42" t="s">
        <v>216</v>
      </c>
      <c r="C42" t="s">
        <v>217</v>
      </c>
      <c r="D42" s="74">
        <v>52.756999999999998</v>
      </c>
      <c r="E42" s="74">
        <v>12</v>
      </c>
      <c r="F42" s="74">
        <v>12</v>
      </c>
      <c r="G42" s="74">
        <v>12</v>
      </c>
      <c r="H42" s="74">
        <v>12</v>
      </c>
      <c r="I42" s="74">
        <v>4.2219999999999995</v>
      </c>
      <c r="J42" s="74">
        <v>4.2219999999999995</v>
      </c>
      <c r="K42" s="74">
        <v>4.2219999999999995</v>
      </c>
      <c r="L42" s="74">
        <v>4.2219999999999995</v>
      </c>
      <c r="M42" s="74">
        <v>2.3719999999999999</v>
      </c>
      <c r="N42" s="74">
        <v>2.3719999999999999</v>
      </c>
    </row>
    <row r="43" spans="2:14" x14ac:dyDescent="0.3">
      <c r="B43" t="s">
        <v>864</v>
      </c>
      <c r="C43" t="s">
        <v>219</v>
      </c>
      <c r="D43" s="74">
        <v>27.819000000000003</v>
      </c>
      <c r="E43" s="74">
        <v>1.4159999999999999</v>
      </c>
      <c r="F43" s="74">
        <v>1.4159999999999999</v>
      </c>
      <c r="G43" s="74">
        <v>1.4159999999999999</v>
      </c>
      <c r="H43" s="74">
        <v>1.4159999999999999</v>
      </c>
      <c r="I43" s="74">
        <v>1.4790000000000001</v>
      </c>
      <c r="J43" s="74">
        <v>1.4790000000000001</v>
      </c>
      <c r="K43" s="74">
        <v>1.4790000000000001</v>
      </c>
      <c r="L43" s="74">
        <v>1.4790000000000001</v>
      </c>
      <c r="M43" s="74">
        <v>1.63</v>
      </c>
      <c r="N43" s="74">
        <v>1.63</v>
      </c>
    </row>
    <row r="44" spans="2:14" x14ac:dyDescent="0.3">
      <c r="B44" t="s">
        <v>220</v>
      </c>
      <c r="C44" t="s">
        <v>221</v>
      </c>
      <c r="D44" s="74">
        <v>1815.3019999999999</v>
      </c>
      <c r="E44" s="74">
        <v>1848.2440625000002</v>
      </c>
      <c r="F44" s="74">
        <v>1898.8232673750001</v>
      </c>
      <c r="G44" s="74">
        <v>1905.8232673750001</v>
      </c>
      <c r="H44" s="74">
        <v>1912.8232673750001</v>
      </c>
      <c r="I44" s="74">
        <v>1915.0722673750001</v>
      </c>
      <c r="J44" s="74">
        <v>1959.928037375</v>
      </c>
      <c r="K44" s="74">
        <v>1966.928037375</v>
      </c>
      <c r="L44" s="74">
        <v>1973.928037375</v>
      </c>
      <c r="M44" s="74">
        <v>1981.9560373750001</v>
      </c>
      <c r="N44" s="74">
        <v>2014.833217375</v>
      </c>
    </row>
    <row r="45" spans="2:14" x14ac:dyDescent="0.3">
      <c r="B45" t="s">
        <v>222</v>
      </c>
      <c r="C45" t="s">
        <v>223</v>
      </c>
      <c r="D45" s="74">
        <v>174.89999999999998</v>
      </c>
      <c r="E45" s="74">
        <v>177.61219387370579</v>
      </c>
      <c r="F45" s="74">
        <v>180.36644604134281</v>
      </c>
      <c r="G45" s="74">
        <v>183.16340870558193</v>
      </c>
      <c r="H45" s="74">
        <v>186.00374418287385</v>
      </c>
      <c r="I45" s="74">
        <v>188.88812506028458</v>
      </c>
      <c r="J45" s="74">
        <v>191.81723435476303</v>
      </c>
      <c r="K45" s="74">
        <v>194.79176567487843</v>
      </c>
      <c r="L45" s="74">
        <v>197.81242338506567</v>
      </c>
      <c r="M45" s="74">
        <v>200.87992277241776</v>
      </c>
      <c r="N45" s="74">
        <v>203.99499021606471</v>
      </c>
    </row>
    <row r="46" spans="2:14" x14ac:dyDescent="0.3">
      <c r="B46" t="s">
        <v>224</v>
      </c>
      <c r="C46" t="s">
        <v>225</v>
      </c>
      <c r="D46" s="74">
        <v>4521.3</v>
      </c>
      <c r="E46" s="74">
        <v>4551.0190720152614</v>
      </c>
      <c r="F46" s="74">
        <v>4544.8676839222089</v>
      </c>
      <c r="G46" s="74">
        <v>4561.1481332642215</v>
      </c>
      <c r="H46" s="74">
        <v>4577.8657982298319</v>
      </c>
      <c r="I46" s="74">
        <v>4581.3337918960706</v>
      </c>
      <c r="J46" s="74">
        <v>4588.1656521289278</v>
      </c>
      <c r="K46" s="74">
        <v>4595.1643406397661</v>
      </c>
      <c r="L46" s="74">
        <v>4602.3308285652874</v>
      </c>
      <c r="M46" s="74">
        <v>4618.5854622298712</v>
      </c>
      <c r="N46" s="74">
        <v>4630.1568421182028</v>
      </c>
    </row>
    <row r="47" spans="2:14" x14ac:dyDescent="0.3">
      <c r="B47" t="s">
        <v>226</v>
      </c>
      <c r="C47" t="s">
        <v>227</v>
      </c>
      <c r="D47" s="74">
        <v>2207.1</v>
      </c>
      <c r="E47" s="74">
        <v>2236.6129051275057</v>
      </c>
      <c r="F47" s="74">
        <v>2263.0458707440143</v>
      </c>
      <c r="G47" s="74">
        <v>2289.159990029701</v>
      </c>
      <c r="H47" s="74">
        <v>2314.5310511748094</v>
      </c>
      <c r="I47" s="74">
        <v>2338.1443958655282</v>
      </c>
      <c r="J47" s="74">
        <v>2361.3664215061503</v>
      </c>
      <c r="K47" s="74">
        <v>2382.9559638586984</v>
      </c>
      <c r="L47" s="74">
        <v>2404.3359612223162</v>
      </c>
      <c r="M47" s="74">
        <v>2426.7542649666989</v>
      </c>
      <c r="N47" s="74">
        <v>2448.808624379189</v>
      </c>
    </row>
    <row r="48" spans="2:14" x14ac:dyDescent="0.3">
      <c r="B48" t="s">
        <v>228</v>
      </c>
      <c r="C48" t="s">
        <v>229</v>
      </c>
      <c r="D48" s="74">
        <v>349.50195413008231</v>
      </c>
      <c r="E48" s="74">
        <v>397.64052507020307</v>
      </c>
      <c r="F48" s="74">
        <v>410.93245870623986</v>
      </c>
      <c r="G48" s="74">
        <v>424.7120104171741</v>
      </c>
      <c r="H48" s="74">
        <v>438.99706860009519</v>
      </c>
      <c r="I48" s="74">
        <v>444.50081322306482</v>
      </c>
      <c r="J48" s="74">
        <v>449.34534167153834</v>
      </c>
      <c r="K48" s="74">
        <v>454.24732741561337</v>
      </c>
      <c r="L48" s="74">
        <v>459.20745191290814</v>
      </c>
      <c r="M48" s="74">
        <v>445.38279824029598</v>
      </c>
      <c r="N48" s="74">
        <v>440.94025576348253</v>
      </c>
    </row>
    <row r="49" spans="2:14" x14ac:dyDescent="0.3">
      <c r="B49" t="s">
        <v>230</v>
      </c>
      <c r="C49" s="37" t="s">
        <v>231</v>
      </c>
      <c r="D49" s="74">
        <v>112.00035534253368</v>
      </c>
      <c r="E49" s="74">
        <v>112.81698206759772</v>
      </c>
      <c r="F49" s="74">
        <v>112.61282538633171</v>
      </c>
      <c r="G49" s="74">
        <v>112.00489215767293</v>
      </c>
      <c r="H49" s="74">
        <v>111.32436988678622</v>
      </c>
      <c r="I49" s="74">
        <v>110.73004710354516</v>
      </c>
      <c r="J49" s="74">
        <v>110.21738699281053</v>
      </c>
      <c r="K49" s="74">
        <v>110.08581935377244</v>
      </c>
      <c r="L49" s="74">
        <v>109.70019006693663</v>
      </c>
      <c r="M49" s="74">
        <v>110.30358648045618</v>
      </c>
      <c r="N49" s="74">
        <v>110.70282621270971</v>
      </c>
    </row>
    <row r="50" spans="2:14" x14ac:dyDescent="0.3">
      <c r="B50" s="37" t="s">
        <v>1486</v>
      </c>
      <c r="C50" s="37" t="s">
        <v>1485</v>
      </c>
      <c r="D50" s="74">
        <v>0</v>
      </c>
      <c r="E50" s="74">
        <v>0</v>
      </c>
      <c r="F50" s="74">
        <v>20.354099999999999</v>
      </c>
      <c r="G50" s="74">
        <v>20.595119999999998</v>
      </c>
      <c r="H50" s="74">
        <v>20.815079999999998</v>
      </c>
      <c r="I50" s="74">
        <v>21.006180000000001</v>
      </c>
      <c r="J50" s="74">
        <v>25.815300000000001</v>
      </c>
      <c r="K50" s="74">
        <v>26.04045</v>
      </c>
      <c r="L50" s="74">
        <v>26.26465</v>
      </c>
      <c r="M50" s="74">
        <v>26.498349999999999</v>
      </c>
      <c r="N50" s="74">
        <v>26.454419999999999</v>
      </c>
    </row>
    <row r="52" spans="2:14" x14ac:dyDescent="0.3">
      <c r="B52" s="1133" t="s">
        <v>232</v>
      </c>
      <c r="C52" s="1133"/>
      <c r="D52" s="1133"/>
      <c r="E52" s="1133"/>
      <c r="F52" s="1133"/>
      <c r="G52" s="1133"/>
      <c r="H52" s="1133"/>
      <c r="I52" s="1133"/>
      <c r="J52" s="1133"/>
      <c r="K52" s="1133"/>
      <c r="L52" s="1133"/>
      <c r="M52" s="1133"/>
      <c r="N52" s="1133"/>
    </row>
    <row r="53" spans="2:14" x14ac:dyDescent="0.3">
      <c r="B53" t="s">
        <v>178</v>
      </c>
      <c r="C53" t="s">
        <v>179</v>
      </c>
      <c r="D53" t="s">
        <v>184</v>
      </c>
      <c r="E53" t="s">
        <v>185</v>
      </c>
      <c r="F53" t="s">
        <v>186</v>
      </c>
      <c r="G53" t="s">
        <v>187</v>
      </c>
      <c r="H53" t="s">
        <v>188</v>
      </c>
      <c r="I53" t="s">
        <v>189</v>
      </c>
      <c r="J53" t="s">
        <v>190</v>
      </c>
      <c r="K53" t="s">
        <v>191</v>
      </c>
      <c r="L53" t="s">
        <v>175</v>
      </c>
      <c r="M53" t="s">
        <v>176</v>
      </c>
      <c r="N53" t="s">
        <v>177</v>
      </c>
    </row>
    <row r="54" spans="2:14" x14ac:dyDescent="0.3">
      <c r="B54" t="s">
        <v>192</v>
      </c>
      <c r="C54" t="s">
        <v>193</v>
      </c>
      <c r="D54" s="74">
        <f t="shared" ref="D54:J54" si="0">D4-D29</f>
        <v>0</v>
      </c>
      <c r="E54" s="74">
        <f t="shared" si="0"/>
        <v>0</v>
      </c>
      <c r="F54" s="74">
        <f t="shared" si="0"/>
        <v>0</v>
      </c>
      <c r="G54" s="74">
        <f t="shared" si="0"/>
        <v>0</v>
      </c>
      <c r="H54" s="74">
        <f t="shared" si="0"/>
        <v>0</v>
      </c>
      <c r="I54" s="74">
        <f t="shared" si="0"/>
        <v>0</v>
      </c>
      <c r="J54" s="74">
        <f t="shared" si="0"/>
        <v>0</v>
      </c>
      <c r="K54" s="74">
        <f t="shared" ref="K54:N54" si="1">K4-K29</f>
        <v>0</v>
      </c>
      <c r="L54" s="74">
        <f t="shared" si="1"/>
        <v>0</v>
      </c>
      <c r="M54" s="74">
        <f t="shared" si="1"/>
        <v>0</v>
      </c>
      <c r="N54" s="74">
        <f t="shared" si="1"/>
        <v>0</v>
      </c>
    </row>
    <row r="55" spans="2:14" x14ac:dyDescent="0.3">
      <c r="B55" t="s">
        <v>134</v>
      </c>
      <c r="C55" t="s">
        <v>194</v>
      </c>
      <c r="D55" s="74">
        <f t="shared" ref="D55:J55" si="2">D5-D30</f>
        <v>0</v>
      </c>
      <c r="E55" s="74">
        <f t="shared" si="2"/>
        <v>0</v>
      </c>
      <c r="F55" s="74">
        <f t="shared" si="2"/>
        <v>0</v>
      </c>
      <c r="G55" s="74">
        <f t="shared" si="2"/>
        <v>0</v>
      </c>
      <c r="H55" s="74">
        <f t="shared" si="2"/>
        <v>0</v>
      </c>
      <c r="I55" s="74">
        <f t="shared" si="2"/>
        <v>0</v>
      </c>
      <c r="J55" s="74">
        <f t="shared" si="2"/>
        <v>0</v>
      </c>
      <c r="K55" s="74">
        <f t="shared" ref="K55:N55" si="3">K5-K30</f>
        <v>0</v>
      </c>
      <c r="L55" s="74">
        <f t="shared" si="3"/>
        <v>0</v>
      </c>
      <c r="M55" s="74">
        <f t="shared" si="3"/>
        <v>0</v>
      </c>
      <c r="N55" s="74">
        <f t="shared" si="3"/>
        <v>0</v>
      </c>
    </row>
    <row r="56" spans="2:14" x14ac:dyDescent="0.3">
      <c r="B56" t="s">
        <v>195</v>
      </c>
      <c r="C56" t="s">
        <v>196</v>
      </c>
      <c r="D56" s="74">
        <f t="shared" ref="D56:J73" si="4">D6-D31</f>
        <v>0.10000000000013642</v>
      </c>
      <c r="E56" s="74">
        <f t="shared" si="4"/>
        <v>0.10093289383689807</v>
      </c>
      <c r="F56" s="74">
        <f t="shared" si="4"/>
        <v>0.1019341998883192</v>
      </c>
      <c r="G56" s="74">
        <f t="shared" si="4"/>
        <v>0.10286087443273573</v>
      </c>
      <c r="H56" s="74">
        <f t="shared" si="4"/>
        <v>0.10370047888568479</v>
      </c>
      <c r="I56" s="74">
        <f t="shared" si="4"/>
        <v>0.1044592325395115</v>
      </c>
      <c r="J56" s="74">
        <f t="shared" si="4"/>
        <v>0.10531127557692344</v>
      </c>
      <c r="K56" s="74">
        <f t="shared" ref="K56:N56" si="5">K6-K31</f>
        <v>0.10612600286094676</v>
      </c>
      <c r="L56" s="74">
        <f t="shared" si="5"/>
        <v>0.10694694943708782</v>
      </c>
      <c r="M56" s="74">
        <f t="shared" si="5"/>
        <v>0.10776789601345627</v>
      </c>
      <c r="N56" s="74">
        <f t="shared" si="5"/>
        <v>0.10844579886793326</v>
      </c>
    </row>
    <row r="57" spans="2:14" x14ac:dyDescent="0.3">
      <c r="B57" t="s">
        <v>197</v>
      </c>
      <c r="C57" t="s">
        <v>198</v>
      </c>
      <c r="D57" s="74">
        <f t="shared" si="4"/>
        <v>12.299999999999727</v>
      </c>
      <c r="E57" s="74">
        <f t="shared" si="4"/>
        <v>12.463217251035076</v>
      </c>
      <c r="F57" s="74">
        <f t="shared" si="4"/>
        <v>12.61541576141326</v>
      </c>
      <c r="G57" s="74">
        <f t="shared" si="4"/>
        <v>12.746961966548497</v>
      </c>
      <c r="H57" s="74">
        <f t="shared" si="4"/>
        <v>12.865937203274825</v>
      </c>
      <c r="I57" s="74">
        <f t="shared" si="4"/>
        <v>12.980871771583679</v>
      </c>
      <c r="J57" s="74">
        <f t="shared" si="4"/>
        <v>13.093561524105553</v>
      </c>
      <c r="K57" s="74">
        <f t="shared" ref="K57:N57" si="6">K7-K32</f>
        <v>13.205802313470485</v>
      </c>
      <c r="L57" s="74">
        <f t="shared" si="6"/>
        <v>13.32118584493719</v>
      </c>
      <c r="M57" s="74">
        <f t="shared" si="6"/>
        <v>13.440610044821369</v>
      </c>
      <c r="N57" s="74">
        <f t="shared" si="6"/>
        <v>0</v>
      </c>
    </row>
    <row r="58" spans="2:14" x14ac:dyDescent="0.3">
      <c r="B58" t="s">
        <v>199</v>
      </c>
      <c r="C58" t="s">
        <v>200</v>
      </c>
      <c r="D58" s="74">
        <f t="shared" si="4"/>
        <v>0</v>
      </c>
      <c r="E58" s="74">
        <f t="shared" si="4"/>
        <v>0</v>
      </c>
      <c r="F58" s="74">
        <f t="shared" si="4"/>
        <v>0</v>
      </c>
      <c r="G58" s="74">
        <f t="shared" si="4"/>
        <v>0</v>
      </c>
      <c r="H58" s="74">
        <f t="shared" si="4"/>
        <v>0</v>
      </c>
      <c r="I58" s="74">
        <f t="shared" si="4"/>
        <v>0</v>
      </c>
      <c r="J58" s="74">
        <f t="shared" si="4"/>
        <v>0</v>
      </c>
      <c r="K58" s="74">
        <f t="shared" ref="K58:N58" si="7">K8-K33</f>
        <v>0</v>
      </c>
      <c r="L58" s="74">
        <f t="shared" si="7"/>
        <v>0</v>
      </c>
      <c r="M58" s="74">
        <f t="shared" si="7"/>
        <v>0</v>
      </c>
      <c r="N58" s="74">
        <f t="shared" si="7"/>
        <v>0</v>
      </c>
    </row>
    <row r="59" spans="2:14" x14ac:dyDescent="0.3">
      <c r="B59" t="s">
        <v>201</v>
      </c>
      <c r="C59" t="s">
        <v>202</v>
      </c>
      <c r="D59" s="74">
        <f t="shared" si="4"/>
        <v>0</v>
      </c>
      <c r="E59" s="74">
        <f t="shared" si="4"/>
        <v>0</v>
      </c>
      <c r="F59" s="74">
        <f t="shared" si="4"/>
        <v>0</v>
      </c>
      <c r="G59" s="74">
        <f t="shared" si="4"/>
        <v>0</v>
      </c>
      <c r="H59" s="74">
        <f t="shared" si="4"/>
        <v>0</v>
      </c>
      <c r="I59" s="74">
        <f t="shared" si="4"/>
        <v>0</v>
      </c>
      <c r="J59" s="74">
        <f t="shared" si="4"/>
        <v>0</v>
      </c>
      <c r="K59" s="74">
        <f t="shared" ref="K59:N59" si="8">K9-K34</f>
        <v>0</v>
      </c>
      <c r="L59" s="74">
        <f t="shared" si="8"/>
        <v>0</v>
      </c>
      <c r="M59" s="74">
        <f t="shared" si="8"/>
        <v>0</v>
      </c>
      <c r="N59" s="74">
        <f t="shared" si="8"/>
        <v>0</v>
      </c>
    </row>
    <row r="60" spans="2:14" x14ac:dyDescent="0.3">
      <c r="B60" t="s">
        <v>203</v>
      </c>
      <c r="C60" t="s">
        <v>204</v>
      </c>
      <c r="D60" s="74">
        <f t="shared" si="4"/>
        <v>0</v>
      </c>
      <c r="E60" s="74">
        <f t="shared" si="4"/>
        <v>0</v>
      </c>
      <c r="F60" s="74">
        <f t="shared" si="4"/>
        <v>0</v>
      </c>
      <c r="G60" s="74">
        <f t="shared" si="4"/>
        <v>0</v>
      </c>
      <c r="H60" s="74">
        <f t="shared" si="4"/>
        <v>0</v>
      </c>
      <c r="I60" s="74">
        <f t="shared" si="4"/>
        <v>0</v>
      </c>
      <c r="J60" s="74">
        <f t="shared" si="4"/>
        <v>0</v>
      </c>
      <c r="K60" s="74">
        <f t="shared" ref="K60:N60" si="9">K10-K35</f>
        <v>0</v>
      </c>
      <c r="L60" s="74">
        <f t="shared" si="9"/>
        <v>0</v>
      </c>
      <c r="M60" s="74">
        <f t="shared" si="9"/>
        <v>0</v>
      </c>
      <c r="N60" s="74">
        <f t="shared" si="9"/>
        <v>0</v>
      </c>
    </row>
    <row r="61" spans="2:14" x14ac:dyDescent="0.3">
      <c r="B61" t="s">
        <v>205</v>
      </c>
      <c r="C61" t="s">
        <v>206</v>
      </c>
      <c r="D61" s="74">
        <f t="shared" si="4"/>
        <v>-0.10000000000000142</v>
      </c>
      <c r="E61" s="74">
        <f t="shared" si="4"/>
        <v>-0.10233644859812685</v>
      </c>
      <c r="F61" s="74">
        <f t="shared" si="4"/>
        <v>-0.10037383177569481</v>
      </c>
      <c r="G61" s="74">
        <f t="shared" si="4"/>
        <v>-9.8691588785040807E-2</v>
      </c>
      <c r="H61" s="74">
        <f t="shared" si="4"/>
        <v>-9.8999999999993094E-2</v>
      </c>
      <c r="I61" s="74">
        <f t="shared" si="4"/>
        <v>-9.956074766354206E-2</v>
      </c>
      <c r="J61" s="74">
        <f t="shared" si="4"/>
        <v>-0.10155140186914835</v>
      </c>
      <c r="K61" s="74">
        <f t="shared" ref="K61:N61" si="10">K11-K36</f>
        <v>-0.11136448598129789</v>
      </c>
      <c r="L61" s="74">
        <f t="shared" si="10"/>
        <v>-0.11273831775699605</v>
      </c>
      <c r="M61" s="74">
        <f t="shared" si="10"/>
        <v>-0.11444859813082786</v>
      </c>
      <c r="N61" s="74">
        <f t="shared" si="10"/>
        <v>-0.11610280373830406</v>
      </c>
    </row>
    <row r="62" spans="2:14" x14ac:dyDescent="0.3">
      <c r="B62" t="s">
        <v>207</v>
      </c>
      <c r="C62" t="s">
        <v>208</v>
      </c>
      <c r="D62" s="74">
        <f t="shared" si="4"/>
        <v>0</v>
      </c>
      <c r="E62" s="74">
        <f t="shared" si="4"/>
        <v>-10.734079799029132</v>
      </c>
      <c r="F62" s="74">
        <f t="shared" si="4"/>
        <v>-21.699088428377536</v>
      </c>
      <c r="G62" s="74">
        <f t="shared" si="4"/>
        <v>-32.86643461737151</v>
      </c>
      <c r="H62" s="74">
        <f t="shared" si="4"/>
        <v>-40.834152291552755</v>
      </c>
      <c r="I62" s="74">
        <f t="shared" si="4"/>
        <v>-40.443469252175646</v>
      </c>
      <c r="J62" s="74">
        <f t="shared" si="4"/>
        <v>-40.092671365865044</v>
      </c>
      <c r="K62" s="74">
        <f t="shared" ref="K62:N62" si="11">K12-K37</f>
        <v>-39.744703985936553</v>
      </c>
      <c r="L62" s="74">
        <f t="shared" si="11"/>
        <v>-39.399547216001338</v>
      </c>
      <c r="M62" s="74">
        <f t="shared" si="11"/>
        <v>-38.740404477064544</v>
      </c>
      <c r="N62" s="74">
        <f t="shared" si="11"/>
        <v>-38.403673629047489</v>
      </c>
    </row>
    <row r="63" spans="2:14" x14ac:dyDescent="0.3">
      <c r="B63" t="s">
        <v>209</v>
      </c>
      <c r="C63" t="s">
        <v>210</v>
      </c>
      <c r="D63" s="74">
        <f t="shared" si="4"/>
        <v>-9.3999999999999773</v>
      </c>
      <c r="E63" s="74">
        <f t="shared" si="4"/>
        <v>-23.678147849109337</v>
      </c>
      <c r="F63" s="74">
        <f t="shared" si="4"/>
        <v>-38.219795662030151</v>
      </c>
      <c r="G63" s="74">
        <f t="shared" si="4"/>
        <v>-53.029729332553302</v>
      </c>
      <c r="H63" s="74">
        <f t="shared" si="4"/>
        <v>-68.112821656899541</v>
      </c>
      <c r="I63" s="74">
        <f t="shared" si="4"/>
        <v>-67.4982937991374</v>
      </c>
      <c r="J63" s="74">
        <f t="shared" si="4"/>
        <v>-66.889053425357019</v>
      </c>
      <c r="K63" s="74">
        <f t="shared" ref="K63:N63" si="12">K13-K38</f>
        <v>-66.285058465393035</v>
      </c>
      <c r="L63" s="74">
        <f t="shared" si="12"/>
        <v>-65.68626713596052</v>
      </c>
      <c r="M63" s="74">
        <f>M13-M38</f>
        <v>-65.092637939422161</v>
      </c>
      <c r="N63" s="74">
        <f t="shared" si="12"/>
        <v>-64.504129662547484</v>
      </c>
    </row>
    <row r="64" spans="2:14" x14ac:dyDescent="0.3">
      <c r="B64" t="s">
        <v>55</v>
      </c>
      <c r="C64" t="s">
        <v>211</v>
      </c>
      <c r="D64" s="74">
        <f t="shared" si="4"/>
        <v>0</v>
      </c>
      <c r="E64" s="74">
        <f t="shared" si="4"/>
        <v>0</v>
      </c>
      <c r="F64" s="74">
        <f t="shared" si="4"/>
        <v>0</v>
      </c>
      <c r="G64" s="74">
        <f t="shared" si="4"/>
        <v>0</v>
      </c>
      <c r="H64" s="74">
        <f t="shared" si="4"/>
        <v>0</v>
      </c>
      <c r="I64" s="74">
        <f t="shared" si="4"/>
        <v>0</v>
      </c>
      <c r="J64" s="74">
        <f t="shared" si="4"/>
        <v>0</v>
      </c>
      <c r="K64" s="74">
        <f t="shared" ref="K64:N64" si="13">K14-K39</f>
        <v>0</v>
      </c>
      <c r="L64" s="74">
        <f t="shared" si="13"/>
        <v>0</v>
      </c>
      <c r="M64" s="74">
        <f t="shared" si="13"/>
        <v>0</v>
      </c>
      <c r="N64" s="74">
        <f t="shared" si="13"/>
        <v>0</v>
      </c>
    </row>
    <row r="65" spans="2:14" x14ac:dyDescent="0.3">
      <c r="B65" t="s">
        <v>212</v>
      </c>
      <c r="C65" t="s">
        <v>213</v>
      </c>
      <c r="D65" s="74">
        <f t="shared" si="4"/>
        <v>0</v>
      </c>
      <c r="E65" s="74">
        <f t="shared" si="4"/>
        <v>0</v>
      </c>
      <c r="F65" s="74">
        <f t="shared" si="4"/>
        <v>0</v>
      </c>
      <c r="G65" s="74">
        <f t="shared" si="4"/>
        <v>0</v>
      </c>
      <c r="H65" s="74">
        <f t="shared" si="4"/>
        <v>0</v>
      </c>
      <c r="I65" s="74">
        <f t="shared" si="4"/>
        <v>0</v>
      </c>
      <c r="J65" s="74">
        <f t="shared" si="4"/>
        <v>0</v>
      </c>
      <c r="K65" s="74">
        <f t="shared" ref="K65:N65" si="14">K15-K40</f>
        <v>0</v>
      </c>
      <c r="L65" s="74">
        <f t="shared" si="14"/>
        <v>0</v>
      </c>
      <c r="M65" s="74">
        <f t="shared" si="14"/>
        <v>0</v>
      </c>
      <c r="N65" s="74">
        <f t="shared" si="14"/>
        <v>0</v>
      </c>
    </row>
    <row r="66" spans="2:14" x14ac:dyDescent="0.3">
      <c r="B66" t="s">
        <v>214</v>
      </c>
      <c r="C66" t="s">
        <v>215</v>
      </c>
      <c r="D66" s="74">
        <f t="shared" si="4"/>
        <v>0</v>
      </c>
      <c r="E66" s="74">
        <f t="shared" si="4"/>
        <v>0</v>
      </c>
      <c r="F66" s="74">
        <f t="shared" si="4"/>
        <v>0</v>
      </c>
      <c r="G66" s="74">
        <f t="shared" si="4"/>
        <v>0</v>
      </c>
      <c r="H66" s="74">
        <f t="shared" si="4"/>
        <v>0</v>
      </c>
      <c r="I66" s="74">
        <f t="shared" si="4"/>
        <v>0</v>
      </c>
      <c r="J66" s="74">
        <f t="shared" si="4"/>
        <v>0</v>
      </c>
      <c r="K66" s="74">
        <f t="shared" ref="K66:N66" si="15">K16-K41</f>
        <v>0</v>
      </c>
      <c r="L66" s="74">
        <f t="shared" si="15"/>
        <v>0</v>
      </c>
      <c r="M66" s="74">
        <f t="shared" si="15"/>
        <v>0</v>
      </c>
      <c r="N66" s="74">
        <f t="shared" si="15"/>
        <v>0</v>
      </c>
    </row>
    <row r="67" spans="2:14" x14ac:dyDescent="0.3">
      <c r="B67" t="s">
        <v>216</v>
      </c>
      <c r="C67" t="s">
        <v>217</v>
      </c>
      <c r="D67" s="74">
        <f t="shared" si="4"/>
        <v>0</v>
      </c>
      <c r="E67" s="74">
        <f t="shared" si="4"/>
        <v>0</v>
      </c>
      <c r="F67" s="74">
        <f t="shared" si="4"/>
        <v>0</v>
      </c>
      <c r="G67" s="74">
        <f t="shared" si="4"/>
        <v>0</v>
      </c>
      <c r="H67" s="74">
        <f t="shared" si="4"/>
        <v>0</v>
      </c>
      <c r="I67" s="74">
        <f t="shared" si="4"/>
        <v>0</v>
      </c>
      <c r="J67" s="74">
        <f t="shared" si="4"/>
        <v>0</v>
      </c>
      <c r="K67" s="74">
        <f t="shared" ref="K67:N67" si="16">K17-K42</f>
        <v>0</v>
      </c>
      <c r="L67" s="74">
        <f t="shared" si="16"/>
        <v>0</v>
      </c>
      <c r="M67" s="74">
        <f t="shared" si="16"/>
        <v>0</v>
      </c>
      <c r="N67" s="74">
        <f t="shared" si="16"/>
        <v>0</v>
      </c>
    </row>
    <row r="68" spans="2:14" x14ac:dyDescent="0.3">
      <c r="B68" t="s">
        <v>891</v>
      </c>
      <c r="C68" t="s">
        <v>219</v>
      </c>
      <c r="D68" s="74">
        <f t="shared" si="4"/>
        <v>0</v>
      </c>
      <c r="E68" s="74">
        <f t="shared" si="4"/>
        <v>0</v>
      </c>
      <c r="F68" s="74">
        <f t="shared" si="4"/>
        <v>0</v>
      </c>
      <c r="G68" s="74">
        <f t="shared" si="4"/>
        <v>0</v>
      </c>
      <c r="H68" s="74">
        <f t="shared" si="4"/>
        <v>0</v>
      </c>
      <c r="I68" s="74">
        <f t="shared" si="4"/>
        <v>0</v>
      </c>
      <c r="J68" s="74">
        <f t="shared" si="4"/>
        <v>0</v>
      </c>
      <c r="K68" s="74">
        <f t="shared" ref="K68:N68" si="17">K18-K43</f>
        <v>0</v>
      </c>
      <c r="L68" s="74">
        <f t="shared" si="17"/>
        <v>0</v>
      </c>
      <c r="M68" s="74">
        <f t="shared" si="17"/>
        <v>0</v>
      </c>
      <c r="N68" s="74">
        <f t="shared" si="17"/>
        <v>0</v>
      </c>
    </row>
    <row r="69" spans="2:14" x14ac:dyDescent="0.3">
      <c r="B69" t="s">
        <v>220</v>
      </c>
      <c r="C69" t="s">
        <v>221</v>
      </c>
      <c r="D69" s="74">
        <f t="shared" si="4"/>
        <v>3.6000000000003638</v>
      </c>
      <c r="E69" s="74">
        <f t="shared" si="4"/>
        <v>3.9763750000001892</v>
      </c>
      <c r="F69" s="74">
        <f t="shared" si="4"/>
        <v>3.8542472500000713</v>
      </c>
      <c r="G69" s="74">
        <f t="shared" si="4"/>
        <v>3.8542472500000713</v>
      </c>
      <c r="H69" s="74">
        <f t="shared" si="4"/>
        <v>3.8542472500000713</v>
      </c>
      <c r="I69" s="74">
        <f t="shared" si="4"/>
        <v>3.8542472500000713</v>
      </c>
      <c r="J69" s="74">
        <f t="shared" si="4"/>
        <v>3.8705372500000976</v>
      </c>
      <c r="K69" s="74">
        <f t="shared" ref="K69:N69" si="18">K19-K44</f>
        <v>3.8705372500000976</v>
      </c>
      <c r="L69" s="74">
        <f t="shared" si="18"/>
        <v>3.8705372500000976</v>
      </c>
      <c r="M69" s="74">
        <f t="shared" si="18"/>
        <v>3.8705372500000976</v>
      </c>
      <c r="N69" s="74">
        <f t="shared" si="18"/>
        <v>3.881397250000191</v>
      </c>
    </row>
    <row r="70" spans="2:14" x14ac:dyDescent="0.3">
      <c r="B70" t="s">
        <v>222</v>
      </c>
      <c r="C70" t="s">
        <v>223</v>
      </c>
      <c r="D70" s="74">
        <f t="shared" si="4"/>
        <v>21.899999999999977</v>
      </c>
      <c r="E70" s="74">
        <f t="shared" si="4"/>
        <v>0.23960575090998759</v>
      </c>
      <c r="F70" s="74">
        <f t="shared" si="4"/>
        <v>0.24332134410451545</v>
      </c>
      <c r="G70" s="74">
        <f t="shared" si="4"/>
        <v>0.24709455541852776</v>
      </c>
      <c r="H70" s="74">
        <f t="shared" si="4"/>
        <v>0.25092627834266068</v>
      </c>
      <c r="I70" s="74">
        <f t="shared" si="4"/>
        <v>0.25481742022299159</v>
      </c>
      <c r="J70" s="74">
        <f t="shared" si="4"/>
        <v>0.25876890247596407</v>
      </c>
      <c r="K70" s="74">
        <f t="shared" ref="K70:N70" si="19">K20-K45</f>
        <v>0.26278166080643928</v>
      </c>
      <c r="L70" s="74">
        <f t="shared" si="19"/>
        <v>0.26685664542941367</v>
      </c>
      <c r="M70" s="74">
        <f t="shared" si="19"/>
        <v>0.27099482129497687</v>
      </c>
      <c r="N70" s="74">
        <f t="shared" si="19"/>
        <v>0.27519716831682217</v>
      </c>
    </row>
    <row r="71" spans="2:14" x14ac:dyDescent="0.3">
      <c r="B71" t="s">
        <v>224</v>
      </c>
      <c r="C71" t="s">
        <v>225</v>
      </c>
      <c r="D71" s="74">
        <f t="shared" si="4"/>
        <v>-16.099999999999454</v>
      </c>
      <c r="E71" s="74">
        <f t="shared" si="4"/>
        <v>23.845420023078077</v>
      </c>
      <c r="F71" s="74">
        <f t="shared" si="4"/>
        <v>-16.210767303059583</v>
      </c>
      <c r="G71" s="74">
        <f t="shared" si="4"/>
        <v>-16.26858264159182</v>
      </c>
      <c r="H71" s="74">
        <f t="shared" si="4"/>
        <v>-16.328046975829238</v>
      </c>
      <c r="I71" s="74">
        <f t="shared" si="4"/>
        <v>-16.350667659231476</v>
      </c>
      <c r="J71" s="74">
        <f t="shared" si="4"/>
        <v>-16.373904882135321</v>
      </c>
      <c r="K71" s="74">
        <f t="shared" ref="K71:N71" si="20">K21-K46</f>
        <v>-16.397762345996853</v>
      </c>
      <c r="L71" s="74">
        <f t="shared" si="20"/>
        <v>-16.422243789068489</v>
      </c>
      <c r="M71" s="74">
        <f t="shared" si="20"/>
        <v>-16.471039924961588</v>
      </c>
      <c r="N71" s="74">
        <f t="shared" si="20"/>
        <v>-16.520176935058771</v>
      </c>
    </row>
    <row r="72" spans="2:14" x14ac:dyDescent="0.3">
      <c r="B72" t="s">
        <v>226</v>
      </c>
      <c r="C72" t="s">
        <v>227</v>
      </c>
      <c r="D72" s="74">
        <f t="shared" si="4"/>
        <v>31.400000000000091</v>
      </c>
      <c r="E72" s="74">
        <f t="shared" si="4"/>
        <v>31.805351037637138</v>
      </c>
      <c r="F72" s="74">
        <f t="shared" si="4"/>
        <v>32.210383209198881</v>
      </c>
      <c r="G72" s="74">
        <f t="shared" si="4"/>
        <v>32.618297824396905</v>
      </c>
      <c r="H72" s="74">
        <f t="shared" si="4"/>
        <v>33.019675925524098</v>
      </c>
      <c r="I72" s="74">
        <f t="shared" si="4"/>
        <v>33.385577286594526</v>
      </c>
      <c r="J72" s="74">
        <f t="shared" si="4"/>
        <v>33.74881736497764</v>
      </c>
      <c r="K72" s="74">
        <f t="shared" ref="K72:N72" si="21">K22-K47</f>
        <v>34.082930731181932</v>
      </c>
      <c r="L72" s="74">
        <f t="shared" si="21"/>
        <v>34.426340507636723</v>
      </c>
      <c r="M72" s="74">
        <f t="shared" si="21"/>
        <v>34.773939601608618</v>
      </c>
      <c r="N72" s="74">
        <f t="shared" si="21"/>
        <v>35.108340526149277</v>
      </c>
    </row>
    <row r="73" spans="2:14" x14ac:dyDescent="0.3">
      <c r="B73" t="s">
        <v>228</v>
      </c>
      <c r="C73" t="s">
        <v>229</v>
      </c>
      <c r="D73" s="74">
        <f t="shared" si="4"/>
        <v>-14.901954130082288</v>
      </c>
      <c r="E73" s="74">
        <f t="shared" si="4"/>
        <v>-15.448636229473834</v>
      </c>
      <c r="F73" s="74">
        <f t="shared" si="4"/>
        <v>-16.015373505199079</v>
      </c>
      <c r="G73" s="74">
        <f t="shared" si="4"/>
        <v>-16.602901686666712</v>
      </c>
      <c r="H73" s="74">
        <f t="shared" si="4"/>
        <v>-17.211983493712069</v>
      </c>
      <c r="I73" s="74">
        <f t="shared" si="4"/>
        <v>-17.41612183947791</v>
      </c>
      <c r="J73" s="74">
        <f t="shared" si="4"/>
        <v>-17.622681316092951</v>
      </c>
      <c r="K73" s="74">
        <f t="shared" ref="K73:N73" si="22">K23-K48</f>
        <v>-17.831690638762836</v>
      </c>
      <c r="L73" s="74">
        <f t="shared" si="22"/>
        <v>-18.043178863262654</v>
      </c>
      <c r="M73" s="74">
        <f t="shared" si="22"/>
        <v>-18.09145948896645</v>
      </c>
      <c r="N73" s="74">
        <f t="shared" si="22"/>
        <v>-17.902039763473965</v>
      </c>
    </row>
    <row r="74" spans="2:14" x14ac:dyDescent="0.3">
      <c r="B74" t="s">
        <v>230</v>
      </c>
      <c r="C74" t="s">
        <v>231</v>
      </c>
      <c r="D74" s="74">
        <f t="shared" ref="D74:N74" si="23">D24-D49</f>
        <v>-10.400355342533686</v>
      </c>
      <c r="E74" s="74">
        <f t="shared" si="23"/>
        <v>-10.476187317324289</v>
      </c>
      <c r="F74" s="74">
        <f t="shared" si="23"/>
        <v>-10.45722932362662</v>
      </c>
      <c r="G74" s="74">
        <f t="shared" si="23"/>
        <v>-10.400776631282497</v>
      </c>
      <c r="H74" s="74">
        <f t="shared" si="23"/>
        <v>-10.337583318956973</v>
      </c>
      <c r="I74" s="74">
        <f t="shared" si="23"/>
        <v>-10.282394492859368</v>
      </c>
      <c r="J74" s="74">
        <f t="shared" si="23"/>
        <v>-10.234788864240826</v>
      </c>
      <c r="K74" s="74">
        <f t="shared" si="23"/>
        <v>-10.222571490524558</v>
      </c>
      <c r="L74" s="74">
        <f t="shared" si="23"/>
        <v>-10.186761946873418</v>
      </c>
      <c r="M74" s="74">
        <f t="shared" si="23"/>
        <v>-10.242793350468702</v>
      </c>
      <c r="N74" s="74">
        <f t="shared" si="23"/>
        <v>-10.27986676036636</v>
      </c>
    </row>
    <row r="75" spans="2:14" x14ac:dyDescent="0.3">
      <c r="B75" s="37" t="s">
        <v>1486</v>
      </c>
      <c r="C75" s="37" t="s">
        <v>1485</v>
      </c>
      <c r="D75" s="74">
        <f t="shared" ref="D75:N75" si="24">D25-D50</f>
        <v>0</v>
      </c>
      <c r="E75" s="74">
        <f t="shared" si="24"/>
        <v>0</v>
      </c>
      <c r="F75" s="74">
        <f t="shared" si="24"/>
        <v>-20.354099999999999</v>
      </c>
      <c r="G75" s="74">
        <f t="shared" si="24"/>
        <v>-20.595119999999998</v>
      </c>
      <c r="H75" s="74">
        <f t="shared" si="24"/>
        <v>0</v>
      </c>
      <c r="I75" s="74">
        <f t="shared" si="24"/>
        <v>0</v>
      </c>
      <c r="J75" s="74">
        <f t="shared" si="24"/>
        <v>0</v>
      </c>
      <c r="K75" s="74">
        <f t="shared" si="24"/>
        <v>0</v>
      </c>
      <c r="L75" s="74">
        <f t="shared" si="24"/>
        <v>0</v>
      </c>
      <c r="M75" s="74">
        <f t="shared" si="24"/>
        <v>0</v>
      </c>
      <c r="N75" s="74">
        <f t="shared" si="24"/>
        <v>0</v>
      </c>
    </row>
    <row r="77" spans="2:14" x14ac:dyDescent="0.3">
      <c r="B77" s="1133" t="s">
        <v>233</v>
      </c>
      <c r="C77" s="1133"/>
      <c r="D77" s="1133"/>
      <c r="E77" s="1133"/>
      <c r="F77" s="1133"/>
      <c r="G77" s="1133"/>
      <c r="H77" s="1133"/>
      <c r="I77" s="1133"/>
      <c r="J77" s="1133"/>
      <c r="K77" s="1133"/>
      <c r="L77" s="1133"/>
      <c r="M77" s="1133"/>
      <c r="N77" s="1133"/>
    </row>
    <row r="78" spans="2:14" x14ac:dyDescent="0.3">
      <c r="B78" t="s">
        <v>178</v>
      </c>
      <c r="C78" t="s">
        <v>179</v>
      </c>
      <c r="D78" t="s">
        <v>184</v>
      </c>
      <c r="E78" t="s">
        <v>185</v>
      </c>
      <c r="F78" t="s">
        <v>186</v>
      </c>
      <c r="G78" t="s">
        <v>187</v>
      </c>
      <c r="H78" t="s">
        <v>188</v>
      </c>
      <c r="I78" t="s">
        <v>189</v>
      </c>
      <c r="J78" t="s">
        <v>190</v>
      </c>
      <c r="K78" t="s">
        <v>191</v>
      </c>
      <c r="L78" t="s">
        <v>175</v>
      </c>
      <c r="M78" t="s">
        <v>176</v>
      </c>
      <c r="N78" t="s">
        <v>177</v>
      </c>
    </row>
    <row r="79" spans="2:14" x14ac:dyDescent="0.3">
      <c r="B79" t="s">
        <v>192</v>
      </c>
      <c r="C79" t="s">
        <v>193</v>
      </c>
      <c r="D79" s="75">
        <f t="shared" ref="D79:J79" si="25">(D4/D29-1)</f>
        <v>0</v>
      </c>
      <c r="E79" s="75">
        <f t="shared" si="25"/>
        <v>0</v>
      </c>
      <c r="F79" s="75">
        <f t="shared" si="25"/>
        <v>0</v>
      </c>
      <c r="G79" s="75">
        <f t="shared" si="25"/>
        <v>0</v>
      </c>
      <c r="H79" s="75">
        <f t="shared" si="25"/>
        <v>0</v>
      </c>
      <c r="I79" s="75">
        <f t="shared" si="25"/>
        <v>0</v>
      </c>
      <c r="J79" s="75">
        <f t="shared" si="25"/>
        <v>0</v>
      </c>
      <c r="K79" s="75">
        <f t="shared" ref="K79:N79" si="26">(K4/K29-1)</f>
        <v>0</v>
      </c>
      <c r="L79" s="75">
        <f t="shared" si="26"/>
        <v>0</v>
      </c>
      <c r="M79" s="75">
        <f t="shared" si="26"/>
        <v>0</v>
      </c>
      <c r="N79" s="75">
        <f t="shared" si="26"/>
        <v>0</v>
      </c>
    </row>
    <row r="80" spans="2:14" x14ac:dyDescent="0.3">
      <c r="B80" t="s">
        <v>134</v>
      </c>
      <c r="C80" t="s">
        <v>194</v>
      </c>
      <c r="D80" s="75">
        <f t="shared" ref="D80:J98" si="27">(D5/D30-1)</f>
        <v>0</v>
      </c>
      <c r="E80" s="75">
        <f t="shared" si="27"/>
        <v>0</v>
      </c>
      <c r="F80" s="75">
        <f t="shared" si="27"/>
        <v>0</v>
      </c>
      <c r="G80" s="75">
        <f t="shared" si="27"/>
        <v>0</v>
      </c>
      <c r="H80" s="75">
        <f t="shared" si="27"/>
        <v>0</v>
      </c>
      <c r="I80" s="75">
        <f t="shared" si="27"/>
        <v>0</v>
      </c>
      <c r="J80" s="75">
        <f t="shared" si="27"/>
        <v>0</v>
      </c>
      <c r="K80" s="75">
        <f t="shared" ref="K80:N80" si="28">(K5/K30-1)</f>
        <v>0</v>
      </c>
      <c r="L80" s="75">
        <f t="shared" si="28"/>
        <v>0</v>
      </c>
      <c r="M80" s="75">
        <f t="shared" si="28"/>
        <v>0</v>
      </c>
      <c r="N80" s="75">
        <f t="shared" si="28"/>
        <v>0</v>
      </c>
    </row>
    <row r="81" spans="2:14" x14ac:dyDescent="0.3">
      <c r="B81" t="s">
        <v>195</v>
      </c>
      <c r="C81" t="s">
        <v>196</v>
      </c>
      <c r="D81" s="75">
        <f t="shared" si="27"/>
        <v>6.0357315306625026E-5</v>
      </c>
      <c r="E81" s="75">
        <f t="shared" si="27"/>
        <v>6.0193787505768981E-5</v>
      </c>
      <c r="F81" s="75">
        <f t="shared" si="27"/>
        <v>6.0195389540274036E-5</v>
      </c>
      <c r="G81" s="75">
        <f t="shared" si="27"/>
        <v>6.0196844452464759E-5</v>
      </c>
      <c r="H81" s="75">
        <f t="shared" si="27"/>
        <v>6.0198140268141742E-5</v>
      </c>
      <c r="I81" s="75">
        <f t="shared" si="27"/>
        <v>6.0162368550109591E-5</v>
      </c>
      <c r="J81" s="75">
        <f t="shared" si="27"/>
        <v>6.0163940754476286E-5</v>
      </c>
      <c r="K81" s="75">
        <f t="shared" ref="K81:N81" si="29">(K6/K31-1)</f>
        <v>6.016542056741514E-5</v>
      </c>
      <c r="L81" s="75">
        <f t="shared" si="29"/>
        <v>6.0166888943058439E-5</v>
      </c>
      <c r="M81" s="75">
        <f t="shared" si="29"/>
        <v>6.0082728091437332E-5</v>
      </c>
      <c r="N81" s="75">
        <f t="shared" si="29"/>
        <v>6.0084436796392637E-5</v>
      </c>
    </row>
    <row r="82" spans="2:14" x14ac:dyDescent="0.3">
      <c r="B82" t="s">
        <v>197</v>
      </c>
      <c r="C82" t="s">
        <v>198</v>
      </c>
      <c r="D82" s="75">
        <f t="shared" si="27"/>
        <v>4.3658822276646525E-3</v>
      </c>
      <c r="E82" s="75">
        <f t="shared" si="27"/>
        <v>4.3658822276646525E-3</v>
      </c>
      <c r="F82" s="75">
        <f t="shared" si="27"/>
        <v>4.3658822276646525E-3</v>
      </c>
      <c r="G82" s="75">
        <f t="shared" si="27"/>
        <v>4.3658822276646525E-3</v>
      </c>
      <c r="H82" s="75">
        <f t="shared" si="27"/>
        <v>4.3658822276646525E-3</v>
      </c>
      <c r="I82" s="75">
        <f t="shared" si="27"/>
        <v>4.3658822276644305E-3</v>
      </c>
      <c r="J82" s="75">
        <f t="shared" si="27"/>
        <v>4.3658822276644305E-3</v>
      </c>
      <c r="K82" s="75">
        <f t="shared" ref="K82:N82" si="30">(K7/K32-1)</f>
        <v>4.3658822276646525E-3</v>
      </c>
      <c r="L82" s="75">
        <f t="shared" si="30"/>
        <v>4.3658822276646525E-3</v>
      </c>
      <c r="M82" s="75">
        <f t="shared" si="30"/>
        <v>4.3658822276646525E-3</v>
      </c>
      <c r="N82" s="75">
        <f t="shared" si="30"/>
        <v>0</v>
      </c>
    </row>
    <row r="83" spans="2:14" x14ac:dyDescent="0.3">
      <c r="B83" t="s">
        <v>199</v>
      </c>
      <c r="C83" t="s">
        <v>200</v>
      </c>
      <c r="D83" s="75">
        <f t="shared" si="27"/>
        <v>0</v>
      </c>
      <c r="E83" s="75">
        <f t="shared" si="27"/>
        <v>0</v>
      </c>
      <c r="F83" s="75">
        <f t="shared" si="27"/>
        <v>0</v>
      </c>
      <c r="G83" s="75">
        <f t="shared" si="27"/>
        <v>0</v>
      </c>
      <c r="H83" s="75">
        <f t="shared" si="27"/>
        <v>0</v>
      </c>
      <c r="I83" s="75">
        <f t="shared" si="27"/>
        <v>0</v>
      </c>
      <c r="J83" s="75">
        <f t="shared" si="27"/>
        <v>0</v>
      </c>
      <c r="K83" s="75">
        <f t="shared" ref="K83:N83" si="31">(K8/K33-1)</f>
        <v>0</v>
      </c>
      <c r="L83" s="75">
        <f t="shared" si="31"/>
        <v>0</v>
      </c>
      <c r="M83" s="75">
        <f t="shared" si="31"/>
        <v>0</v>
      </c>
      <c r="N83" s="75">
        <f t="shared" si="31"/>
        <v>0</v>
      </c>
    </row>
    <row r="84" spans="2:14" x14ac:dyDescent="0.3">
      <c r="B84" t="s">
        <v>201</v>
      </c>
      <c r="C84" t="s">
        <v>202</v>
      </c>
      <c r="D84" s="75">
        <f t="shared" si="27"/>
        <v>0</v>
      </c>
      <c r="E84" s="75">
        <f t="shared" si="27"/>
        <v>0</v>
      </c>
      <c r="F84" s="75">
        <f t="shared" si="27"/>
        <v>0</v>
      </c>
      <c r="G84" s="75">
        <f t="shared" si="27"/>
        <v>0</v>
      </c>
      <c r="H84" s="75">
        <f t="shared" si="27"/>
        <v>0</v>
      </c>
      <c r="I84" s="75">
        <f t="shared" si="27"/>
        <v>0</v>
      </c>
      <c r="J84" s="75">
        <f t="shared" si="27"/>
        <v>0</v>
      </c>
      <c r="K84" s="75">
        <f t="shared" ref="K84:N84" si="32">(K9/K34-1)</f>
        <v>0</v>
      </c>
      <c r="L84" s="75">
        <f t="shared" si="32"/>
        <v>0</v>
      </c>
      <c r="M84" s="75">
        <f t="shared" si="32"/>
        <v>0</v>
      </c>
      <c r="N84" s="75">
        <f t="shared" si="32"/>
        <v>0</v>
      </c>
    </row>
    <row r="85" spans="2:14" x14ac:dyDescent="0.3">
      <c r="B85" t="s">
        <v>203</v>
      </c>
      <c r="C85" t="s">
        <v>204</v>
      </c>
      <c r="D85" s="75">
        <f t="shared" si="27"/>
        <v>0</v>
      </c>
      <c r="E85" s="75" t="e">
        <f t="shared" si="27"/>
        <v>#DIV/0!</v>
      </c>
      <c r="F85" s="75" t="e">
        <f t="shared" si="27"/>
        <v>#DIV/0!</v>
      </c>
      <c r="G85" s="75" t="e">
        <f t="shared" si="27"/>
        <v>#DIV/0!</v>
      </c>
      <c r="H85" s="75" t="e">
        <f t="shared" si="27"/>
        <v>#DIV/0!</v>
      </c>
      <c r="I85" s="75" t="e">
        <f t="shared" si="27"/>
        <v>#DIV/0!</v>
      </c>
      <c r="J85" s="75" t="e">
        <f t="shared" si="27"/>
        <v>#DIV/0!</v>
      </c>
      <c r="K85" s="75" t="e">
        <f t="shared" ref="K85:N85" si="33">(K10/K35-1)</f>
        <v>#DIV/0!</v>
      </c>
      <c r="L85" s="75" t="e">
        <f t="shared" si="33"/>
        <v>#DIV/0!</v>
      </c>
      <c r="M85" s="75" t="e">
        <f t="shared" si="33"/>
        <v>#DIV/0!</v>
      </c>
      <c r="N85" s="75" t="e">
        <f t="shared" si="33"/>
        <v>#DIV/0!</v>
      </c>
    </row>
    <row r="86" spans="2:14" x14ac:dyDescent="0.3">
      <c r="B86" t="s">
        <v>205</v>
      </c>
      <c r="C86" t="s">
        <v>206</v>
      </c>
      <c r="D86" s="75">
        <f t="shared" si="27"/>
        <v>-5.5248618784531356E-3</v>
      </c>
      <c r="E86" s="75">
        <f t="shared" si="27"/>
        <v>-5.5248618784528025E-3</v>
      </c>
      <c r="F86" s="75">
        <f t="shared" si="27"/>
        <v>-5.5248618784526915E-3</v>
      </c>
      <c r="G86" s="75">
        <f t="shared" si="27"/>
        <v>-5.5248618784526915E-3</v>
      </c>
      <c r="H86" s="75">
        <f t="shared" si="27"/>
        <v>-5.5248618784526915E-3</v>
      </c>
      <c r="I86" s="75">
        <f t="shared" si="27"/>
        <v>-5.5248618784524695E-3</v>
      </c>
      <c r="J86" s="75">
        <f t="shared" si="27"/>
        <v>-5.5248618784524695E-3</v>
      </c>
      <c r="K86" s="75">
        <f t="shared" ref="K86:N86" si="34">(K11/K36-1)</f>
        <v>-5.5248618784524695E-3</v>
      </c>
      <c r="L86" s="75">
        <f t="shared" si="34"/>
        <v>-5.5248618784523584E-3</v>
      </c>
      <c r="M86" s="75">
        <f t="shared" si="34"/>
        <v>-5.5248618784523584E-3</v>
      </c>
      <c r="N86" s="75">
        <f t="shared" si="34"/>
        <v>-5.5248618784523584E-3</v>
      </c>
    </row>
    <row r="87" spans="2:14" x14ac:dyDescent="0.3">
      <c r="B87" t="s">
        <v>207</v>
      </c>
      <c r="C87" t="s">
        <v>208</v>
      </c>
      <c r="D87" s="75">
        <f t="shared" si="27"/>
        <v>0</v>
      </c>
      <c r="E87" s="75">
        <f t="shared" si="27"/>
        <v>-1.7486601330583551E-2</v>
      </c>
      <c r="F87" s="75">
        <f t="shared" si="27"/>
        <v>-3.4718976975637861E-2</v>
      </c>
      <c r="G87" s="75">
        <f t="shared" si="27"/>
        <v>-5.1649112701344091E-2</v>
      </c>
      <c r="H87" s="75">
        <f t="shared" si="27"/>
        <v>-6.7500908693824191E-2</v>
      </c>
      <c r="I87" s="75">
        <f t="shared" si="27"/>
        <v>-6.7643096614585008E-2</v>
      </c>
      <c r="J87" s="75">
        <f t="shared" si="27"/>
        <v>-6.7794367709087866E-2</v>
      </c>
      <c r="K87" s="75">
        <f t="shared" ref="K87:N87" si="35">(K12/K37-1)</f>
        <v>-6.7945614260474407E-2</v>
      </c>
      <c r="L87" s="75">
        <f t="shared" si="35"/>
        <v>-6.8096836272726335E-2</v>
      </c>
      <c r="M87" s="75">
        <f t="shared" si="35"/>
        <v>-6.8165951552414228E-2</v>
      </c>
      <c r="N87" s="75">
        <f t="shared" si="35"/>
        <v>-6.83171378158417E-2</v>
      </c>
    </row>
    <row r="88" spans="2:14" x14ac:dyDescent="0.3">
      <c r="B88" t="s">
        <v>209</v>
      </c>
      <c r="C88" t="s">
        <v>210</v>
      </c>
      <c r="D88" s="75">
        <f t="shared" si="27"/>
        <v>-1.1758819114335739E-2</v>
      </c>
      <c r="E88" s="75">
        <f t="shared" si="27"/>
        <v>-2.9091654758100494E-2</v>
      </c>
      <c r="F88" s="75">
        <f t="shared" si="27"/>
        <v>-4.6120488507120805E-2</v>
      </c>
      <c r="G88" s="75">
        <f t="shared" si="27"/>
        <v>-6.2850652273260699E-2</v>
      </c>
      <c r="H88" s="75">
        <f t="shared" si="27"/>
        <v>-7.9287384451585341E-2</v>
      </c>
      <c r="I88" s="75">
        <f t="shared" si="27"/>
        <v>-7.9436766308008555E-2</v>
      </c>
      <c r="J88" s="75">
        <f t="shared" si="27"/>
        <v>-7.9586123927836372E-2</v>
      </c>
      <c r="K88" s="75">
        <f t="shared" ref="K88:N88" si="36">(K13/K38-1)</f>
        <v>-7.9735457315001201E-2</v>
      </c>
      <c r="L88" s="75">
        <f t="shared" si="36"/>
        <v>-7.9884766473434676E-2</v>
      </c>
      <c r="M88" s="75">
        <f t="shared" si="36"/>
        <v>-8.0034051407067874E-2</v>
      </c>
      <c r="N88" s="75">
        <f t="shared" si="36"/>
        <v>-8.0183312119831096E-2</v>
      </c>
    </row>
    <row r="89" spans="2:14" x14ac:dyDescent="0.3">
      <c r="B89" t="s">
        <v>55</v>
      </c>
      <c r="C89" t="s">
        <v>211</v>
      </c>
      <c r="D89" s="75">
        <f t="shared" si="27"/>
        <v>0</v>
      </c>
      <c r="E89" s="75">
        <f t="shared" si="27"/>
        <v>0</v>
      </c>
      <c r="F89" s="75">
        <f t="shared" si="27"/>
        <v>0</v>
      </c>
      <c r="G89" s="75">
        <f t="shared" si="27"/>
        <v>0</v>
      </c>
      <c r="H89" s="75">
        <f t="shared" si="27"/>
        <v>0</v>
      </c>
      <c r="I89" s="75">
        <f t="shared" si="27"/>
        <v>0</v>
      </c>
      <c r="J89" s="75">
        <f t="shared" si="27"/>
        <v>0</v>
      </c>
      <c r="K89" s="75">
        <f t="shared" ref="K89:N89" si="37">(K14/K39-1)</f>
        <v>0</v>
      </c>
      <c r="L89" s="75">
        <f t="shared" si="37"/>
        <v>0</v>
      </c>
      <c r="M89" s="75">
        <f t="shared" si="37"/>
        <v>0</v>
      </c>
      <c r="N89" s="75">
        <f t="shared" si="37"/>
        <v>0</v>
      </c>
    </row>
    <row r="90" spans="2:14" x14ac:dyDescent="0.3">
      <c r="B90" t="s">
        <v>212</v>
      </c>
      <c r="C90" t="s">
        <v>213</v>
      </c>
      <c r="D90" s="75" t="e">
        <f t="shared" si="27"/>
        <v>#DIV/0!</v>
      </c>
      <c r="E90" s="75" t="e">
        <f t="shared" si="27"/>
        <v>#DIV/0!</v>
      </c>
      <c r="F90" s="75" t="e">
        <f t="shared" si="27"/>
        <v>#DIV/0!</v>
      </c>
      <c r="G90" s="75" t="e">
        <f t="shared" si="27"/>
        <v>#DIV/0!</v>
      </c>
      <c r="H90" s="75" t="e">
        <f t="shared" si="27"/>
        <v>#DIV/0!</v>
      </c>
      <c r="I90" s="75" t="e">
        <f t="shared" si="27"/>
        <v>#DIV/0!</v>
      </c>
      <c r="J90" s="75" t="e">
        <f t="shared" si="27"/>
        <v>#DIV/0!</v>
      </c>
      <c r="K90" s="75" t="e">
        <f t="shared" ref="K90:N90" si="38">(K15/K40-1)</f>
        <v>#DIV/0!</v>
      </c>
      <c r="L90" s="75" t="e">
        <f t="shared" si="38"/>
        <v>#DIV/0!</v>
      </c>
      <c r="M90" s="75" t="e">
        <f t="shared" si="38"/>
        <v>#DIV/0!</v>
      </c>
      <c r="N90" s="75" t="e">
        <f t="shared" si="38"/>
        <v>#DIV/0!</v>
      </c>
    </row>
    <row r="91" spans="2:14" x14ac:dyDescent="0.3">
      <c r="B91" t="s">
        <v>214</v>
      </c>
      <c r="C91" t="s">
        <v>215</v>
      </c>
      <c r="D91" s="75" t="e">
        <f t="shared" si="27"/>
        <v>#DIV/0!</v>
      </c>
      <c r="E91" s="75" t="e">
        <f t="shared" si="27"/>
        <v>#DIV/0!</v>
      </c>
      <c r="F91" s="75" t="e">
        <f t="shared" si="27"/>
        <v>#DIV/0!</v>
      </c>
      <c r="G91" s="75" t="e">
        <f t="shared" si="27"/>
        <v>#DIV/0!</v>
      </c>
      <c r="H91" s="75" t="e">
        <f t="shared" si="27"/>
        <v>#DIV/0!</v>
      </c>
      <c r="I91" s="75" t="e">
        <f t="shared" si="27"/>
        <v>#DIV/0!</v>
      </c>
      <c r="J91" s="75" t="e">
        <f t="shared" si="27"/>
        <v>#DIV/0!</v>
      </c>
      <c r="K91" s="75" t="e">
        <f t="shared" ref="K91:N91" si="39">(K16/K41-1)</f>
        <v>#DIV/0!</v>
      </c>
      <c r="L91" s="75" t="e">
        <f t="shared" si="39"/>
        <v>#DIV/0!</v>
      </c>
      <c r="M91" s="75" t="e">
        <f t="shared" si="39"/>
        <v>#DIV/0!</v>
      </c>
      <c r="N91" s="75" t="e">
        <f t="shared" si="39"/>
        <v>#DIV/0!</v>
      </c>
    </row>
    <row r="92" spans="2:14" x14ac:dyDescent="0.3">
      <c r="B92" t="s">
        <v>216</v>
      </c>
      <c r="C92" t="s">
        <v>217</v>
      </c>
      <c r="D92" s="75">
        <f t="shared" si="27"/>
        <v>0</v>
      </c>
      <c r="E92" s="75">
        <f t="shared" si="27"/>
        <v>0</v>
      </c>
      <c r="F92" s="75">
        <f t="shared" si="27"/>
        <v>0</v>
      </c>
      <c r="G92" s="75">
        <f t="shared" si="27"/>
        <v>0</v>
      </c>
      <c r="H92" s="75">
        <f t="shared" si="27"/>
        <v>0</v>
      </c>
      <c r="I92" s="75">
        <f t="shared" si="27"/>
        <v>0</v>
      </c>
      <c r="J92" s="75">
        <f t="shared" si="27"/>
        <v>0</v>
      </c>
      <c r="K92" s="75">
        <f t="shared" ref="K92:N92" si="40">(K17/K42-1)</f>
        <v>0</v>
      </c>
      <c r="L92" s="75">
        <f t="shared" si="40"/>
        <v>0</v>
      </c>
      <c r="M92" s="75">
        <f t="shared" si="40"/>
        <v>0</v>
      </c>
      <c r="N92" s="75">
        <f t="shared" si="40"/>
        <v>0</v>
      </c>
    </row>
    <row r="93" spans="2:14" x14ac:dyDescent="0.3">
      <c r="B93" t="s">
        <v>218</v>
      </c>
      <c r="C93" t="s">
        <v>219</v>
      </c>
      <c r="D93" s="75">
        <f t="shared" si="27"/>
        <v>0</v>
      </c>
      <c r="E93" s="75">
        <f t="shared" si="27"/>
        <v>0</v>
      </c>
      <c r="F93" s="75">
        <f t="shared" si="27"/>
        <v>0</v>
      </c>
      <c r="G93" s="75">
        <f t="shared" si="27"/>
        <v>0</v>
      </c>
      <c r="H93" s="75">
        <f t="shared" si="27"/>
        <v>0</v>
      </c>
      <c r="I93" s="75">
        <f t="shared" si="27"/>
        <v>0</v>
      </c>
      <c r="J93" s="75">
        <f t="shared" si="27"/>
        <v>0</v>
      </c>
      <c r="K93" s="75">
        <f t="shared" ref="K93:N93" si="41">(K18/K43-1)</f>
        <v>0</v>
      </c>
      <c r="L93" s="75">
        <f t="shared" si="41"/>
        <v>0</v>
      </c>
      <c r="M93" s="75">
        <f t="shared" si="41"/>
        <v>0</v>
      </c>
      <c r="N93" s="75">
        <f t="shared" si="41"/>
        <v>0</v>
      </c>
    </row>
    <row r="94" spans="2:14" x14ac:dyDescent="0.3">
      <c r="B94" t="s">
        <v>220</v>
      </c>
      <c r="C94" t="s">
        <v>221</v>
      </c>
      <c r="D94" s="75">
        <f t="shared" si="27"/>
        <v>1.9831410971840047E-3</v>
      </c>
      <c r="E94" s="75">
        <f t="shared" si="27"/>
        <v>2.1514339370427571E-3</v>
      </c>
      <c r="F94" s="75">
        <f t="shared" si="27"/>
        <v>2.0298083114014265E-3</v>
      </c>
      <c r="G94" s="75">
        <f t="shared" si="27"/>
        <v>2.0223529201155444E-3</v>
      </c>
      <c r="H94" s="75">
        <f t="shared" si="27"/>
        <v>2.0149520950198951E-3</v>
      </c>
      <c r="I94" s="75">
        <f t="shared" si="27"/>
        <v>2.0125857993249507E-3</v>
      </c>
      <c r="J94" s="75">
        <f t="shared" si="27"/>
        <v>1.9748364104144045E-3</v>
      </c>
      <c r="K94" s="75">
        <f t="shared" ref="K94:N94" si="42">(K19/K44-1)</f>
        <v>1.967808265708415E-3</v>
      </c>
      <c r="L94" s="75">
        <f t="shared" si="42"/>
        <v>1.9608299678175456E-3</v>
      </c>
      <c r="M94" s="75">
        <f t="shared" si="42"/>
        <v>1.9528875398904244E-3</v>
      </c>
      <c r="N94" s="75">
        <f t="shared" si="42"/>
        <v>1.9264111870544998E-3</v>
      </c>
    </row>
    <row r="95" spans="2:14" x14ac:dyDescent="0.3">
      <c r="B95" t="s">
        <v>222</v>
      </c>
      <c r="C95" t="s">
        <v>223</v>
      </c>
      <c r="D95" s="75">
        <f t="shared" si="27"/>
        <v>0.12521440823327601</v>
      </c>
      <c r="E95" s="75">
        <f t="shared" si="27"/>
        <v>1.3490388564219025E-3</v>
      </c>
      <c r="F95" s="75">
        <f t="shared" si="27"/>
        <v>1.3490388564219025E-3</v>
      </c>
      <c r="G95" s="75">
        <f t="shared" si="27"/>
        <v>1.3490388564219025E-3</v>
      </c>
      <c r="H95" s="75">
        <f t="shared" si="27"/>
        <v>1.3490388564219025E-3</v>
      </c>
      <c r="I95" s="75">
        <f t="shared" si="27"/>
        <v>1.3490388564219025E-3</v>
      </c>
      <c r="J95" s="75">
        <f t="shared" si="27"/>
        <v>1.3490388564219025E-3</v>
      </c>
      <c r="K95" s="75">
        <f t="shared" ref="K95:N95" si="43">(K20/K45-1)</f>
        <v>1.3490388564219025E-3</v>
      </c>
      <c r="L95" s="75">
        <f t="shared" si="43"/>
        <v>1.3490388564219025E-3</v>
      </c>
      <c r="M95" s="75">
        <f t="shared" si="43"/>
        <v>1.3490388564216804E-3</v>
      </c>
      <c r="N95" s="75">
        <f t="shared" si="43"/>
        <v>1.3490388564216804E-3</v>
      </c>
    </row>
    <row r="96" spans="2:14" x14ac:dyDescent="0.3">
      <c r="B96" t="s">
        <v>224</v>
      </c>
      <c r="C96" t="s">
        <v>225</v>
      </c>
      <c r="D96" s="75">
        <f t="shared" si="27"/>
        <v>-3.5609227434586499E-3</v>
      </c>
      <c r="E96" s="75">
        <f t="shared" si="27"/>
        <v>5.239578135302958E-3</v>
      </c>
      <c r="F96" s="75">
        <f t="shared" si="27"/>
        <v>-3.5668293183553912E-3</v>
      </c>
      <c r="G96" s="75">
        <f t="shared" si="27"/>
        <v>-3.5667735767987985E-3</v>
      </c>
      <c r="H96" s="75">
        <f t="shared" si="27"/>
        <v>-3.5667377978059189E-3</v>
      </c>
      <c r="I96" s="75">
        <f t="shared" si="27"/>
        <v>-3.5689754123906514E-3</v>
      </c>
      <c r="J96" s="75">
        <f t="shared" si="27"/>
        <v>-3.5687257443588472E-3</v>
      </c>
      <c r="K96" s="75">
        <f t="shared" ref="K96:N96" si="44">(K21/K46-1)</f>
        <v>-3.5684822414238093E-3</v>
      </c>
      <c r="L96" s="75">
        <f t="shared" si="44"/>
        <v>-3.5682449612576272E-3</v>
      </c>
      <c r="M96" s="75">
        <f t="shared" si="44"/>
        <v>-3.5662520612986803E-3</v>
      </c>
      <c r="N96" s="75">
        <f t="shared" si="44"/>
        <v>-3.5679519071110111E-3</v>
      </c>
    </row>
    <row r="97" spans="2:14" x14ac:dyDescent="0.3">
      <c r="B97" t="s">
        <v>226</v>
      </c>
      <c r="C97" t="s">
        <v>227</v>
      </c>
      <c r="D97" s="75">
        <f t="shared" si="27"/>
        <v>1.4226813465633592E-2</v>
      </c>
      <c r="E97" s="75">
        <f t="shared" si="27"/>
        <v>1.4220319915315915E-2</v>
      </c>
      <c r="F97" s="75">
        <f t="shared" si="27"/>
        <v>1.4233199435152999E-2</v>
      </c>
      <c r="G97" s="75">
        <f t="shared" si="27"/>
        <v>1.4249024955208078E-2</v>
      </c>
      <c r="H97" s="75">
        <f t="shared" si="27"/>
        <v>1.4266248840672846E-2</v>
      </c>
      <c r="I97" s="75">
        <f t="shared" si="27"/>
        <v>1.4278663604193609E-2</v>
      </c>
      <c r="J97" s="75">
        <f t="shared" si="27"/>
        <v>1.4292071343782187E-2</v>
      </c>
      <c r="K97" s="75">
        <f t="shared" ref="K97:N97" si="45">(K22/K47-1)</f>
        <v>1.4302795036124749E-2</v>
      </c>
      <c r="L97" s="75">
        <f t="shared" si="45"/>
        <v>1.4318440127699672E-2</v>
      </c>
      <c r="M97" s="75">
        <f t="shared" si="45"/>
        <v>1.4329402899838195E-2</v>
      </c>
      <c r="N97" s="75">
        <f t="shared" si="45"/>
        <v>1.4336906598836352E-2</v>
      </c>
    </row>
    <row r="98" spans="2:14" x14ac:dyDescent="0.3">
      <c r="B98" t="s">
        <v>228</v>
      </c>
      <c r="C98" t="s">
        <v>229</v>
      </c>
      <c r="D98" s="75">
        <f t="shared" si="27"/>
        <v>-4.2637684722460434E-2</v>
      </c>
      <c r="E98" s="75">
        <f t="shared" si="27"/>
        <v>-3.885075905366131E-2</v>
      </c>
      <c r="F98" s="75">
        <f t="shared" si="27"/>
        <v>-3.8973250143396143E-2</v>
      </c>
      <c r="G98" s="75">
        <f t="shared" si="27"/>
        <v>-3.9092140743461679E-2</v>
      </c>
      <c r="H98" s="75">
        <f t="shared" si="27"/>
        <v>-3.9207513500258306E-2</v>
      </c>
      <c r="I98" s="75">
        <f t="shared" si="27"/>
        <v>-3.9181304783660664E-2</v>
      </c>
      <c r="J98" s="75">
        <f t="shared" si="27"/>
        <v>-3.9218569064358388E-2</v>
      </c>
      <c r="K98" s="75">
        <f t="shared" ref="K98:N98" si="46">(K23/K48-1)</f>
        <v>-3.9255466268154238E-2</v>
      </c>
      <c r="L98" s="75">
        <f t="shared" si="46"/>
        <v>-3.9291999265474997E-2</v>
      </c>
      <c r="M98" s="75">
        <f t="shared" si="46"/>
        <v>-4.0620022956534663E-2</v>
      </c>
      <c r="N98" s="75">
        <f t="shared" si="46"/>
        <v>-4.0599694696681343E-2</v>
      </c>
    </row>
    <row r="99" spans="2:14" x14ac:dyDescent="0.3">
      <c r="B99" t="s">
        <v>230</v>
      </c>
      <c r="C99" t="s">
        <v>231</v>
      </c>
      <c r="D99" s="75">
        <f t="shared" ref="D99:N99" si="47">(D24/D49-1)</f>
        <v>-9.2860020941237242E-2</v>
      </c>
      <c r="E99" s="75">
        <f t="shared" si="47"/>
        <v>-9.286002094123702E-2</v>
      </c>
      <c r="F99" s="75">
        <f t="shared" si="47"/>
        <v>-9.2860020941236909E-2</v>
      </c>
      <c r="G99" s="75">
        <f t="shared" si="47"/>
        <v>-9.286002094123702E-2</v>
      </c>
      <c r="H99" s="75">
        <f t="shared" si="47"/>
        <v>-9.2860020941236909E-2</v>
      </c>
      <c r="I99" s="75">
        <f t="shared" si="47"/>
        <v>-9.286002094123702E-2</v>
      </c>
      <c r="J99" s="75">
        <f t="shared" si="47"/>
        <v>-9.2860020941237131E-2</v>
      </c>
      <c r="K99" s="75">
        <f t="shared" si="47"/>
        <v>-9.2860020941237131E-2</v>
      </c>
      <c r="L99" s="75">
        <f t="shared" si="47"/>
        <v>-9.286002094123702E-2</v>
      </c>
      <c r="M99" s="75">
        <f t="shared" si="47"/>
        <v>-9.2860020941236909E-2</v>
      </c>
      <c r="N99" s="75">
        <f t="shared" si="47"/>
        <v>-9.2860020941237131E-2</v>
      </c>
    </row>
    <row r="100" spans="2:14" x14ac:dyDescent="0.3">
      <c r="B100" s="37" t="s">
        <v>1486</v>
      </c>
      <c r="C100" s="37" t="s">
        <v>1485</v>
      </c>
      <c r="D100" s="75" t="e">
        <f t="shared" ref="D100:N100" si="48">(D25/D50-1)</f>
        <v>#DIV/0!</v>
      </c>
      <c r="E100" s="75" t="e">
        <f t="shared" si="48"/>
        <v>#DIV/0!</v>
      </c>
      <c r="F100" s="75">
        <f t="shared" si="48"/>
        <v>-1</v>
      </c>
      <c r="G100" s="75">
        <f t="shared" si="48"/>
        <v>-1</v>
      </c>
      <c r="H100" s="75">
        <f t="shared" si="48"/>
        <v>0</v>
      </c>
      <c r="I100" s="75">
        <f t="shared" si="48"/>
        <v>0</v>
      </c>
      <c r="J100" s="75">
        <f t="shared" si="48"/>
        <v>0</v>
      </c>
      <c r="K100" s="75">
        <f t="shared" si="48"/>
        <v>0</v>
      </c>
      <c r="L100" s="75">
        <f t="shared" si="48"/>
        <v>0</v>
      </c>
      <c r="M100" s="75">
        <f t="shared" si="48"/>
        <v>0</v>
      </c>
      <c r="N100" s="75">
        <f t="shared" si="48"/>
        <v>0</v>
      </c>
    </row>
  </sheetData>
  <mergeCells count="4">
    <mergeCell ref="B2:N2"/>
    <mergeCell ref="B77:N77"/>
    <mergeCell ref="B52:N52"/>
    <mergeCell ref="B27:N27"/>
  </mergeCells>
  <conditionalFormatting sqref="D54:N75 D79:N100">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3"/>
  <sheetViews>
    <sheetView zoomScaleNormal="100" workbookViewId="0">
      <selection activeCell="C21" sqref="C21"/>
    </sheetView>
  </sheetViews>
  <sheetFormatPr defaultColWidth="11.5546875" defaultRowHeight="14.4" x14ac:dyDescent="0.3"/>
  <cols>
    <col min="1" max="1" width="41.21875" customWidth="1"/>
    <col min="2" max="2" width="23.44140625" customWidth="1"/>
    <col min="3" max="9" width="10.44140625" customWidth="1"/>
  </cols>
  <sheetData>
    <row r="1" spans="1:14" x14ac:dyDescent="0.3">
      <c r="A1" s="76" t="s">
        <v>178</v>
      </c>
      <c r="B1" s="76" t="s">
        <v>179</v>
      </c>
      <c r="C1" s="77" t="s">
        <v>184</v>
      </c>
      <c r="D1" s="77" t="s">
        <v>185</v>
      </c>
      <c r="E1" s="77" t="s">
        <v>186</v>
      </c>
      <c r="F1" s="77" t="s">
        <v>187</v>
      </c>
      <c r="G1" s="77" t="s">
        <v>188</v>
      </c>
      <c r="H1" s="77" t="s">
        <v>189</v>
      </c>
      <c r="I1" s="77" t="s">
        <v>190</v>
      </c>
      <c r="J1" s="77" t="s">
        <v>191</v>
      </c>
      <c r="K1" s="77" t="s">
        <v>175</v>
      </c>
      <c r="L1" s="77" t="s">
        <v>176</v>
      </c>
      <c r="M1" s="77" t="s">
        <v>177</v>
      </c>
      <c r="N1" s="76"/>
    </row>
    <row r="2" spans="1:14" x14ac:dyDescent="0.3">
      <c r="A2" t="s">
        <v>192</v>
      </c>
      <c r="B2" t="s">
        <v>193</v>
      </c>
      <c r="C2" s="74">
        <f>Grants!S85</f>
        <v>492.38786800000003</v>
      </c>
      <c r="D2" s="74">
        <f>Grants!T85</f>
        <v>483.36755273237202</v>
      </c>
      <c r="E2" s="74">
        <f>Grants!U85</f>
        <v>468.25943079425093</v>
      </c>
      <c r="F2" s="74">
        <f>Grants!V85</f>
        <v>472.80054303303206</v>
      </c>
      <c r="G2" s="74">
        <f>Grants!W85</f>
        <v>471.87100266666664</v>
      </c>
      <c r="H2" s="74">
        <f>Grants!X85</f>
        <v>472.47773764166686</v>
      </c>
      <c r="I2" s="74">
        <f>Grants!Y85</f>
        <v>461.31629365802087</v>
      </c>
      <c r="J2" s="74">
        <f>Grants!Z85</f>
        <v>441.70520399435327</v>
      </c>
      <c r="K2" s="74">
        <f>Grants!AA85</f>
        <v>446.41869053333329</v>
      </c>
      <c r="L2" s="74">
        <f>Grants!AB85</f>
        <v>451.42557348733351</v>
      </c>
      <c r="M2" s="74">
        <f>Grants!AC85</f>
        <v>434.85302592434175</v>
      </c>
      <c r="N2" s="74"/>
    </row>
    <row r="3" spans="1:14" x14ac:dyDescent="0.3">
      <c r="A3" t="s">
        <v>134</v>
      </c>
      <c r="B3" t="s">
        <v>194</v>
      </c>
      <c r="C3" s="74">
        <f>Grants!S116</f>
        <v>75.340000000000018</v>
      </c>
      <c r="D3" s="74">
        <f>Grants!T116</f>
        <v>76.15900000000002</v>
      </c>
      <c r="E3" s="74">
        <f>Grants!U116</f>
        <v>76.15900000000002</v>
      </c>
      <c r="F3" s="74">
        <f>Grants!V116</f>
        <v>76.15900000000002</v>
      </c>
      <c r="G3" s="74">
        <f>Grants!W116</f>
        <v>76.15900000000002</v>
      </c>
      <c r="H3" s="74">
        <f>Grants!X116</f>
        <v>77.818000000000012</v>
      </c>
      <c r="I3" s="74">
        <f>Grants!Y116</f>
        <v>77.818000000000012</v>
      </c>
      <c r="J3" s="74">
        <f>Grants!Z116</f>
        <v>77.818000000000012</v>
      </c>
      <c r="K3" s="74">
        <f>Grants!AA116</f>
        <v>77.818000000000012</v>
      </c>
      <c r="L3" s="74">
        <f>Grants!AB116</f>
        <v>79.41200000000002</v>
      </c>
      <c r="M3" s="74">
        <f>Grants!AC116</f>
        <v>79.41200000000002</v>
      </c>
      <c r="N3" s="74"/>
    </row>
    <row r="4" spans="1:14" x14ac:dyDescent="0.3">
      <c r="A4" t="s">
        <v>195</v>
      </c>
      <c r="B4" t="s">
        <v>196</v>
      </c>
      <c r="C4" s="74">
        <f>'Federal and State Purchases'!S13</f>
        <v>1656.9</v>
      </c>
      <c r="D4" s="74">
        <f>'Federal and State Purchases'!T13</f>
        <v>1676.9001179799739</v>
      </c>
      <c r="E4" s="74">
        <f>'Federal and State Purchases'!U13</f>
        <v>1693.4907579451458</v>
      </c>
      <c r="F4" s="74">
        <f>'Federal and State Purchases'!V13</f>
        <v>1708.8448284719198</v>
      </c>
      <c r="G4" s="74">
        <f>'Federal and State Purchases'!W13</f>
        <v>1722.7562346538962</v>
      </c>
      <c r="H4" s="74">
        <f>'Federal and State Purchases'!X13</f>
        <v>1736.3930239442748</v>
      </c>
      <c r="I4" s="74">
        <f>'Federal and State Purchases'!Y13</f>
        <v>1750.510525032651</v>
      </c>
      <c r="J4" s="74">
        <f>'Federal and State Purchases'!Z13</f>
        <v>1764.0097414018283</v>
      </c>
      <c r="K4" s="74">
        <f>'Federal and State Purchases'!AA13</f>
        <v>1777.6120052242049</v>
      </c>
      <c r="L4" s="74">
        <f>'Federal and State Purchases'!AB13</f>
        <v>1793.7662690465822</v>
      </c>
      <c r="M4" s="74">
        <f>'Federal and State Purchases'!AC13</f>
        <v>1804.9984414453634</v>
      </c>
      <c r="N4" s="74"/>
    </row>
    <row r="5" spans="1:14" x14ac:dyDescent="0.3">
      <c r="A5" t="s">
        <v>197</v>
      </c>
      <c r="B5" t="s">
        <v>198</v>
      </c>
      <c r="C5" s="74">
        <f>'Federal and State Purchases'!S35</f>
        <v>2829.6</v>
      </c>
      <c r="D5" s="74">
        <f>'Federal and State Purchases'!T35</f>
        <v>2867.1479295552822</v>
      </c>
      <c r="E5" s="74">
        <f>'Federal and State Purchases'!U35</f>
        <v>2902.161011259866</v>
      </c>
      <c r="F5" s="74">
        <f>'Federal and State Purchases'!V35</f>
        <v>2932.4230553290195</v>
      </c>
      <c r="G5" s="74">
        <f>'Federal and State Purchases'!W35</f>
        <v>2959.7931634461715</v>
      </c>
      <c r="H5" s="74">
        <f>'Federal and State Purchases'!X35</f>
        <v>2986.2337207216096</v>
      </c>
      <c r="I5" s="74">
        <f>'Federal and State Purchases'!Y35</f>
        <v>3012.157860862761</v>
      </c>
      <c r="J5" s="74">
        <f>'Federal and State Purchases'!Z35</f>
        <v>3037.9787175770557</v>
      </c>
      <c r="K5" s="74">
        <f>'Federal and State Purchases'!AA35</f>
        <v>3064.5225582793501</v>
      </c>
      <c r="L5" s="74">
        <f>'Federal and State Purchases'!AB35</f>
        <v>3091.9959498233598</v>
      </c>
      <c r="M5" s="74">
        <f>'Federal and State Purchases'!AC35</f>
        <v>3137.5691162790699</v>
      </c>
      <c r="N5" s="74"/>
    </row>
    <row r="6" spans="1:14" x14ac:dyDescent="0.3">
      <c r="A6" t="s">
        <v>199</v>
      </c>
      <c r="B6" t="s">
        <v>200</v>
      </c>
      <c r="C6" s="74">
        <f>Subsidies!S46</f>
        <v>3.1520000000000152</v>
      </c>
      <c r="D6" s="74">
        <f>Subsidies!T46</f>
        <v>75.782000000000011</v>
      </c>
      <c r="E6" s="74">
        <f>Subsidies!U46</f>
        <v>75.782000000000011</v>
      </c>
      <c r="F6" s="74">
        <f>Subsidies!V46</f>
        <v>75.782000000000011</v>
      </c>
      <c r="G6" s="74">
        <f>Subsidies!W46</f>
        <v>75.782000000000011</v>
      </c>
      <c r="H6" s="74">
        <f>Subsidies!X46</f>
        <v>84.266000000000005</v>
      </c>
      <c r="I6" s="74">
        <f>Subsidies!Y46</f>
        <v>84.266000000000005</v>
      </c>
      <c r="J6" s="74">
        <f>Subsidies!Z46</f>
        <v>84.266000000000005</v>
      </c>
      <c r="K6" s="74">
        <f>Subsidies!AA46</f>
        <v>84.266000000000005</v>
      </c>
      <c r="L6" s="74">
        <f>Subsidies!AB46</f>
        <v>91.364999999999995</v>
      </c>
      <c r="M6" s="74">
        <f>Subsidies!AC46</f>
        <v>91.364999999999995</v>
      </c>
      <c r="N6" s="74"/>
    </row>
    <row r="7" spans="1:14" x14ac:dyDescent="0.3">
      <c r="A7" t="s">
        <v>201</v>
      </c>
      <c r="B7" t="s">
        <v>202</v>
      </c>
      <c r="C7" s="74">
        <f>Subsidies!S45</f>
        <v>110.24799999999999</v>
      </c>
      <c r="D7" s="74">
        <f>Subsidies!T45</f>
        <v>12.726000000000001</v>
      </c>
      <c r="E7" s="74">
        <f>Subsidies!U45</f>
        <v>12.726000000000001</v>
      </c>
      <c r="F7" s="74">
        <f>Subsidies!V45</f>
        <v>12.726000000000001</v>
      </c>
      <c r="G7" s="74">
        <f>Subsidies!W45</f>
        <v>12.726000000000001</v>
      </c>
      <c r="H7" s="74">
        <f>Subsidies!X45</f>
        <v>1.365</v>
      </c>
      <c r="I7" s="74">
        <f>Subsidies!Y45</f>
        <v>1.365</v>
      </c>
      <c r="J7" s="74">
        <f>Subsidies!Z45</f>
        <v>1.365</v>
      </c>
      <c r="K7" s="74">
        <f>Subsidies!AA45</f>
        <v>1.365</v>
      </c>
      <c r="L7" s="74">
        <f>Subsidies!AB45</f>
        <v>-0.90100000000000025</v>
      </c>
      <c r="M7" s="74">
        <f>Subsidies!AC45</f>
        <v>-0.90100000000000025</v>
      </c>
      <c r="N7" s="74"/>
    </row>
    <row r="8" spans="1:14" x14ac:dyDescent="0.3">
      <c r="A8" t="s">
        <v>203</v>
      </c>
      <c r="B8" t="s">
        <v>204</v>
      </c>
      <c r="C8" s="74">
        <f>'Unemployment Insurance'!S19</f>
        <v>0.5</v>
      </c>
      <c r="D8" s="74">
        <f>'Unemployment Insurance'!T19</f>
        <v>0</v>
      </c>
      <c r="E8" s="74">
        <f>'Unemployment Insurance'!U19</f>
        <v>0</v>
      </c>
      <c r="F8" s="74">
        <f>'Unemployment Insurance'!V19</f>
        <v>0</v>
      </c>
      <c r="G8" s="74">
        <f>'Unemployment Insurance'!W19</f>
        <v>0</v>
      </c>
      <c r="H8" s="74">
        <f>'Unemployment Insurance'!X19</f>
        <v>0</v>
      </c>
      <c r="I8" s="74">
        <f>'Unemployment Insurance'!Y19</f>
        <v>0</v>
      </c>
      <c r="J8" s="74">
        <f>'Unemployment Insurance'!Z19</f>
        <v>0</v>
      </c>
      <c r="K8" s="74">
        <f>'Unemployment Insurance'!AA19</f>
        <v>0</v>
      </c>
      <c r="L8" s="74">
        <f>'Unemployment Insurance'!AB19</f>
        <v>0</v>
      </c>
      <c r="M8" s="74">
        <f>'Unemployment Insurance'!AC19</f>
        <v>0</v>
      </c>
      <c r="N8" s="74"/>
    </row>
    <row r="9" spans="1:14" x14ac:dyDescent="0.3">
      <c r="A9" t="s">
        <v>205</v>
      </c>
      <c r="B9" t="s">
        <v>206</v>
      </c>
      <c r="C9" s="74">
        <f>'Unemployment Insurance'!S20</f>
        <v>18</v>
      </c>
      <c r="D9" s="74">
        <f>'Unemployment Insurance'!T20</f>
        <v>18.420560747663554</v>
      </c>
      <c r="E9" s="74">
        <f>'Unemployment Insurance'!U20</f>
        <v>18.067289719626174</v>
      </c>
      <c r="F9" s="74">
        <f>'Unemployment Insurance'!V20</f>
        <v>17.764485981308418</v>
      </c>
      <c r="G9" s="74">
        <f>'Unemployment Insurance'!W20</f>
        <v>17.820000000000007</v>
      </c>
      <c r="H9" s="74">
        <f>'Unemployment Insurance'!X20</f>
        <v>17.920934579439262</v>
      </c>
      <c r="I9" s="74">
        <f>'Unemployment Insurance'!Y20</f>
        <v>18.279252336448607</v>
      </c>
      <c r="J9" s="74">
        <f>'Unemployment Insurance'!Z20</f>
        <v>20.045607476635524</v>
      </c>
      <c r="K9" s="74">
        <f>'Unemployment Insurance'!AA20</f>
        <v>20.292897196261695</v>
      </c>
      <c r="L9" s="74">
        <f>'Unemployment Insurance'!AB20</f>
        <v>20.600747663551413</v>
      </c>
      <c r="M9" s="74">
        <f>'Unemployment Insurance'!AC20</f>
        <v>20.898504672897207</v>
      </c>
      <c r="N9" s="74"/>
    </row>
    <row r="10" spans="1:14" x14ac:dyDescent="0.3">
      <c r="A10" s="37" t="s">
        <v>207</v>
      </c>
      <c r="B10" s="37" t="s">
        <v>208</v>
      </c>
      <c r="C10" s="74">
        <f>Medicaid!S33</f>
        <v>605.63699999999994</v>
      </c>
      <c r="D10" s="74">
        <f>Medicaid!T33</f>
        <v>603.11189267450743</v>
      </c>
      <c r="E10" s="74">
        <f>Medicaid!U33</f>
        <v>603.29307201470419</v>
      </c>
      <c r="F10" s="74">
        <f>Medicaid!V33</f>
        <v>603.47430578253488</v>
      </c>
      <c r="G10" s="74">
        <f>Medicaid!W33</f>
        <v>564.10810821595339</v>
      </c>
      <c r="H10" s="74">
        <f>Medicaid!X33</f>
        <v>557.45153077441046</v>
      </c>
      <c r="I10" s="74">
        <f>Medicaid!Y33</f>
        <v>551.29379215137783</v>
      </c>
      <c r="J10" s="74">
        <f>Medicaid!Z33</f>
        <v>545.20407333429478</v>
      </c>
      <c r="K10" s="74">
        <f>Medicaid!AA33</f>
        <v>539.1816229606427</v>
      </c>
      <c r="L10" s="74">
        <f>Medicaid!AB33</f>
        <v>529.58444971757342</v>
      </c>
      <c r="M10" s="74">
        <f>Medicaid!AC33</f>
        <v>523.73453732132771</v>
      </c>
      <c r="N10" s="74"/>
    </row>
    <row r="11" spans="1:14" x14ac:dyDescent="0.3">
      <c r="A11" s="37" t="s">
        <v>209</v>
      </c>
      <c r="B11" s="37" t="s">
        <v>210</v>
      </c>
      <c r="C11" s="74">
        <f>Medicaid!S32</f>
        <v>790</v>
      </c>
      <c r="D11" s="74">
        <f>Medicaid!T32</f>
        <v>790.23732193063006</v>
      </c>
      <c r="E11" s="74">
        <f>Medicaid!U32</f>
        <v>790.4747151545497</v>
      </c>
      <c r="F11" s="74">
        <f>Medicaid!V32</f>
        <v>790.71217969317593</v>
      </c>
      <c r="G11" s="74">
        <f>Medicaid!W32</f>
        <v>790.94971556793223</v>
      </c>
      <c r="H11" s="74">
        <f>Medicaid!X32</f>
        <v>782.21270195589079</v>
      </c>
      <c r="I11" s="74">
        <f>Medicaid!Y32</f>
        <v>773.57219941826349</v>
      </c>
      <c r="J11" s="74">
        <f>Medicaid!Z32</f>
        <v>765.02714187138622</v>
      </c>
      <c r="K11" s="74">
        <f>Medicaid!AA32</f>
        <v>756.57647500780183</v>
      </c>
      <c r="L11" s="74">
        <f>Medicaid!AB32</f>
        <v>748.2191561661773</v>
      </c>
      <c r="M11" s="74">
        <f>Medicaid!AC32</f>
        <v>739.95415420265795</v>
      </c>
      <c r="N11" s="74"/>
    </row>
    <row r="12" spans="1:14" x14ac:dyDescent="0.3">
      <c r="A12" t="s">
        <v>55</v>
      </c>
      <c r="B12" t="s">
        <v>211</v>
      </c>
      <c r="C12" s="74">
        <f>Medicare!S10</f>
        <v>920.3</v>
      </c>
      <c r="D12" s="74">
        <f>Medicare!T10</f>
        <v>942.65830121332203</v>
      </c>
      <c r="E12" s="74">
        <f>Medicare!U10</f>
        <v>965.55978794565488</v>
      </c>
      <c r="F12" s="74">
        <f>Medicare!V10</f>
        <v>989.017656660596</v>
      </c>
      <c r="G12" s="74">
        <f>Medicare!W10</f>
        <v>1013.0454244242726</v>
      </c>
      <c r="H12" s="74">
        <f>Medicare!X10</f>
        <v>1037.4736868172592</v>
      </c>
      <c r="I12" s="74">
        <f>Medicare!Y10</f>
        <v>1062.4910047344636</v>
      </c>
      <c r="J12" s="74">
        <f>Medicare!Z10</f>
        <v>1088.11158247765</v>
      </c>
      <c r="K12" s="74">
        <f>Medicare!AA10</f>
        <v>1114.3499668666996</v>
      </c>
      <c r="L12" s="74">
        <f>Medicare!AB10</f>
        <v>1141.2210554989849</v>
      </c>
      <c r="M12" s="74">
        <f>Medicare!AC10</f>
        <v>1168.7401052079097</v>
      </c>
      <c r="N12" s="74"/>
    </row>
    <row r="13" spans="1:14" x14ac:dyDescent="0.3">
      <c r="A13" t="s">
        <v>212</v>
      </c>
      <c r="B13" t="s">
        <v>213</v>
      </c>
      <c r="C13" s="74">
        <f>'Rebate Checks'!S11</f>
        <v>0</v>
      </c>
      <c r="D13" s="74">
        <f>'Rebate Checks'!T11</f>
        <v>0</v>
      </c>
      <c r="E13" s="74">
        <f>'Rebate Checks'!U11</f>
        <v>0</v>
      </c>
      <c r="F13" s="74">
        <f>'Rebate Checks'!V11</f>
        <v>0</v>
      </c>
      <c r="G13" s="74">
        <f>'Rebate Checks'!W11</f>
        <v>0</v>
      </c>
      <c r="H13" s="74">
        <f>'Rebate Checks'!X11</f>
        <v>0</v>
      </c>
      <c r="I13" s="74">
        <f>'Rebate Checks'!Y11</f>
        <v>0</v>
      </c>
      <c r="J13" s="74">
        <f>'Rebate Checks'!Z11</f>
        <v>0</v>
      </c>
      <c r="K13" s="74">
        <f>'Rebate Checks'!AA11</f>
        <v>0</v>
      </c>
      <c r="L13" s="74">
        <f>'Rebate Checks'!AB11</f>
        <v>0</v>
      </c>
      <c r="M13" s="74">
        <f>'Rebate Checks'!AC11</f>
        <v>0</v>
      </c>
      <c r="N13" s="74"/>
    </row>
    <row r="14" spans="1:14" x14ac:dyDescent="0.3">
      <c r="A14" t="s">
        <v>214</v>
      </c>
      <c r="B14" t="s">
        <v>215</v>
      </c>
      <c r="C14" s="74">
        <f>'Rebate Checks'!S10</f>
        <v>0</v>
      </c>
      <c r="D14" s="74">
        <f>'Rebate Checks'!T10</f>
        <v>0</v>
      </c>
      <c r="E14" s="74">
        <f>'Rebate Checks'!U10</f>
        <v>0</v>
      </c>
      <c r="F14" s="74">
        <f>'Rebate Checks'!V10</f>
        <v>0</v>
      </c>
      <c r="G14" s="74">
        <f>'Rebate Checks'!W10</f>
        <v>0</v>
      </c>
      <c r="H14" s="74">
        <f>'Rebate Checks'!X10</f>
        <v>0</v>
      </c>
      <c r="I14" s="74">
        <f>'Rebate Checks'!Y10</f>
        <v>0</v>
      </c>
      <c r="J14" s="74">
        <f>'Rebate Checks'!Z10</f>
        <v>0</v>
      </c>
      <c r="K14" s="74">
        <f>'Rebate Checks'!AA10</f>
        <v>0</v>
      </c>
      <c r="L14" s="74">
        <f>'Rebate Checks'!AB10</f>
        <v>0</v>
      </c>
      <c r="M14" s="74">
        <f>'Rebate Checks'!AC10</f>
        <v>0</v>
      </c>
      <c r="N14" s="74"/>
    </row>
    <row r="15" spans="1:14" x14ac:dyDescent="0.3">
      <c r="A15" t="s">
        <v>216</v>
      </c>
      <c r="B15" t="s">
        <v>217</v>
      </c>
      <c r="C15" s="74">
        <f>'Social Benefits'!S17</f>
        <v>52.756999999999998</v>
      </c>
      <c r="D15" s="74">
        <f>'Social Benefits'!T17</f>
        <v>12</v>
      </c>
      <c r="E15" s="74">
        <f>'Social Benefits'!U17</f>
        <v>12</v>
      </c>
      <c r="F15" s="74">
        <f>'Social Benefits'!V17</f>
        <v>12</v>
      </c>
      <c r="G15" s="74">
        <f>'Social Benefits'!W17</f>
        <v>12</v>
      </c>
      <c r="H15" s="74">
        <f>'Social Benefits'!X17</f>
        <v>4.2219999999999995</v>
      </c>
      <c r="I15" s="74">
        <f>'Social Benefits'!Y17</f>
        <v>4.2219999999999995</v>
      </c>
      <c r="J15" s="74">
        <f>'Social Benefits'!Z17</f>
        <v>4.2219999999999995</v>
      </c>
      <c r="K15" s="74">
        <f>'Social Benefits'!AA17</f>
        <v>4.2219999999999995</v>
      </c>
      <c r="L15" s="74">
        <f>'Social Benefits'!AB17</f>
        <v>2.3719999999999999</v>
      </c>
      <c r="M15" s="74">
        <f>'Social Benefits'!AC17</f>
        <v>2.3719999999999999</v>
      </c>
      <c r="N15" s="74"/>
    </row>
    <row r="16" spans="1:14" x14ac:dyDescent="0.3">
      <c r="A16" t="s">
        <v>864</v>
      </c>
      <c r="B16" t="s">
        <v>219</v>
      </c>
      <c r="C16" s="74">
        <f>'Social Benefits'!S24</f>
        <v>27.819000000000003</v>
      </c>
      <c r="D16" s="74">
        <f>'Social Benefits'!T24</f>
        <v>1.4159999999999999</v>
      </c>
      <c r="E16" s="74">
        <f>'Social Benefits'!U24</f>
        <v>1.4159999999999999</v>
      </c>
      <c r="F16" s="74">
        <f>'Social Benefits'!V24</f>
        <v>1.4159999999999999</v>
      </c>
      <c r="G16" s="74">
        <f>'Social Benefits'!W24</f>
        <v>1.4159999999999999</v>
      </c>
      <c r="H16" s="74">
        <f>'Social Benefits'!X24</f>
        <v>1.4790000000000001</v>
      </c>
      <c r="I16" s="74">
        <f>'Social Benefits'!Y24</f>
        <v>1.4790000000000001</v>
      </c>
      <c r="J16" s="74">
        <f>'Social Benefits'!Z24</f>
        <v>1.4790000000000001</v>
      </c>
      <c r="K16" s="74">
        <f>'Social Benefits'!AA24</f>
        <v>1.4790000000000001</v>
      </c>
      <c r="L16" s="74">
        <f>'Social Benefits'!AB24</f>
        <v>1.63</v>
      </c>
      <c r="M16" s="74">
        <f>'Social Benefits'!AC24</f>
        <v>1.63</v>
      </c>
      <c r="N16" s="74"/>
    </row>
    <row r="17" spans="1:14" x14ac:dyDescent="0.3">
      <c r="A17" t="s">
        <v>220</v>
      </c>
      <c r="B17" t="s">
        <v>221</v>
      </c>
      <c r="C17" s="74">
        <f>'Social Benefits'!S28</f>
        <v>1818.9020000000003</v>
      </c>
      <c r="D17" s="74">
        <f>'Social Benefits'!T28</f>
        <v>1852.2204375000003</v>
      </c>
      <c r="E17" s="74">
        <f>'Social Benefits'!U28</f>
        <v>1902.6775146250002</v>
      </c>
      <c r="F17" s="74">
        <f>'Social Benefits'!V28</f>
        <v>1909.6775146250002</v>
      </c>
      <c r="G17" s="74">
        <f>'Social Benefits'!W28</f>
        <v>1916.6775146250002</v>
      </c>
      <c r="H17" s="74">
        <f>'Social Benefits'!X28</f>
        <v>1918.9265146250002</v>
      </c>
      <c r="I17" s="74">
        <f>'Social Benefits'!Y28</f>
        <v>1963.7985746250001</v>
      </c>
      <c r="J17" s="74">
        <f>'Social Benefits'!Z28</f>
        <v>1970.7985746250001</v>
      </c>
      <c r="K17" s="74">
        <f>'Social Benefits'!AA28</f>
        <v>1977.7985746250001</v>
      </c>
      <c r="L17" s="74">
        <f>'Social Benefits'!AB28</f>
        <v>1985.8265746250001</v>
      </c>
      <c r="M17" s="74">
        <f>'Social Benefits'!AC28</f>
        <v>2018.7146146250002</v>
      </c>
      <c r="N17" s="74"/>
    </row>
    <row r="18" spans="1:14" x14ac:dyDescent="0.3">
      <c r="A18" t="s">
        <v>222</v>
      </c>
      <c r="B18" t="s">
        <v>223</v>
      </c>
      <c r="C18" s="74">
        <f>'Social Benefits'!S32</f>
        <v>196.79999999999995</v>
      </c>
      <c r="D18" s="74">
        <f>'Social Benefits'!T32</f>
        <v>177.85179962461578</v>
      </c>
      <c r="E18" s="74">
        <f>'Social Benefits'!U32</f>
        <v>180.60976738544733</v>
      </c>
      <c r="F18" s="74">
        <f>'Social Benefits'!V32</f>
        <v>183.41050326100046</v>
      </c>
      <c r="G18" s="74">
        <f>'Social Benefits'!W32</f>
        <v>186.25467046121651</v>
      </c>
      <c r="H18" s="74">
        <f>'Social Benefits'!X32</f>
        <v>189.14294248050757</v>
      </c>
      <c r="I18" s="74">
        <f>'Social Benefits'!Y32</f>
        <v>192.07600325723899</v>
      </c>
      <c r="J18" s="74">
        <f>'Social Benefits'!Z32</f>
        <v>195.05454733568487</v>
      </c>
      <c r="K18" s="74">
        <f>'Social Benefits'!AA32</f>
        <v>198.07928003049508</v>
      </c>
      <c r="L18" s="74">
        <f>'Social Benefits'!AB32</f>
        <v>201.15091759371273</v>
      </c>
      <c r="M18" s="74">
        <f>'Social Benefits'!AC32</f>
        <v>204.27018738438153</v>
      </c>
      <c r="N18" s="74"/>
    </row>
    <row r="19" spans="1:14" x14ac:dyDescent="0.3">
      <c r="A19" t="s">
        <v>224</v>
      </c>
      <c r="B19" t="s">
        <v>225</v>
      </c>
      <c r="C19" s="74">
        <f>Taxes!S9</f>
        <v>4505.2000000000007</v>
      </c>
      <c r="D19" s="74">
        <f>Taxes!T9</f>
        <v>4574.8644920383394</v>
      </c>
      <c r="E19" s="74">
        <f>Taxes!U9</f>
        <v>4528.6569166191493</v>
      </c>
      <c r="F19" s="74">
        <f>Taxes!V9</f>
        <v>4544.8795506226297</v>
      </c>
      <c r="G19" s="74">
        <f>Taxes!W9</f>
        <v>4561.5377512540026</v>
      </c>
      <c r="H19" s="74">
        <f>Taxes!X9</f>
        <v>4564.9831242368391</v>
      </c>
      <c r="I19" s="74">
        <f>Taxes!Y9</f>
        <v>4571.7917472467925</v>
      </c>
      <c r="J19" s="74">
        <f>Taxes!Z9</f>
        <v>4578.7665782937693</v>
      </c>
      <c r="K19" s="74">
        <f>Taxes!AA9</f>
        <v>4585.908584776219</v>
      </c>
      <c r="L19" s="74">
        <f>Taxes!AB9</f>
        <v>4602.1144223049096</v>
      </c>
      <c r="M19" s="74">
        <f>Taxes!AC9</f>
        <v>4613.636665183144</v>
      </c>
      <c r="N19" s="74"/>
    </row>
    <row r="20" spans="1:14" x14ac:dyDescent="0.3">
      <c r="A20" t="s">
        <v>226</v>
      </c>
      <c r="B20" t="s">
        <v>227</v>
      </c>
      <c r="C20" s="74">
        <f>Taxes!S21</f>
        <v>2238.5</v>
      </c>
      <c r="D20" s="74">
        <f>Taxes!T21</f>
        <v>2268.4182561651428</v>
      </c>
      <c r="E20" s="74">
        <f>Taxes!U21</f>
        <v>2295.2562539532132</v>
      </c>
      <c r="F20" s="74">
        <f>Taxes!V21</f>
        <v>2321.7782878540979</v>
      </c>
      <c r="G20" s="74">
        <f>Taxes!W21</f>
        <v>2347.5507271003335</v>
      </c>
      <c r="H20" s="74">
        <f>Taxes!X21</f>
        <v>2371.5299731521227</v>
      </c>
      <c r="I20" s="74">
        <f>Taxes!Y21</f>
        <v>2395.115238871128</v>
      </c>
      <c r="J20" s="74">
        <f>Taxes!Z21</f>
        <v>2417.0388945898803</v>
      </c>
      <c r="K20" s="74">
        <f>Taxes!AA21</f>
        <v>2438.7623017299529</v>
      </c>
      <c r="L20" s="74">
        <f>Taxes!AB21</f>
        <v>2461.5282045683075</v>
      </c>
      <c r="M20" s="74">
        <f>Taxes!AC21</f>
        <v>2483.9169649053383</v>
      </c>
      <c r="N20" s="74"/>
    </row>
    <row r="21" spans="1:14" x14ac:dyDescent="0.3">
      <c r="A21" t="s">
        <v>228</v>
      </c>
      <c r="B21" t="s">
        <v>229</v>
      </c>
      <c r="C21" s="74">
        <f>Taxes!S17</f>
        <v>334.6</v>
      </c>
      <c r="D21" s="74">
        <f>Taxes!T17</f>
        <v>382.19188884072923</v>
      </c>
      <c r="E21" s="74">
        <f>Taxes!U17</f>
        <v>394.91708520104078</v>
      </c>
      <c r="F21" s="74">
        <f>Taxes!V17</f>
        <v>408.10910873050739</v>
      </c>
      <c r="G21" s="74">
        <f>Taxes!W17</f>
        <v>421.78508510638312</v>
      </c>
      <c r="H21" s="74">
        <f>Taxes!X17</f>
        <v>427.08469138358691</v>
      </c>
      <c r="I21" s="74">
        <f>Taxes!Y17</f>
        <v>431.72266035544538</v>
      </c>
      <c r="J21" s="74">
        <f>Taxes!Z17</f>
        <v>436.41563677685053</v>
      </c>
      <c r="K21" s="74">
        <f>Taxes!AA17</f>
        <v>441.16427304964549</v>
      </c>
      <c r="L21" s="74">
        <f>Taxes!AB17</f>
        <v>427.29133875132953</v>
      </c>
      <c r="M21" s="74">
        <f>Taxes!AC17</f>
        <v>423.03821600000856</v>
      </c>
      <c r="N21" s="74"/>
    </row>
    <row r="22" spans="1:14" x14ac:dyDescent="0.3">
      <c r="A22" t="s">
        <v>230</v>
      </c>
      <c r="B22" t="s">
        <v>231</v>
      </c>
      <c r="C22" s="74">
        <f>Taxes!S26</f>
        <v>101.6</v>
      </c>
      <c r="D22" s="74">
        <f>Taxes!T26</f>
        <v>102.34079475027343</v>
      </c>
      <c r="E22" s="74">
        <f>Taxes!U26</f>
        <v>102.15559606270509</v>
      </c>
      <c r="F22" s="74">
        <f>Taxes!V26</f>
        <v>101.60411552639043</v>
      </c>
      <c r="G22" s="74">
        <f>Taxes!W26</f>
        <v>100.98678656782924</v>
      </c>
      <c r="H22" s="74">
        <f>Taxes!X26</f>
        <v>100.44765261068579</v>
      </c>
      <c r="I22" s="74">
        <f>Taxes!Y26</f>
        <v>99.982598128569705</v>
      </c>
      <c r="J22" s="74">
        <f>Taxes!Z26</f>
        <v>99.863247863247878</v>
      </c>
      <c r="K22" s="74">
        <f>Taxes!AA26</f>
        <v>99.51342812006321</v>
      </c>
      <c r="L22" s="74">
        <f>Taxes!AB26</f>
        <v>100.06079312998747</v>
      </c>
      <c r="M22" s="74">
        <f>Taxes!AC26</f>
        <v>100.42295945234335</v>
      </c>
      <c r="N22" s="74"/>
    </row>
    <row r="23" spans="1:14" x14ac:dyDescent="0.3">
      <c r="A23" t="s">
        <v>1486</v>
      </c>
      <c r="B23" t="s">
        <v>1485</v>
      </c>
      <c r="C23" s="74">
        <f>'Student loans'!S11</f>
        <v>0</v>
      </c>
      <c r="D23" s="74">
        <f>'Student loans'!T11</f>
        <v>0</v>
      </c>
      <c r="E23" s="74">
        <f>'Student loans'!U11</f>
        <v>0</v>
      </c>
      <c r="F23" s="74">
        <f>'Student loans'!V11</f>
        <v>0</v>
      </c>
      <c r="G23" s="74">
        <f>'Student loans'!W11</f>
        <v>20.815079999999998</v>
      </c>
      <c r="H23" s="74">
        <f>'Student loans'!X11</f>
        <v>21.006180000000001</v>
      </c>
      <c r="I23" s="74">
        <f>'Student loans'!Y11</f>
        <v>25.815300000000001</v>
      </c>
      <c r="J23" s="74">
        <f>'Student loans'!Z11</f>
        <v>26.04045</v>
      </c>
      <c r="K23" s="74">
        <f>'Student loans'!AA11</f>
        <v>26.26465</v>
      </c>
      <c r="L23" s="74">
        <f>'Student loans'!AB11</f>
        <v>26.498349999999999</v>
      </c>
      <c r="M23" s="74">
        <f>'Student loans'!AC11</f>
        <v>26.454419999999999</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Q90"/>
  <sheetViews>
    <sheetView topLeftCell="A4" workbookViewId="0">
      <pane xSplit="7" ySplit="4" topLeftCell="J44" activePane="bottomRight" state="frozen"/>
      <selection activeCell="A4" sqref="A4"/>
      <selection pane="topRight" activeCell="H4" sqref="H4"/>
      <selection pane="bottomLeft" activeCell="A8" sqref="A8"/>
      <selection pane="bottomRight" activeCell="M48" sqref="M48"/>
    </sheetView>
  </sheetViews>
  <sheetFormatPr defaultColWidth="11.5546875" defaultRowHeight="14.4" x14ac:dyDescent="0.3"/>
  <cols>
    <col min="1" max="1" width="6.5546875" customWidth="1"/>
    <col min="2" max="2" width="65" customWidth="1"/>
    <col min="3" max="12" width="11.5546875" customWidth="1"/>
    <col min="13" max="13" width="18.21875" customWidth="1"/>
  </cols>
  <sheetData>
    <row r="2" spans="1:17" x14ac:dyDescent="0.3">
      <c r="A2" s="1139" t="s">
        <v>986</v>
      </c>
      <c r="B2" s="1139"/>
      <c r="C2" s="1139"/>
      <c r="D2" s="1139"/>
      <c r="E2" s="1139"/>
      <c r="F2" s="1139"/>
      <c r="G2" s="1139"/>
      <c r="H2" s="1139"/>
      <c r="I2" s="1139"/>
      <c r="J2" s="1139"/>
      <c r="K2" s="1139"/>
      <c r="L2" s="1139"/>
      <c r="M2" s="1139"/>
      <c r="N2" s="1139"/>
      <c r="O2" s="1139"/>
      <c r="P2" s="1139"/>
      <c r="Q2" s="1139"/>
    </row>
    <row r="3" spans="1:17" x14ac:dyDescent="0.3">
      <c r="A3" s="1139" t="s">
        <v>957</v>
      </c>
      <c r="B3" s="1139"/>
      <c r="C3" s="1139"/>
      <c r="D3" s="1139"/>
      <c r="E3" s="1139"/>
      <c r="F3" s="1139"/>
      <c r="G3" s="1139"/>
      <c r="H3" s="1139"/>
      <c r="I3" s="1139"/>
      <c r="J3" s="1139"/>
      <c r="K3" s="1139"/>
      <c r="L3" s="1139"/>
      <c r="M3" s="1139"/>
      <c r="N3" s="1139"/>
      <c r="O3" s="1139"/>
      <c r="P3" s="1139"/>
      <c r="Q3" s="1139"/>
    </row>
    <row r="4" spans="1:17" ht="15" customHeight="1" x14ac:dyDescent="0.3">
      <c r="A4" s="1140"/>
      <c r="B4" s="1140"/>
      <c r="C4" s="1140"/>
      <c r="D4" s="87"/>
      <c r="E4" s="87"/>
      <c r="F4" s="87"/>
      <c r="G4" s="87"/>
      <c r="H4" s="87"/>
      <c r="I4" s="87"/>
      <c r="J4" s="87"/>
      <c r="K4" s="87"/>
      <c r="L4" s="87"/>
    </row>
    <row r="5" spans="1:17" x14ac:dyDescent="0.3">
      <c r="A5" s="127"/>
      <c r="B5" s="79"/>
      <c r="C5" s="1141"/>
      <c r="D5" s="1141"/>
      <c r="E5" s="1141"/>
      <c r="F5" s="1141"/>
      <c r="G5" s="1141"/>
      <c r="H5" s="37"/>
      <c r="I5" s="37"/>
      <c r="J5" s="37"/>
      <c r="K5" s="37"/>
      <c r="L5" s="37"/>
      <c r="M5" s="37"/>
    </row>
    <row r="6" spans="1:17" x14ac:dyDescent="0.3">
      <c r="A6" s="108" t="s">
        <v>884</v>
      </c>
      <c r="B6" s="80"/>
      <c r="C6" s="1142"/>
      <c r="D6" s="1143"/>
      <c r="E6" s="84">
        <v>2022</v>
      </c>
      <c r="F6" s="89"/>
      <c r="G6" s="89"/>
      <c r="H6" s="78"/>
      <c r="I6" s="108"/>
      <c r="J6" s="108"/>
      <c r="K6" s="108"/>
      <c r="L6" s="108"/>
      <c r="M6" s="128"/>
    </row>
    <row r="7" spans="1:17" ht="15" customHeight="1" thickBot="1" x14ac:dyDescent="0.35">
      <c r="A7" s="81"/>
      <c r="B7" s="88"/>
      <c r="C7" s="110" t="s">
        <v>234</v>
      </c>
      <c r="D7" s="111" t="s">
        <v>235</v>
      </c>
      <c r="E7" s="111" t="s">
        <v>236</v>
      </c>
      <c r="F7" s="111" t="s">
        <v>237</v>
      </c>
      <c r="G7" s="111" t="s">
        <v>1007</v>
      </c>
      <c r="H7" s="111" t="s">
        <v>1020</v>
      </c>
      <c r="I7" s="111" t="s">
        <v>1280</v>
      </c>
      <c r="J7" s="112" t="s">
        <v>1487</v>
      </c>
      <c r="K7" s="108" t="s">
        <v>1538</v>
      </c>
      <c r="L7" s="108" t="s">
        <v>1849</v>
      </c>
      <c r="M7" s="129" t="s">
        <v>1540</v>
      </c>
    </row>
    <row r="8" spans="1:17" x14ac:dyDescent="0.3">
      <c r="A8" s="90">
        <v>1</v>
      </c>
      <c r="B8" s="100" t="s">
        <v>239</v>
      </c>
      <c r="C8" s="102">
        <v>21205.7</v>
      </c>
      <c r="D8" s="105">
        <v>21319.5</v>
      </c>
      <c r="E8" s="105">
        <v>21434.3</v>
      </c>
      <c r="F8" s="102">
        <v>21503.599999999999</v>
      </c>
      <c r="G8" s="105">
        <v>21624.3</v>
      </c>
      <c r="H8" s="1065">
        <v>21687</v>
      </c>
      <c r="I8" s="1065">
        <v>21790.5</v>
      </c>
      <c r="J8" s="1065">
        <v>21864.9</v>
      </c>
      <c r="K8" s="1065">
        <v>21953.3</v>
      </c>
      <c r="L8" s="1066">
        <v>22108.6</v>
      </c>
      <c r="M8" s="130"/>
    </row>
    <row r="9" spans="1:17" x14ac:dyDescent="0.3">
      <c r="A9" s="76">
        <v>2</v>
      </c>
      <c r="B9" s="101" t="s">
        <v>240</v>
      </c>
      <c r="C9" s="103">
        <v>13174.5</v>
      </c>
      <c r="D9" s="106">
        <v>13269.4</v>
      </c>
      <c r="E9" s="106">
        <v>13335.3</v>
      </c>
      <c r="F9" s="103">
        <v>13396.5</v>
      </c>
      <c r="G9" s="106">
        <v>13471.4</v>
      </c>
      <c r="H9" s="1067">
        <v>13468.8</v>
      </c>
      <c r="I9" s="1067">
        <v>13573.8</v>
      </c>
      <c r="J9" s="1067">
        <v>13623.3</v>
      </c>
      <c r="K9" s="1067">
        <v>13701.1</v>
      </c>
      <c r="L9" s="1068">
        <v>13764.2</v>
      </c>
      <c r="M9" s="130"/>
    </row>
    <row r="10" spans="1:17" x14ac:dyDescent="0.3">
      <c r="A10" s="91">
        <v>3</v>
      </c>
      <c r="B10" s="104" t="s">
        <v>241</v>
      </c>
      <c r="C10" s="83">
        <v>10851.2</v>
      </c>
      <c r="D10" s="86">
        <v>10933.6</v>
      </c>
      <c r="E10" s="86">
        <v>10991.7</v>
      </c>
      <c r="F10" s="83">
        <v>11045</v>
      </c>
      <c r="G10" s="86">
        <v>11110.6</v>
      </c>
      <c r="H10" s="1069">
        <v>11104</v>
      </c>
      <c r="I10" s="1069">
        <v>11196.2</v>
      </c>
      <c r="J10" s="1069">
        <v>11236.8</v>
      </c>
      <c r="K10" s="1069">
        <v>11304.7</v>
      </c>
      <c r="L10" s="1070">
        <v>11358.9</v>
      </c>
      <c r="M10" s="130"/>
    </row>
    <row r="11" spans="1:17" x14ac:dyDescent="0.3">
      <c r="A11" s="37">
        <v>4</v>
      </c>
      <c r="B11" s="113" t="s">
        <v>242</v>
      </c>
      <c r="C11" s="85">
        <v>9268.7999999999993</v>
      </c>
      <c r="D11" s="114">
        <v>9345.6</v>
      </c>
      <c r="E11" s="114">
        <v>9398.7999999999993</v>
      </c>
      <c r="F11" s="85">
        <v>9449.9</v>
      </c>
      <c r="G11" s="114">
        <v>9508.5</v>
      </c>
      <c r="H11" s="1071">
        <v>9500.1</v>
      </c>
      <c r="I11" s="1071">
        <v>9581.1</v>
      </c>
      <c r="J11" s="1071">
        <v>9612.2000000000007</v>
      </c>
      <c r="K11" s="1071">
        <v>9675.1</v>
      </c>
      <c r="L11" s="1072">
        <v>9724</v>
      </c>
      <c r="M11" s="130"/>
    </row>
    <row r="12" spans="1:17" x14ac:dyDescent="0.3">
      <c r="A12" s="91">
        <v>5</v>
      </c>
      <c r="B12" s="104" t="s">
        <v>243</v>
      </c>
      <c r="C12" s="83">
        <v>1582.4</v>
      </c>
      <c r="D12" s="86">
        <v>1588</v>
      </c>
      <c r="E12" s="86">
        <v>1592.8</v>
      </c>
      <c r="F12" s="83">
        <v>1595.1</v>
      </c>
      <c r="G12" s="86">
        <v>1602.1</v>
      </c>
      <c r="H12" s="1069">
        <v>1603.9</v>
      </c>
      <c r="I12" s="1069">
        <v>1615.2</v>
      </c>
      <c r="J12" s="1069">
        <v>1624.6</v>
      </c>
      <c r="K12" s="1069">
        <v>1629.5</v>
      </c>
      <c r="L12" s="1070">
        <v>1634.9</v>
      </c>
      <c r="M12" s="130"/>
    </row>
    <row r="13" spans="1:17" x14ac:dyDescent="0.3">
      <c r="A13" s="37">
        <v>6</v>
      </c>
      <c r="B13" s="113" t="s">
        <v>244</v>
      </c>
      <c r="C13" s="85">
        <v>2323.3000000000002</v>
      </c>
      <c r="D13" s="114">
        <v>2335.6999999999998</v>
      </c>
      <c r="E13" s="114">
        <v>2343.6</v>
      </c>
      <c r="F13" s="85">
        <v>2351.5</v>
      </c>
      <c r="G13" s="114">
        <v>2360.8000000000002</v>
      </c>
      <c r="H13" s="1071">
        <v>2364.8000000000002</v>
      </c>
      <c r="I13" s="1071">
        <v>2377.6</v>
      </c>
      <c r="J13" s="1071">
        <v>2386.5</v>
      </c>
      <c r="K13" s="1071">
        <v>2396.4</v>
      </c>
      <c r="L13" s="1072">
        <v>2405.3000000000002</v>
      </c>
      <c r="M13" s="130"/>
    </row>
    <row r="14" spans="1:17" x14ac:dyDescent="0.3">
      <c r="A14" s="90">
        <v>7</v>
      </c>
      <c r="B14" s="115" t="s">
        <v>245</v>
      </c>
      <c r="C14" s="107">
        <v>1780.7</v>
      </c>
      <c r="D14" s="122">
        <v>1808.6</v>
      </c>
      <c r="E14" s="122">
        <v>1844.9</v>
      </c>
      <c r="F14" s="107">
        <v>1827.2</v>
      </c>
      <c r="G14" s="122">
        <v>1836.2</v>
      </c>
      <c r="H14" s="1073">
        <v>1842.6</v>
      </c>
      <c r="I14" s="1073">
        <v>1847</v>
      </c>
      <c r="J14" s="1073">
        <v>1862.7</v>
      </c>
      <c r="K14" s="1073">
        <v>1867.4</v>
      </c>
      <c r="L14" s="1074">
        <v>1867.5</v>
      </c>
      <c r="M14" s="130"/>
    </row>
    <row r="15" spans="1:17" x14ac:dyDescent="0.3">
      <c r="A15" s="37">
        <v>8</v>
      </c>
      <c r="B15" s="113" t="s">
        <v>246</v>
      </c>
      <c r="C15" s="85">
        <v>51.2</v>
      </c>
      <c r="D15" s="114">
        <v>71.099999999999994</v>
      </c>
      <c r="E15" s="114">
        <v>100.9</v>
      </c>
      <c r="F15" s="85">
        <v>97.7</v>
      </c>
      <c r="G15" s="114">
        <v>95.7</v>
      </c>
      <c r="H15" s="1071">
        <v>93.7</v>
      </c>
      <c r="I15" s="1071">
        <v>93.3</v>
      </c>
      <c r="J15" s="1071">
        <v>93</v>
      </c>
      <c r="K15" s="1071">
        <v>92.6</v>
      </c>
      <c r="L15" s="1072">
        <v>90.1</v>
      </c>
      <c r="M15" s="130"/>
    </row>
    <row r="16" spans="1:17" x14ac:dyDescent="0.3">
      <c r="A16" s="91"/>
      <c r="B16" s="116" t="s">
        <v>249</v>
      </c>
      <c r="C16" s="83" t="s">
        <v>1488</v>
      </c>
      <c r="D16" s="86"/>
      <c r="E16" s="86"/>
      <c r="F16" s="83" t="s">
        <v>1539</v>
      </c>
      <c r="G16" s="86"/>
      <c r="H16" s="1069"/>
      <c r="I16" s="1069"/>
      <c r="J16" s="1069"/>
      <c r="K16" s="1069"/>
      <c r="L16" s="1070"/>
      <c r="M16" s="130"/>
    </row>
    <row r="17" spans="1:14" ht="16.2" customHeight="1" x14ac:dyDescent="0.3">
      <c r="A17" s="91">
        <v>9</v>
      </c>
      <c r="B17" s="104" t="s">
        <v>976</v>
      </c>
      <c r="C17" s="83">
        <v>0.3</v>
      </c>
      <c r="D17" s="86">
        <v>0.2</v>
      </c>
      <c r="E17" s="86">
        <v>1.3</v>
      </c>
      <c r="F17" s="83">
        <v>0</v>
      </c>
      <c r="G17" s="86">
        <v>0</v>
      </c>
      <c r="H17" s="1069">
        <v>0</v>
      </c>
      <c r="I17" s="1069">
        <v>0</v>
      </c>
      <c r="J17" s="1069">
        <v>0</v>
      </c>
      <c r="K17" s="1069">
        <v>0</v>
      </c>
      <c r="L17" s="1070">
        <v>0</v>
      </c>
      <c r="M17" s="130"/>
    </row>
    <row r="18" spans="1:14" ht="16.2" customHeight="1" x14ac:dyDescent="0.3">
      <c r="A18" s="93">
        <v>10</v>
      </c>
      <c r="B18" s="96" t="s">
        <v>977</v>
      </c>
      <c r="C18" s="85">
        <v>0</v>
      </c>
      <c r="D18" s="114">
        <v>0</v>
      </c>
      <c r="E18" s="114">
        <v>0</v>
      </c>
      <c r="F18" s="85">
        <v>0</v>
      </c>
      <c r="G18" s="114">
        <v>0</v>
      </c>
      <c r="H18" s="1071">
        <v>0</v>
      </c>
      <c r="I18" s="1071">
        <v>0</v>
      </c>
      <c r="J18" s="1071">
        <v>0</v>
      </c>
      <c r="K18" s="1071">
        <v>0</v>
      </c>
      <c r="L18" s="1072">
        <v>0</v>
      </c>
      <c r="M18" s="131"/>
    </row>
    <row r="19" spans="1:14" x14ac:dyDescent="0.3">
      <c r="A19" s="91">
        <v>11</v>
      </c>
      <c r="B19" s="104" t="s">
        <v>250</v>
      </c>
      <c r="C19" s="83">
        <v>1729.6</v>
      </c>
      <c r="D19" s="86">
        <v>1737.5</v>
      </c>
      <c r="E19" s="86">
        <v>1743.9</v>
      </c>
      <c r="F19" s="83">
        <v>1729.6</v>
      </c>
      <c r="G19" s="86">
        <v>1740.5</v>
      </c>
      <c r="H19" s="1069">
        <v>1749</v>
      </c>
      <c r="I19" s="1069">
        <v>1753.6</v>
      </c>
      <c r="J19" s="1069">
        <v>1769.7</v>
      </c>
      <c r="K19" s="1069">
        <v>1774.8</v>
      </c>
      <c r="L19" s="1070">
        <v>1777.4</v>
      </c>
      <c r="M19" s="130"/>
    </row>
    <row r="20" spans="1:14" x14ac:dyDescent="0.3">
      <c r="B20" s="117" t="s">
        <v>251</v>
      </c>
      <c r="C20" s="85" t="s">
        <v>1488</v>
      </c>
      <c r="D20" s="114"/>
      <c r="E20" s="114"/>
      <c r="F20" s="85" t="s">
        <v>1539</v>
      </c>
      <c r="G20" s="114"/>
      <c r="H20" s="1071"/>
      <c r="I20" s="1071"/>
      <c r="J20" s="1071"/>
      <c r="K20" s="1071"/>
      <c r="L20" s="1072"/>
      <c r="M20" s="130"/>
    </row>
    <row r="21" spans="1:14" ht="16.2" customHeight="1" x14ac:dyDescent="0.3">
      <c r="A21" s="93">
        <v>12</v>
      </c>
      <c r="B21" s="96" t="s">
        <v>977</v>
      </c>
      <c r="C21" s="85">
        <v>0</v>
      </c>
      <c r="D21" s="114">
        <v>0</v>
      </c>
      <c r="E21" s="114">
        <v>0</v>
      </c>
      <c r="F21" s="85">
        <v>0</v>
      </c>
      <c r="G21" s="114">
        <v>0</v>
      </c>
      <c r="H21" s="1071">
        <v>0</v>
      </c>
      <c r="I21" s="1071">
        <v>0</v>
      </c>
      <c r="J21" s="1071">
        <v>0</v>
      </c>
      <c r="K21" s="1071">
        <v>0</v>
      </c>
      <c r="L21" s="1072">
        <v>0</v>
      </c>
      <c r="M21" s="131"/>
    </row>
    <row r="22" spans="1:14" x14ac:dyDescent="0.3">
      <c r="A22" s="90">
        <v>13</v>
      </c>
      <c r="B22" s="115" t="s">
        <v>252</v>
      </c>
      <c r="C22" s="107">
        <v>739.2</v>
      </c>
      <c r="D22" s="122">
        <v>743.3</v>
      </c>
      <c r="E22" s="122">
        <v>752.1</v>
      </c>
      <c r="F22" s="107">
        <v>759.9</v>
      </c>
      <c r="G22" s="122">
        <v>775.8</v>
      </c>
      <c r="H22" s="1073">
        <v>792</v>
      </c>
      <c r="I22" s="1073">
        <v>792.9</v>
      </c>
      <c r="J22" s="1073">
        <v>794.9</v>
      </c>
      <c r="K22" s="1073">
        <v>796.9</v>
      </c>
      <c r="L22" s="1074">
        <v>799.7</v>
      </c>
      <c r="M22" s="130"/>
    </row>
    <row r="23" spans="1:14" x14ac:dyDescent="0.3">
      <c r="A23" s="76">
        <v>14</v>
      </c>
      <c r="B23" s="101" t="s">
        <v>253</v>
      </c>
      <c r="C23" s="103">
        <v>3265.4</v>
      </c>
      <c r="D23" s="106">
        <v>3267.6</v>
      </c>
      <c r="E23" s="106">
        <v>3276.5</v>
      </c>
      <c r="F23" s="103">
        <v>3296.5</v>
      </c>
      <c r="G23" s="106">
        <v>3324.2</v>
      </c>
      <c r="H23" s="1067">
        <v>3348.4</v>
      </c>
      <c r="I23" s="1067">
        <v>3355.1</v>
      </c>
      <c r="J23" s="1067">
        <v>3365.4</v>
      </c>
      <c r="K23" s="1067">
        <v>3380.3</v>
      </c>
      <c r="L23" s="1068">
        <v>3415.5</v>
      </c>
      <c r="M23" s="130"/>
    </row>
    <row r="24" spans="1:14" x14ac:dyDescent="0.3">
      <c r="A24" s="91">
        <v>15</v>
      </c>
      <c r="B24" s="104" t="s">
        <v>254</v>
      </c>
      <c r="C24" s="83">
        <v>1664.6</v>
      </c>
      <c r="D24" s="86">
        <v>1670.8</v>
      </c>
      <c r="E24" s="86">
        <v>1676.9</v>
      </c>
      <c r="F24" s="83">
        <v>1692.6</v>
      </c>
      <c r="G24" s="86">
        <v>1708.5</v>
      </c>
      <c r="H24" s="1069">
        <v>1724.6</v>
      </c>
      <c r="I24" s="1069">
        <v>1733.8</v>
      </c>
      <c r="J24" s="1069">
        <v>1743.2</v>
      </c>
      <c r="K24" s="1069">
        <v>1753.1</v>
      </c>
      <c r="L24" s="1070">
        <v>1763.6</v>
      </c>
      <c r="M24" s="130"/>
    </row>
    <row r="25" spans="1:14" x14ac:dyDescent="0.3">
      <c r="A25" s="37">
        <v>16</v>
      </c>
      <c r="B25" s="113" t="s">
        <v>255</v>
      </c>
      <c r="C25" s="85">
        <v>1600.8</v>
      </c>
      <c r="D25" s="114">
        <v>1596.8</v>
      </c>
      <c r="E25" s="114">
        <v>1599.6</v>
      </c>
      <c r="F25" s="85">
        <v>1603.8</v>
      </c>
      <c r="G25" s="114">
        <v>1615.6</v>
      </c>
      <c r="H25" s="1071">
        <v>1623.8</v>
      </c>
      <c r="I25" s="1071">
        <v>1621.3</v>
      </c>
      <c r="J25" s="1071">
        <v>1622.2</v>
      </c>
      <c r="K25" s="1071">
        <v>1627.2</v>
      </c>
      <c r="L25" s="1072">
        <v>1651.9</v>
      </c>
      <c r="M25" s="130"/>
    </row>
    <row r="26" spans="1:14" x14ac:dyDescent="0.3">
      <c r="A26" s="90">
        <v>17</v>
      </c>
      <c r="B26" s="115" t="s">
        <v>256</v>
      </c>
      <c r="C26" s="107">
        <v>3869.5</v>
      </c>
      <c r="D26" s="122">
        <v>3866.5</v>
      </c>
      <c r="E26" s="122">
        <v>3870.2</v>
      </c>
      <c r="F26" s="107">
        <v>3875.3</v>
      </c>
      <c r="G26" s="122">
        <v>3877.8</v>
      </c>
      <c r="H26" s="1073">
        <v>3896.4</v>
      </c>
      <c r="I26" s="1073">
        <v>3896.3</v>
      </c>
      <c r="J26" s="1073">
        <v>3899.5</v>
      </c>
      <c r="K26" s="1073">
        <v>3898.3</v>
      </c>
      <c r="L26" s="1074">
        <v>3959.9</v>
      </c>
      <c r="M26" s="130"/>
    </row>
    <row r="27" spans="1:14" x14ac:dyDescent="0.3">
      <c r="A27" s="37">
        <v>18</v>
      </c>
      <c r="B27" s="113" t="s">
        <v>257</v>
      </c>
      <c r="C27" s="85">
        <v>3797.8</v>
      </c>
      <c r="D27" s="114">
        <v>3795.5</v>
      </c>
      <c r="E27" s="114">
        <v>3799.7</v>
      </c>
      <c r="F27" s="85">
        <v>3805.1</v>
      </c>
      <c r="G27" s="114">
        <v>3807.9</v>
      </c>
      <c r="H27" s="1071">
        <v>3814.4</v>
      </c>
      <c r="I27" s="1071">
        <v>3825.6</v>
      </c>
      <c r="J27" s="1071">
        <v>3830.1</v>
      </c>
      <c r="K27" s="1071">
        <v>3828.9</v>
      </c>
      <c r="L27" s="1072">
        <v>3890.5</v>
      </c>
      <c r="M27" s="130"/>
    </row>
    <row r="28" spans="1:14" x14ac:dyDescent="0.3">
      <c r="A28" s="91">
        <v>19</v>
      </c>
      <c r="B28" s="104" t="s">
        <v>258</v>
      </c>
      <c r="C28" s="83">
        <v>1195.8</v>
      </c>
      <c r="D28" s="86">
        <v>1197.5999999999999</v>
      </c>
      <c r="E28" s="86">
        <v>1202.7</v>
      </c>
      <c r="F28" s="83">
        <v>1204.4000000000001</v>
      </c>
      <c r="G28" s="86">
        <v>1207.2</v>
      </c>
      <c r="H28" s="1069">
        <v>1209</v>
      </c>
      <c r="I28" s="1069">
        <v>1211</v>
      </c>
      <c r="J28" s="1069">
        <v>1215.5999999999999</v>
      </c>
      <c r="K28" s="1069">
        <v>1216.5999999999999</v>
      </c>
      <c r="L28" s="1070">
        <v>1227.7</v>
      </c>
      <c r="M28" s="130"/>
    </row>
    <row r="29" spans="1:14" x14ac:dyDescent="0.3">
      <c r="A29" s="93">
        <v>20</v>
      </c>
      <c r="B29" s="94" t="s">
        <v>259</v>
      </c>
      <c r="C29" s="85">
        <v>905</v>
      </c>
      <c r="D29" s="114">
        <v>907.8</v>
      </c>
      <c r="E29" s="114">
        <v>911.2</v>
      </c>
      <c r="F29" s="85">
        <v>907.1</v>
      </c>
      <c r="G29" s="114">
        <v>911.6</v>
      </c>
      <c r="H29" s="1071">
        <v>916.6</v>
      </c>
      <c r="I29" s="1071">
        <v>914.1</v>
      </c>
      <c r="J29" s="1071">
        <v>920.1</v>
      </c>
      <c r="K29" s="1071">
        <v>926.7</v>
      </c>
      <c r="L29" s="1072">
        <v>933.8</v>
      </c>
      <c r="M29" s="132">
        <v>942.65830121332203</v>
      </c>
    </row>
    <row r="30" spans="1:14" x14ac:dyDescent="0.3">
      <c r="A30" s="91"/>
      <c r="B30" s="116" t="s">
        <v>260</v>
      </c>
      <c r="C30" s="83" t="s">
        <v>1488</v>
      </c>
      <c r="D30" s="86" t="s">
        <v>1488</v>
      </c>
      <c r="E30" s="86" t="s">
        <v>1488</v>
      </c>
      <c r="F30" s="83" t="s">
        <v>1539</v>
      </c>
      <c r="G30" s="86" t="s">
        <v>1539</v>
      </c>
      <c r="H30" s="1069" t="s">
        <v>2111</v>
      </c>
      <c r="I30" s="1069" t="s">
        <v>2111</v>
      </c>
      <c r="J30" s="1069" t="s">
        <v>2111</v>
      </c>
      <c r="K30" s="1069" t="s">
        <v>2111</v>
      </c>
      <c r="L30" s="1070" t="s">
        <v>2111</v>
      </c>
      <c r="M30" s="130"/>
      <c r="N30" s="75"/>
    </row>
    <row r="31" spans="1:14" ht="16.2" customHeight="1" x14ac:dyDescent="0.3">
      <c r="A31" s="91">
        <v>21</v>
      </c>
      <c r="B31" s="104" t="s">
        <v>978</v>
      </c>
      <c r="C31" s="83">
        <v>15.8</v>
      </c>
      <c r="D31" s="86">
        <v>15.8</v>
      </c>
      <c r="E31" s="86">
        <v>15.9</v>
      </c>
      <c r="F31" s="83">
        <v>7.9</v>
      </c>
      <c r="G31" s="86">
        <v>7.9</v>
      </c>
      <c r="H31" s="1069">
        <v>8</v>
      </c>
      <c r="I31" s="1069">
        <v>0</v>
      </c>
      <c r="J31" s="1069">
        <v>0</v>
      </c>
      <c r="K31" s="1069">
        <v>0</v>
      </c>
      <c r="L31" s="1070">
        <v>0</v>
      </c>
      <c r="M31" s="130"/>
    </row>
    <row r="32" spans="1:14" x14ac:dyDescent="0.3">
      <c r="A32" s="93">
        <v>22</v>
      </c>
      <c r="B32" s="94" t="s">
        <v>261</v>
      </c>
      <c r="C32" s="85">
        <v>756.6</v>
      </c>
      <c r="D32" s="114">
        <v>763.8</v>
      </c>
      <c r="E32" s="114">
        <v>769</v>
      </c>
      <c r="F32" s="85">
        <v>780.7</v>
      </c>
      <c r="G32" s="114">
        <v>790.6</v>
      </c>
      <c r="H32" s="1071">
        <v>797.2</v>
      </c>
      <c r="I32" s="1071">
        <v>793.7</v>
      </c>
      <c r="J32" s="1071">
        <v>789.9</v>
      </c>
      <c r="K32" s="1071">
        <v>786.4</v>
      </c>
      <c r="L32" s="1072">
        <v>783</v>
      </c>
      <c r="M32" s="132">
        <f>forecast!D11</f>
        <v>790.23732193063006</v>
      </c>
    </row>
    <row r="33" spans="1:13" x14ac:dyDescent="0.3">
      <c r="A33" s="93">
        <v>23</v>
      </c>
      <c r="B33" s="94" t="s">
        <v>262</v>
      </c>
      <c r="C33" s="83">
        <v>25.5</v>
      </c>
      <c r="D33" s="86">
        <v>23.6</v>
      </c>
      <c r="E33" s="86">
        <v>21.7</v>
      </c>
      <c r="F33" s="83">
        <v>19.5</v>
      </c>
      <c r="G33" s="86">
        <v>18.2</v>
      </c>
      <c r="H33" s="1069">
        <v>18.100000000000001</v>
      </c>
      <c r="I33" s="1069">
        <v>18.7</v>
      </c>
      <c r="J33" s="1069">
        <v>18.899999999999999</v>
      </c>
      <c r="K33" s="1069">
        <v>18</v>
      </c>
      <c r="L33" s="1070">
        <v>18.899999999999999</v>
      </c>
      <c r="M33" s="132">
        <f>forecast!D9+forecast!D8</f>
        <v>18.420560747663554</v>
      </c>
    </row>
    <row r="34" spans="1:13" ht="16.2" customHeight="1" x14ac:dyDescent="0.3">
      <c r="B34" s="118" t="s">
        <v>979</v>
      </c>
      <c r="C34" s="85" t="s">
        <v>1488</v>
      </c>
      <c r="D34" s="114"/>
      <c r="E34" s="114"/>
      <c r="F34" s="85" t="s">
        <v>1539</v>
      </c>
      <c r="G34" s="114"/>
      <c r="H34" s="1071"/>
      <c r="I34" s="1071"/>
      <c r="J34" s="1071"/>
      <c r="K34" s="1071"/>
      <c r="L34" s="1072"/>
      <c r="M34" s="130"/>
    </row>
    <row r="35" spans="1:13" x14ac:dyDescent="0.3">
      <c r="A35" s="37">
        <v>24</v>
      </c>
      <c r="B35" s="119" t="s">
        <v>263</v>
      </c>
      <c r="C35" s="85">
        <v>0.2</v>
      </c>
      <c r="D35" s="114">
        <v>0.2</v>
      </c>
      <c r="E35" s="114">
        <v>0.2</v>
      </c>
      <c r="F35" s="85">
        <v>0.1</v>
      </c>
      <c r="G35" s="114">
        <v>0</v>
      </c>
      <c r="H35" s="1071">
        <v>0</v>
      </c>
      <c r="I35" s="1071">
        <v>0</v>
      </c>
      <c r="J35" s="1071">
        <v>0</v>
      </c>
      <c r="K35" s="1071">
        <v>0</v>
      </c>
      <c r="L35" s="1072">
        <v>0</v>
      </c>
      <c r="M35" s="130"/>
    </row>
    <row r="36" spans="1:13" x14ac:dyDescent="0.3">
      <c r="A36" s="91">
        <v>25</v>
      </c>
      <c r="B36" s="120" t="s">
        <v>264</v>
      </c>
      <c r="C36" s="83">
        <v>0.9</v>
      </c>
      <c r="D36" s="86">
        <v>0.8</v>
      </c>
      <c r="E36" s="86">
        <v>0.7</v>
      </c>
      <c r="F36" s="83">
        <v>0.7</v>
      </c>
      <c r="G36" s="86">
        <v>0.5</v>
      </c>
      <c r="H36" s="1069">
        <v>0.4</v>
      </c>
      <c r="I36" s="1069">
        <v>0.4</v>
      </c>
      <c r="J36" s="1069">
        <v>0.3</v>
      </c>
      <c r="K36" s="1069">
        <v>0.3</v>
      </c>
      <c r="L36" s="1070">
        <v>0.2</v>
      </c>
      <c r="M36" s="130"/>
    </row>
    <row r="37" spans="1:13" x14ac:dyDescent="0.3">
      <c r="A37" s="37">
        <v>26</v>
      </c>
      <c r="B37" s="121" t="s">
        <v>265</v>
      </c>
      <c r="C37" s="85">
        <v>1</v>
      </c>
      <c r="D37" s="114">
        <v>0.7</v>
      </c>
      <c r="E37" s="114">
        <v>0.6</v>
      </c>
      <c r="F37" s="85">
        <v>0.5</v>
      </c>
      <c r="G37" s="114">
        <v>0.3</v>
      </c>
      <c r="H37" s="1071">
        <v>0.3</v>
      </c>
      <c r="I37" s="1071">
        <v>0.2</v>
      </c>
      <c r="J37" s="1071">
        <v>0.2</v>
      </c>
      <c r="K37" s="1071">
        <v>0.2</v>
      </c>
      <c r="L37" s="1072">
        <v>0.1</v>
      </c>
      <c r="M37" s="130"/>
    </row>
    <row r="38" spans="1:13" x14ac:dyDescent="0.3">
      <c r="A38" s="91">
        <v>27</v>
      </c>
      <c r="B38" s="120" t="s">
        <v>266</v>
      </c>
      <c r="C38" s="83">
        <v>0</v>
      </c>
      <c r="D38" s="86">
        <v>0</v>
      </c>
      <c r="E38" s="86">
        <v>0</v>
      </c>
      <c r="F38" s="83">
        <v>0</v>
      </c>
      <c r="G38" s="86">
        <v>0</v>
      </c>
      <c r="H38" s="1069">
        <v>0</v>
      </c>
      <c r="I38" s="1069">
        <v>0</v>
      </c>
      <c r="J38" s="1069">
        <v>0</v>
      </c>
      <c r="K38" s="1069">
        <v>0</v>
      </c>
      <c r="L38" s="1070">
        <v>0</v>
      </c>
      <c r="M38" s="130"/>
    </row>
    <row r="39" spans="1:13" x14ac:dyDescent="0.3">
      <c r="A39" s="37">
        <v>28</v>
      </c>
      <c r="B39" s="113" t="s">
        <v>267</v>
      </c>
      <c r="C39" s="85">
        <v>157.19999999999999</v>
      </c>
      <c r="D39" s="114">
        <v>157.6</v>
      </c>
      <c r="E39" s="114">
        <v>158.1</v>
      </c>
      <c r="F39" s="85">
        <v>159.1</v>
      </c>
      <c r="G39" s="114">
        <v>159.69999999999999</v>
      </c>
      <c r="H39" s="1071">
        <v>160.4</v>
      </c>
      <c r="I39" s="1071">
        <v>161.1</v>
      </c>
      <c r="J39" s="1071">
        <v>161.6</v>
      </c>
      <c r="K39" s="1071">
        <v>162.5</v>
      </c>
      <c r="L39" s="1072">
        <v>163.19999999999999</v>
      </c>
      <c r="M39" s="130"/>
    </row>
    <row r="40" spans="1:13" x14ac:dyDescent="0.3">
      <c r="A40" s="91">
        <v>29</v>
      </c>
      <c r="B40" s="104" t="s">
        <v>268</v>
      </c>
      <c r="C40" s="83">
        <v>757.8</v>
      </c>
      <c r="D40" s="86">
        <v>745.1</v>
      </c>
      <c r="E40" s="86">
        <v>736.9</v>
      </c>
      <c r="F40" s="83">
        <v>734.2</v>
      </c>
      <c r="G40" s="86">
        <v>720.5</v>
      </c>
      <c r="H40" s="1069">
        <v>713.2</v>
      </c>
      <c r="I40" s="1069">
        <v>727.1</v>
      </c>
      <c r="J40" s="1069">
        <v>723.9</v>
      </c>
      <c r="K40" s="1069">
        <v>718.7</v>
      </c>
      <c r="L40" s="1070">
        <v>764</v>
      </c>
      <c r="M40" s="130"/>
    </row>
    <row r="41" spans="1:13" x14ac:dyDescent="0.3">
      <c r="B41" s="118" t="s">
        <v>269</v>
      </c>
      <c r="C41" s="85" t="s">
        <v>1488</v>
      </c>
      <c r="D41" s="114"/>
      <c r="E41" s="114"/>
      <c r="F41" s="85" t="s">
        <v>1539</v>
      </c>
      <c r="G41" s="114"/>
      <c r="H41" s="1071"/>
      <c r="I41" s="1071"/>
      <c r="J41" s="1071"/>
      <c r="K41" s="1071"/>
      <c r="L41" s="1072"/>
      <c r="M41" s="130"/>
    </row>
    <row r="42" spans="1:13" ht="16.2" customHeight="1" x14ac:dyDescent="0.3">
      <c r="A42" s="93">
        <v>30</v>
      </c>
      <c r="B42" s="95" t="s">
        <v>980</v>
      </c>
      <c r="C42" s="85">
        <v>94.3</v>
      </c>
      <c r="D42" s="114">
        <v>94.3</v>
      </c>
      <c r="E42" s="114">
        <v>94.3</v>
      </c>
      <c r="F42" s="85">
        <v>94.3</v>
      </c>
      <c r="G42" s="114">
        <v>94.3</v>
      </c>
      <c r="H42" s="1071">
        <v>94.3</v>
      </c>
      <c r="I42" s="1071">
        <v>94.3</v>
      </c>
      <c r="J42" s="1071">
        <v>94.3</v>
      </c>
      <c r="K42" s="1071">
        <v>94.3</v>
      </c>
      <c r="L42" s="1072">
        <v>94.3</v>
      </c>
      <c r="M42" s="132">
        <f>'Social Benefits'!T21</f>
        <v>94.3</v>
      </c>
    </row>
    <row r="43" spans="1:13" ht="16.2" customHeight="1" x14ac:dyDescent="0.3">
      <c r="A43" s="93">
        <v>31</v>
      </c>
      <c r="B43" s="95" t="s">
        <v>981</v>
      </c>
      <c r="C43" s="83">
        <v>0</v>
      </c>
      <c r="D43" s="86">
        <v>0</v>
      </c>
      <c r="E43" s="86">
        <v>0</v>
      </c>
      <c r="F43" s="83">
        <v>0</v>
      </c>
      <c r="G43" s="86">
        <v>0</v>
      </c>
      <c r="H43" s="1069">
        <v>0</v>
      </c>
      <c r="I43" s="1069">
        <v>0</v>
      </c>
      <c r="J43" s="1069">
        <v>0</v>
      </c>
      <c r="K43" s="1069">
        <v>0</v>
      </c>
      <c r="L43" s="1070">
        <v>0</v>
      </c>
      <c r="M43" s="131"/>
    </row>
    <row r="44" spans="1:13" ht="16.2" customHeight="1" x14ac:dyDescent="0.3">
      <c r="A44" s="37">
        <v>32</v>
      </c>
      <c r="B44" s="119" t="s">
        <v>982</v>
      </c>
      <c r="C44" s="85">
        <v>0</v>
      </c>
      <c r="D44" s="114">
        <v>0</v>
      </c>
      <c r="E44" s="114">
        <v>0</v>
      </c>
      <c r="F44" s="85">
        <v>0</v>
      </c>
      <c r="G44" s="114">
        <v>0</v>
      </c>
      <c r="H44" s="1071">
        <v>0</v>
      </c>
      <c r="I44" s="1071">
        <v>0</v>
      </c>
      <c r="J44" s="1071">
        <v>0</v>
      </c>
      <c r="K44" s="1071">
        <v>0</v>
      </c>
      <c r="L44" s="1072">
        <v>0</v>
      </c>
      <c r="M44" s="130"/>
    </row>
    <row r="45" spans="1:13" ht="16.2" customHeight="1" x14ac:dyDescent="0.3">
      <c r="A45" s="93">
        <v>33</v>
      </c>
      <c r="B45" s="96" t="s">
        <v>983</v>
      </c>
      <c r="C45" s="83">
        <v>0</v>
      </c>
      <c r="D45" s="86">
        <v>0</v>
      </c>
      <c r="E45" s="86">
        <v>0</v>
      </c>
      <c r="F45" s="83">
        <v>0</v>
      </c>
      <c r="G45" s="86">
        <v>0</v>
      </c>
      <c r="H45" s="1069">
        <v>0</v>
      </c>
      <c r="I45" s="1069">
        <v>0</v>
      </c>
      <c r="J45" s="1069">
        <v>0</v>
      </c>
      <c r="K45" s="1069">
        <v>0</v>
      </c>
      <c r="L45" s="1070">
        <v>0</v>
      </c>
      <c r="M45" s="131"/>
    </row>
    <row r="46" spans="1:13" ht="16.2" customHeight="1" x14ac:dyDescent="0.3">
      <c r="A46" s="93">
        <v>34</v>
      </c>
      <c r="B46" s="126" t="s">
        <v>984</v>
      </c>
      <c r="C46" s="85">
        <v>32.700000000000003</v>
      </c>
      <c r="D46" s="114">
        <v>23.6</v>
      </c>
      <c r="E46" s="114">
        <v>24.3</v>
      </c>
      <c r="F46" s="85">
        <v>27.3</v>
      </c>
      <c r="G46" s="114">
        <v>17.8</v>
      </c>
      <c r="H46" s="1071">
        <v>14.8</v>
      </c>
      <c r="I46" s="1071">
        <v>11.8</v>
      </c>
      <c r="J46" s="1071">
        <v>9.8000000000000007</v>
      </c>
      <c r="K46" s="1071">
        <v>2.8</v>
      </c>
      <c r="L46" s="1072">
        <v>3.2</v>
      </c>
      <c r="M46" s="133">
        <f>'Provider Relief'!T11</f>
        <v>0</v>
      </c>
    </row>
    <row r="47" spans="1:13" x14ac:dyDescent="0.3">
      <c r="A47" s="91">
        <v>35</v>
      </c>
      <c r="B47" s="104" t="s">
        <v>270</v>
      </c>
      <c r="C47" s="83">
        <v>71.7</v>
      </c>
      <c r="D47" s="86">
        <v>71</v>
      </c>
      <c r="E47" s="86">
        <v>70.5</v>
      </c>
      <c r="F47" s="83">
        <v>70.2</v>
      </c>
      <c r="G47" s="86">
        <v>70</v>
      </c>
      <c r="H47" s="1069">
        <v>82</v>
      </c>
      <c r="I47" s="1069">
        <v>70.7</v>
      </c>
      <c r="J47" s="1069">
        <v>69.400000000000006</v>
      </c>
      <c r="K47" s="1069">
        <v>69.400000000000006</v>
      </c>
      <c r="L47" s="1070">
        <v>69.400000000000006</v>
      </c>
      <c r="M47" s="130"/>
    </row>
    <row r="48" spans="1:13" x14ac:dyDescent="0.3">
      <c r="A48" s="76">
        <v>36</v>
      </c>
      <c r="B48" s="101" t="s">
        <v>271</v>
      </c>
      <c r="C48" s="103">
        <v>1623.6</v>
      </c>
      <c r="D48" s="106">
        <v>1635.9</v>
      </c>
      <c r="E48" s="106">
        <v>1644.7</v>
      </c>
      <c r="F48" s="103">
        <v>1651.8</v>
      </c>
      <c r="G48" s="106">
        <v>1661.2</v>
      </c>
      <c r="H48" s="1067">
        <v>1661.3</v>
      </c>
      <c r="I48" s="1067">
        <v>1674.5</v>
      </c>
      <c r="J48" s="1067">
        <v>1680.9</v>
      </c>
      <c r="K48" s="1067">
        <v>1690.7</v>
      </c>
      <c r="L48" s="1068">
        <v>1698.1</v>
      </c>
      <c r="M48" s="82">
        <f>Taxes!T13+Taxes!T24</f>
        <v>1712.7249451718719</v>
      </c>
    </row>
    <row r="49" spans="1:14" x14ac:dyDescent="0.3">
      <c r="A49" s="90">
        <v>37</v>
      </c>
      <c r="B49" s="115" t="s">
        <v>272</v>
      </c>
      <c r="C49" s="107">
        <v>3125.7</v>
      </c>
      <c r="D49" s="122">
        <v>3147</v>
      </c>
      <c r="E49" s="122">
        <v>3163.7</v>
      </c>
      <c r="F49" s="107">
        <v>3183.6</v>
      </c>
      <c r="G49" s="122">
        <v>3199.3</v>
      </c>
      <c r="H49" s="1073">
        <v>3198.5</v>
      </c>
      <c r="I49" s="1073">
        <v>3225.5</v>
      </c>
      <c r="J49" s="1073">
        <v>3238.6</v>
      </c>
      <c r="K49" s="1073">
        <v>3267.8</v>
      </c>
      <c r="L49" s="1074">
        <v>3290.2</v>
      </c>
      <c r="M49" s="82">
        <f>Taxes!T10+Taxes!T23</f>
        <v>3294.6339385910173</v>
      </c>
    </row>
    <row r="50" spans="1:14" x14ac:dyDescent="0.3">
      <c r="A50" s="76">
        <v>38</v>
      </c>
      <c r="B50" s="101" t="s">
        <v>273</v>
      </c>
      <c r="C50" s="103">
        <v>18080</v>
      </c>
      <c r="D50" s="106">
        <v>18172.5</v>
      </c>
      <c r="E50" s="106">
        <v>18270.599999999999</v>
      </c>
      <c r="F50" s="103">
        <v>18320</v>
      </c>
      <c r="G50" s="106">
        <v>18425</v>
      </c>
      <c r="H50" s="1067">
        <v>18488.5</v>
      </c>
      <c r="I50" s="1067">
        <v>18565</v>
      </c>
      <c r="J50" s="1067">
        <v>18626.2</v>
      </c>
      <c r="K50" s="1067">
        <v>18685.5</v>
      </c>
      <c r="L50" s="1068">
        <v>18818.5</v>
      </c>
      <c r="M50" s="130"/>
      <c r="N50" s="75"/>
    </row>
    <row r="51" spans="1:14" x14ac:dyDescent="0.3">
      <c r="A51" s="90">
        <v>39</v>
      </c>
      <c r="B51" s="115" t="s">
        <v>274</v>
      </c>
      <c r="C51" s="107">
        <v>17234.400000000001</v>
      </c>
      <c r="D51" s="122">
        <v>17359.2</v>
      </c>
      <c r="E51" s="122">
        <v>17574.8</v>
      </c>
      <c r="F51" s="107">
        <v>17645.400000000001</v>
      </c>
      <c r="G51" s="122">
        <v>17768.400000000001</v>
      </c>
      <c r="H51" s="1073">
        <v>17982.2</v>
      </c>
      <c r="I51" s="1073">
        <v>17971.2</v>
      </c>
      <c r="J51" s="1073">
        <v>18106</v>
      </c>
      <c r="K51" s="1073">
        <v>18237.8</v>
      </c>
      <c r="L51" s="1074">
        <v>18392</v>
      </c>
      <c r="M51" s="130"/>
      <c r="N51" s="75">
        <f>K49/C49-1</f>
        <v>4.5461816553092227E-2</v>
      </c>
    </row>
    <row r="52" spans="1:14" x14ac:dyDescent="0.3">
      <c r="A52" s="37">
        <v>40</v>
      </c>
      <c r="B52" s="113" t="s">
        <v>275</v>
      </c>
      <c r="C52" s="85">
        <v>16725.599999999999</v>
      </c>
      <c r="D52" s="114">
        <v>16844.5</v>
      </c>
      <c r="E52" s="114">
        <v>17054.2</v>
      </c>
      <c r="F52" s="85">
        <v>17115.599999999999</v>
      </c>
      <c r="G52" s="114">
        <v>17231.099999999999</v>
      </c>
      <c r="H52" s="1071">
        <v>17437.400000000001</v>
      </c>
      <c r="I52" s="1071">
        <v>17405</v>
      </c>
      <c r="J52" s="1071">
        <v>17518.2</v>
      </c>
      <c r="K52" s="1071">
        <v>17628.2</v>
      </c>
      <c r="L52" s="1072">
        <v>17776.099999999999</v>
      </c>
      <c r="M52" s="130"/>
    </row>
    <row r="53" spans="1:14" x14ac:dyDescent="0.3">
      <c r="A53" s="91">
        <v>41</v>
      </c>
      <c r="B53" s="104" t="s">
        <v>276</v>
      </c>
      <c r="C53" s="83">
        <v>288.10000000000002</v>
      </c>
      <c r="D53" s="86">
        <v>293.5</v>
      </c>
      <c r="E53" s="86">
        <v>298.8</v>
      </c>
      <c r="F53" s="83">
        <v>306</v>
      </c>
      <c r="G53" s="86">
        <v>313.10000000000002</v>
      </c>
      <c r="H53" s="1069">
        <v>320.2</v>
      </c>
      <c r="I53" s="1069">
        <v>341.6</v>
      </c>
      <c r="J53" s="1069">
        <v>363</v>
      </c>
      <c r="K53" s="1069">
        <v>384.4</v>
      </c>
      <c r="L53" s="1070">
        <v>390.6</v>
      </c>
      <c r="M53" s="130"/>
    </row>
    <row r="54" spans="1:14" x14ac:dyDescent="0.3">
      <c r="B54" s="124" t="s">
        <v>277</v>
      </c>
      <c r="C54" s="85" t="s">
        <v>1488</v>
      </c>
      <c r="D54" s="114"/>
      <c r="E54" s="114"/>
      <c r="F54" s="85" t="s">
        <v>1539</v>
      </c>
      <c r="G54" s="114"/>
      <c r="H54" s="1071"/>
      <c r="I54" s="1071"/>
      <c r="J54" s="1071"/>
      <c r="K54" s="1071"/>
      <c r="L54" s="1072"/>
      <c r="M54" s="130"/>
    </row>
    <row r="55" spans="1:14" ht="16.2" customHeight="1" x14ac:dyDescent="0.3">
      <c r="A55" s="37">
        <v>42</v>
      </c>
      <c r="B55" s="119" t="s">
        <v>985</v>
      </c>
      <c r="C55" s="85">
        <v>-37.799999999999997</v>
      </c>
      <c r="D55" s="114">
        <v>-37.799999999999997</v>
      </c>
      <c r="E55" s="114">
        <v>-37.799999999999997</v>
      </c>
      <c r="F55" s="85">
        <v>-37.799999999999997</v>
      </c>
      <c r="G55" s="114">
        <v>-37.799999999999997</v>
      </c>
      <c r="H55" s="1071">
        <v>-37.799999999999997</v>
      </c>
      <c r="I55" s="1071">
        <v>-37.799999999999997</v>
      </c>
      <c r="J55" s="1071">
        <v>-37.799999999999997</v>
      </c>
      <c r="K55" s="1071">
        <v>-37.799999999999997</v>
      </c>
      <c r="L55" s="1072">
        <v>-37.799999999999997</v>
      </c>
      <c r="M55" s="130"/>
    </row>
    <row r="56" spans="1:14" x14ac:dyDescent="0.3">
      <c r="A56" s="91">
        <v>43</v>
      </c>
      <c r="B56" s="104" t="s">
        <v>278</v>
      </c>
      <c r="C56" s="83">
        <v>220.7</v>
      </c>
      <c r="D56" s="86">
        <v>221.3</v>
      </c>
      <c r="E56" s="86">
        <v>221.8</v>
      </c>
      <c r="F56" s="83">
        <v>223.8</v>
      </c>
      <c r="G56" s="86">
        <v>224.2</v>
      </c>
      <c r="H56" s="1069">
        <v>224.6</v>
      </c>
      <c r="I56" s="1069">
        <v>224.5</v>
      </c>
      <c r="J56" s="1069">
        <v>224.8</v>
      </c>
      <c r="K56" s="1069">
        <v>225.1</v>
      </c>
      <c r="L56" s="1070">
        <v>225.3</v>
      </c>
      <c r="M56" s="130"/>
    </row>
    <row r="57" spans="1:14" x14ac:dyDescent="0.3">
      <c r="A57" s="37">
        <v>44</v>
      </c>
      <c r="B57" s="113" t="s">
        <v>279</v>
      </c>
      <c r="C57" s="85">
        <v>113.6</v>
      </c>
      <c r="D57" s="114">
        <v>114.1</v>
      </c>
      <c r="E57" s="114">
        <v>114.6</v>
      </c>
      <c r="F57" s="85">
        <v>115</v>
      </c>
      <c r="G57" s="114">
        <v>115.4</v>
      </c>
      <c r="H57" s="1071">
        <v>115.8</v>
      </c>
      <c r="I57" s="1071">
        <v>116.1</v>
      </c>
      <c r="J57" s="1071">
        <v>116.4</v>
      </c>
      <c r="K57" s="1071">
        <v>116.7</v>
      </c>
      <c r="L57" s="1072">
        <v>116.9</v>
      </c>
      <c r="M57" s="130"/>
    </row>
    <row r="58" spans="1:14" x14ac:dyDescent="0.3">
      <c r="A58" s="91">
        <v>45</v>
      </c>
      <c r="B58" s="104" t="s">
        <v>280</v>
      </c>
      <c r="C58" s="83">
        <v>107.2</v>
      </c>
      <c r="D58" s="86">
        <v>107.2</v>
      </c>
      <c r="E58" s="86">
        <v>107.2</v>
      </c>
      <c r="F58" s="83">
        <v>108.8</v>
      </c>
      <c r="G58" s="86">
        <v>108.8</v>
      </c>
      <c r="H58" s="1069">
        <v>108.8</v>
      </c>
      <c r="I58" s="1069">
        <v>108.4</v>
      </c>
      <c r="J58" s="1069">
        <v>108.4</v>
      </c>
      <c r="K58" s="1069">
        <v>108.4</v>
      </c>
      <c r="L58" s="1070">
        <v>108.4</v>
      </c>
      <c r="M58" s="130"/>
    </row>
    <row r="59" spans="1:14" ht="15" customHeight="1" thickBot="1" x14ac:dyDescent="0.35">
      <c r="A59" s="92">
        <v>46</v>
      </c>
      <c r="B59" s="125" t="s">
        <v>281</v>
      </c>
      <c r="C59" s="109">
        <v>845.6</v>
      </c>
      <c r="D59" s="123">
        <v>813.3</v>
      </c>
      <c r="E59" s="123">
        <v>695.8</v>
      </c>
      <c r="F59" s="109">
        <v>674.7</v>
      </c>
      <c r="G59" s="123">
        <v>656.6</v>
      </c>
      <c r="H59" s="1075">
        <v>506.3</v>
      </c>
      <c r="I59" s="1075">
        <v>593.79999999999995</v>
      </c>
      <c r="J59" s="1075">
        <v>520.20000000000005</v>
      </c>
      <c r="K59" s="1075">
        <v>447.8</v>
      </c>
      <c r="L59" s="1076">
        <v>426.5</v>
      </c>
      <c r="M59" s="134"/>
    </row>
    <row r="61" spans="1:14" x14ac:dyDescent="0.3">
      <c r="A61" s="37" t="s">
        <v>282</v>
      </c>
      <c r="B61" s="98" t="s">
        <v>283</v>
      </c>
      <c r="I61" s="37"/>
      <c r="J61" s="37"/>
      <c r="K61" s="37"/>
      <c r="L61" s="37"/>
    </row>
    <row r="62" spans="1:14" x14ac:dyDescent="0.3">
      <c r="A62" s="37" t="s">
        <v>284</v>
      </c>
      <c r="B62" s="37" t="s">
        <v>285</v>
      </c>
    </row>
    <row r="63" spans="1:14" x14ac:dyDescent="0.3">
      <c r="A63" s="37" t="s">
        <v>286</v>
      </c>
      <c r="B63" s="37" t="s">
        <v>287</v>
      </c>
    </row>
    <row r="64" spans="1:14" x14ac:dyDescent="0.3">
      <c r="A64" s="37" t="s">
        <v>288</v>
      </c>
      <c r="B64" s="37" t="s">
        <v>289</v>
      </c>
    </row>
    <row r="66" spans="1:7" x14ac:dyDescent="0.3">
      <c r="A66" s="1137" t="s">
        <v>958</v>
      </c>
      <c r="B66" s="1137"/>
      <c r="C66" s="1137"/>
      <c r="D66" s="1137"/>
      <c r="E66" s="1137"/>
      <c r="F66" s="1137"/>
      <c r="G66" s="1137"/>
    </row>
    <row r="67" spans="1:7" x14ac:dyDescent="0.3">
      <c r="A67" s="1135" t="s">
        <v>959</v>
      </c>
      <c r="B67" s="1135"/>
      <c r="C67" s="1135"/>
      <c r="D67" s="1135"/>
      <c r="E67" s="1135"/>
      <c r="F67" s="1135"/>
      <c r="G67" s="1135"/>
    </row>
    <row r="68" spans="1:7" x14ac:dyDescent="0.3">
      <c r="A68" s="1134" t="s">
        <v>960</v>
      </c>
      <c r="B68" s="1134"/>
      <c r="C68" s="1134"/>
      <c r="D68" s="1134"/>
      <c r="E68" s="1134"/>
      <c r="F68" s="1134"/>
      <c r="G68" s="1134"/>
    </row>
    <row r="69" spans="1:7" x14ac:dyDescent="0.3">
      <c r="A69" s="1136" t="s">
        <v>961</v>
      </c>
      <c r="B69" s="1136"/>
      <c r="C69" s="1136"/>
      <c r="D69" s="1136"/>
      <c r="E69" s="1136"/>
      <c r="F69" s="1136"/>
      <c r="G69" s="1136"/>
    </row>
    <row r="70" spans="1:7" x14ac:dyDescent="0.3">
      <c r="A70" s="1138" t="s">
        <v>962</v>
      </c>
      <c r="B70" s="1138"/>
      <c r="C70" s="1138"/>
      <c r="D70" s="1138"/>
      <c r="E70" s="1138"/>
      <c r="F70" s="1138"/>
      <c r="G70" s="1138"/>
    </row>
    <row r="71" spans="1:7" x14ac:dyDescent="0.3">
      <c r="A71" s="1135" t="s">
        <v>963</v>
      </c>
      <c r="B71" s="1135"/>
      <c r="C71" s="1135"/>
      <c r="D71" s="1135"/>
      <c r="E71" s="1135"/>
      <c r="F71" s="1135"/>
      <c r="G71" s="1135"/>
    </row>
    <row r="72" spans="1:7" x14ac:dyDescent="0.3">
      <c r="A72" s="1134" t="s">
        <v>964</v>
      </c>
      <c r="B72" s="1134"/>
      <c r="C72" s="1134"/>
      <c r="D72" s="1134"/>
      <c r="E72" s="1134"/>
      <c r="F72" s="1134"/>
      <c r="G72" s="1134"/>
    </row>
    <row r="73" spans="1:7" x14ac:dyDescent="0.3">
      <c r="A73" s="1134" t="s">
        <v>965</v>
      </c>
      <c r="B73" s="1134"/>
      <c r="C73" s="1134"/>
      <c r="D73" s="1134"/>
      <c r="E73" s="1134"/>
      <c r="F73" s="1134"/>
      <c r="G73" s="1134"/>
    </row>
    <row r="74" spans="1:7" x14ac:dyDescent="0.3">
      <c r="A74" s="1135" t="s">
        <v>966</v>
      </c>
      <c r="B74" s="1135"/>
      <c r="C74" s="1135"/>
      <c r="D74" s="1135"/>
      <c r="E74" s="1135"/>
      <c r="F74" s="1135"/>
      <c r="G74" s="1135"/>
    </row>
    <row r="76" spans="1:7" x14ac:dyDescent="0.3">
      <c r="A76" s="1136" t="s">
        <v>967</v>
      </c>
      <c r="B76" s="1136"/>
      <c r="C76" s="1136"/>
      <c r="D76" s="1136"/>
      <c r="E76" s="1136"/>
      <c r="F76" s="1136"/>
      <c r="G76" s="1136"/>
    </row>
    <row r="78" spans="1:7" x14ac:dyDescent="0.3">
      <c r="A78" s="37" t="s">
        <v>290</v>
      </c>
    </row>
    <row r="80" spans="1:7" x14ac:dyDescent="0.3">
      <c r="A80" s="37" t="s">
        <v>291</v>
      </c>
    </row>
    <row r="82" spans="1:1" x14ac:dyDescent="0.3">
      <c r="A82" s="99"/>
    </row>
    <row r="88" spans="1:1" x14ac:dyDescent="0.3">
      <c r="A88" s="97"/>
    </row>
    <row r="89" spans="1:1" x14ac:dyDescent="0.3">
      <c r="A89" s="97"/>
    </row>
    <row r="90" spans="1:1" x14ac:dyDescent="0.3">
      <c r="A90" s="97"/>
    </row>
  </sheetData>
  <mergeCells count="15">
    <mergeCell ref="A2:Q2"/>
    <mergeCell ref="A3:Q3"/>
    <mergeCell ref="A4:C4"/>
    <mergeCell ref="C5:G5"/>
    <mergeCell ref="C6:D6"/>
    <mergeCell ref="A72:G72"/>
    <mergeCell ref="A73:G73"/>
    <mergeCell ref="A74:G74"/>
    <mergeCell ref="A76:G76"/>
    <mergeCell ref="A66:G66"/>
    <mergeCell ref="A67:G67"/>
    <mergeCell ref="A68:G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October MPI</vt:lpstr>
      <vt:lpstr>historical overrides</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Cares Act Scores</vt:lpstr>
      <vt:lpstr>IRA and CHIPS</vt:lpstr>
      <vt:lpstr>Response and Relief Act Score</vt:lpstr>
      <vt:lpstr>ARP Score</vt:lpstr>
      <vt:lpstr>ARP Timing</vt:lpstr>
      <vt:lpstr>ARP Quarterly</vt:lpstr>
      <vt:lpstr>deflators_raw</vt:lpstr>
      <vt:lpstr>deflators_adj</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2022-12-01T19:17:28Z</dcterms:modified>
  <cp:category/>
  <cp:contentStatus/>
</cp:coreProperties>
</file>