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62070AC2-49D6-4286-A9D1-9CFDA56E794D}" xr6:coauthVersionLast="45" xr6:coauthVersionMax="45" xr10:uidLastSave="{00000000-0000-0000-0000-000000000000}"/>
  <bookViews>
    <workbookView xWindow="-110" yWindow="-110" windowWidth="19420" windowHeight="10420" firstSheet="8" activeTab="10"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historical overrides" sheetId="50" r:id="rId10"/>
    <sheet name="mpc" sheetId="56" r:id="rId11"/>
    <sheet name="Unemployment Insurance" sheetId="25"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85" i="48" l="1"/>
  <c r="O98" i="48"/>
  <c r="O97" i="48"/>
  <c r="O96" i="48"/>
  <c r="O87" i="48"/>
  <c r="O82" i="48" s="1"/>
  <c r="O83" i="48"/>
  <c r="O84" i="48"/>
  <c r="O17" i="48"/>
  <c r="O18" i="48"/>
  <c r="O19" i="48"/>
  <c r="O20" i="48"/>
  <c r="O10" i="48"/>
  <c r="O11" i="48"/>
  <c r="O12" i="48"/>
  <c r="O13" i="48"/>
  <c r="O64" i="32"/>
  <c r="O63" i="32"/>
  <c r="O62" i="32" s="1"/>
  <c r="O53" i="32"/>
  <c r="P49" i="32"/>
  <c r="Q49" i="32"/>
  <c r="R49" i="32"/>
  <c r="S49" i="32"/>
  <c r="T49" i="32"/>
  <c r="U49" i="32"/>
  <c r="V49" i="32"/>
  <c r="W49" i="32"/>
  <c r="X49" i="32"/>
  <c r="Y49" i="32"/>
  <c r="Z49" i="32"/>
  <c r="AA49" i="32"/>
  <c r="AB49" i="32"/>
  <c r="AC49" i="32"/>
  <c r="N49" i="32"/>
  <c r="O30" i="32"/>
  <c r="O28" i="32"/>
  <c r="O12" i="32"/>
  <c r="O10" i="29"/>
  <c r="O9" i="29"/>
  <c r="O12" i="33"/>
  <c r="O11" i="33"/>
  <c r="O9" i="49"/>
  <c r="O11" i="49" s="1"/>
  <c r="O10" i="49"/>
  <c r="N12" i="49"/>
  <c r="O12" i="30"/>
  <c r="O14" i="30"/>
  <c r="O11" i="30"/>
  <c r="O16" i="30"/>
  <c r="O17" i="30"/>
  <c r="O18" i="30"/>
  <c r="O19" i="30"/>
  <c r="O20" i="30"/>
  <c r="O21" i="30"/>
  <c r="O28" i="20"/>
  <c r="O27" i="20"/>
  <c r="O25" i="20"/>
  <c r="O13" i="20"/>
  <c r="O9" i="20"/>
  <c r="O81" i="26"/>
  <c r="O93" i="26"/>
  <c r="O20" i="26"/>
  <c r="O19" i="26"/>
  <c r="O14" i="26"/>
  <c r="O13" i="26"/>
  <c r="O11" i="26"/>
  <c r="O10" i="26"/>
  <c r="O9" i="26"/>
  <c r="O56" i="38"/>
  <c r="O55" i="38"/>
  <c r="O54" i="38"/>
  <c r="O53" i="38"/>
  <c r="O14" i="40"/>
  <c r="O13" i="40"/>
  <c r="O12" i="40"/>
  <c r="O11" i="40"/>
  <c r="O22" i="25"/>
  <c r="D33" i="25"/>
  <c r="O18" i="25"/>
  <c r="O17" i="25"/>
  <c r="O16" i="25"/>
  <c r="O15" i="25"/>
  <c r="O14" i="25"/>
  <c r="O12" i="25"/>
  <c r="O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K25" i="49" l="1"/>
  <c r="R48" i="38"/>
  <c r="Q48" i="38"/>
  <c r="N69" i="38"/>
  <c r="M69" i="38"/>
  <c r="N67" i="38"/>
  <c r="M67" i="38"/>
  <c r="N68" i="38"/>
  <c r="M68" i="38"/>
  <c r="N66" i="38"/>
  <c r="M66" i="38"/>
  <c r="N65" i="38"/>
  <c r="M65" i="38"/>
  <c r="Q18" i="52"/>
  <c r="P18" i="52"/>
  <c r="Q21" i="52"/>
  <c r="P21" i="52"/>
  <c r="M21" i="52"/>
  <c r="O64" i="38" s="1"/>
  <c r="M18" i="52"/>
  <c r="O63" i="38" s="1"/>
  <c r="P63" i="38" s="1"/>
  <c r="R10" i="29"/>
  <c r="Q10" i="29"/>
  <c r="M32" i="52"/>
  <c r="L32" i="52"/>
  <c r="M28" i="52"/>
  <c r="L28" i="52"/>
  <c r="M29" i="52"/>
  <c r="L29" i="52"/>
  <c r="M39" i="52"/>
  <c r="L44" i="52"/>
  <c r="M45" i="52"/>
  <c r="O66" i="38" s="1"/>
  <c r="P66" i="38" s="1"/>
  <c r="L46" i="52"/>
  <c r="M46" i="52" s="1"/>
  <c r="M44" i="52"/>
  <c r="M43" i="52"/>
  <c r="M42" i="52"/>
  <c r="L43" i="52"/>
  <c r="L42" i="52"/>
  <c r="M36" i="52"/>
  <c r="M37" i="52"/>
  <c r="M38" i="52"/>
  <c r="M35" i="52"/>
  <c r="L36" i="52"/>
  <c r="L37" i="52"/>
  <c r="L38" i="52"/>
  <c r="L35" i="52"/>
  <c r="L34" i="52"/>
  <c r="M33" i="52"/>
  <c r="L33" i="52"/>
  <c r="N48" i="38"/>
  <c r="O48" i="38"/>
  <c r="P48" i="38"/>
  <c r="M48" i="38"/>
  <c r="O65" i="38" l="1"/>
  <c r="P64" i="38"/>
  <c r="P65" i="38" l="1"/>
  <c r="O67" i="38"/>
  <c r="O15" i="40"/>
  <c r="F10" i="48"/>
  <c r="F9" i="48" s="1"/>
  <c r="G10" i="48"/>
  <c r="F11" i="48"/>
  <c r="G11" i="48"/>
  <c r="F12" i="48"/>
  <c r="G12" i="48"/>
  <c r="F13" i="48"/>
  <c r="G13" i="48"/>
  <c r="F20" i="48"/>
  <c r="F99" i="48" s="1"/>
  <c r="G20" i="48"/>
  <c r="G99" i="48" s="1"/>
  <c r="F19" i="48"/>
  <c r="F98" i="48" s="1"/>
  <c r="G19" i="48"/>
  <c r="G98" i="48" s="1"/>
  <c r="F18" i="48"/>
  <c r="F97" i="48" s="1"/>
  <c r="G18" i="48"/>
  <c r="G97" i="48" s="1"/>
  <c r="F17" i="48"/>
  <c r="G17" i="48"/>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G96" i="48" l="1"/>
  <c r="F96" i="48"/>
  <c r="O68" i="38"/>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O8"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F28" i="46"/>
  <c r="G28" i="46" s="1"/>
  <c r="F29" i="46"/>
  <c r="G29" i="46" s="1"/>
  <c r="F30" i="46"/>
  <c r="G30" i="46" s="1"/>
  <c r="F31" i="46"/>
  <c r="G31" i="46" s="1"/>
  <c r="N10" i="33" l="1"/>
  <c r="N12" i="33"/>
  <c r="P96" i="48"/>
  <c r="N82" i="48"/>
  <c r="H63" i="48" s="1"/>
  <c r="I63" i="48" s="1"/>
  <c r="N83" i="48"/>
  <c r="H64" i="48" s="1"/>
  <c r="I64" i="48" s="1"/>
  <c r="P12" i="48"/>
  <c r="N84" i="48"/>
  <c r="H65" i="48" s="1"/>
  <c r="P13" i="48"/>
  <c r="N15" i="30"/>
  <c r="N13" i="30"/>
  <c r="N12" i="30" s="1"/>
  <c r="N11" i="49"/>
  <c r="N11" i="26"/>
  <c r="N14" i="40"/>
  <c r="B21" i="53"/>
  <c r="B20" i="53"/>
  <c r="B19" i="53"/>
  <c r="B18" i="53"/>
  <c r="B17" i="53"/>
  <c r="B16" i="53"/>
  <c r="B15" i="53"/>
  <c r="B14" i="53"/>
  <c r="B13" i="53"/>
  <c r="B12" i="53"/>
  <c r="B11" i="53"/>
  <c r="B10" i="53"/>
  <c r="P12" i="33" l="1"/>
  <c r="O10" i="33"/>
  <c r="Q96" i="48"/>
  <c r="P17" i="48"/>
  <c r="P11" i="48"/>
  <c r="P10" i="48"/>
  <c r="J63" i="48"/>
  <c r="Q10" i="48"/>
  <c r="N15" i="40"/>
  <c r="N16" i="40"/>
  <c r="N17" i="40"/>
  <c r="H9" i="20"/>
  <c r="I9" i="20"/>
  <c r="J9" i="20"/>
  <c r="K9" i="20"/>
  <c r="L9" i="20"/>
  <c r="M9" i="20"/>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C4" i="35"/>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C3" i="35"/>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O49" i="32" s="1"/>
  <c r="O51" i="32" s="1"/>
  <c r="O54" i="32" s="1"/>
  <c r="O20" i="32" s="1"/>
  <c r="O21" i="32" s="1"/>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P97" i="48"/>
  <c r="P98" i="48"/>
  <c r="P99" i="48"/>
  <c r="C22" i="35"/>
  <c r="D24" i="55" s="1"/>
  <c r="D99" i="55" s="1"/>
  <c r="I66" i="48"/>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E22" i="21"/>
  <c r="O38" i="30" s="1"/>
  <c r="O23" i="30" s="1"/>
  <c r="E18" i="21"/>
  <c r="O34" i="30" s="1"/>
  <c r="E20" i="21"/>
  <c r="O36"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76" i="26"/>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P56" i="38" l="1"/>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I13" i="30"/>
  <c r="I12" i="30" s="1"/>
  <c r="R12" i="30"/>
  <c r="W12" i="30"/>
  <c r="W11" i="30" s="1"/>
  <c r="S12" i="30"/>
  <c r="T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C5" i="35"/>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X20" i="25"/>
  <c r="K9" i="35"/>
  <c r="L11" i="55" s="1"/>
  <c r="L86" i="55" s="1"/>
  <c r="W13" i="32"/>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12" i="32"/>
  <c r="Z50" i="32" s="1"/>
  <c r="AB20" i="25"/>
  <c r="P9" i="35" s="1"/>
  <c r="Q11" i="55" s="1"/>
  <c r="AA11" i="25"/>
  <c r="AA19" i="25" s="1"/>
  <c r="AB14" i="25"/>
  <c r="AB13" i="25" s="1"/>
  <c r="AC12" i="25"/>
  <c r="N61" i="55"/>
  <c r="M60" i="55"/>
  <c r="N79" i="26"/>
  <c r="N74" i="26" s="1"/>
  <c r="M8" i="35"/>
  <c r="N10" i="55" s="1"/>
  <c r="N85" i="55" s="1"/>
  <c r="X13" i="32"/>
  <c r="X12" i="32" s="1"/>
  <c r="X50" i="32" s="1"/>
  <c r="Y13" i="32"/>
  <c r="AB11" i="25" l="1"/>
  <c r="AB19" i="25" s="1"/>
  <c r="P8" i="35" s="1"/>
  <c r="Q10" i="55" s="1"/>
  <c r="Q60" i="55" s="1"/>
  <c r="Q61" i="55"/>
  <c r="Q86" i="55"/>
  <c r="G2" i="50"/>
  <c r="AA13" i="32"/>
  <c r="O8" i="35"/>
  <c r="P10" i="55" s="1"/>
  <c r="AC14" i="25"/>
  <c r="AC13" i="25" s="1"/>
  <c r="AC20" i="25"/>
  <c r="Q9" i="35" s="1"/>
  <c r="R11" i="55" s="1"/>
  <c r="N60" i="55"/>
  <c r="N47" i="20"/>
  <c r="N48" i="20" s="1"/>
  <c r="O79" i="26"/>
  <c r="O74" i="26" s="1"/>
  <c r="P20" i="26"/>
  <c r="Y12" i="32"/>
  <c r="AB13" i="32" l="1"/>
  <c r="Q85" i="55"/>
  <c r="AA12" i="32"/>
  <c r="AA50" i="32" s="1"/>
  <c r="R86" i="55"/>
  <c r="R61" i="55"/>
  <c r="P85" i="55"/>
  <c r="P60" i="55"/>
  <c r="AC11" i="25"/>
  <c r="AC19" i="25" s="1"/>
  <c r="Q8" i="35" s="1"/>
  <c r="R10" i="55" s="1"/>
  <c r="P79" i="26"/>
  <c r="P74" i="26" s="1"/>
  <c r="P11" i="26"/>
  <c r="Q20" i="26"/>
  <c r="C2" i="35"/>
  <c r="D4" i="55" s="1"/>
  <c r="D79" i="55" s="1"/>
  <c r="O47" i="20"/>
  <c r="O48" i="20" s="1"/>
  <c r="N28" i="20"/>
  <c r="N29" i="20" s="1"/>
  <c r="AU61" i="20"/>
  <c r="AU60" i="20"/>
  <c r="AU62" i="20"/>
  <c r="N14" i="20"/>
  <c r="Y50" i="32"/>
  <c r="AB12" i="32" l="1"/>
  <c r="AB50" i="32" s="1"/>
  <c r="R85" i="55"/>
  <c r="R60" i="55"/>
  <c r="AC13" i="32"/>
  <c r="AC12" i="32" s="1"/>
  <c r="AC50" i="32" s="1"/>
  <c r="AV60" i="20"/>
  <c r="O29" i="20"/>
  <c r="AV62" i="20"/>
  <c r="AV61" i="20"/>
  <c r="O14" i="20"/>
  <c r="D54" i="55"/>
  <c r="R20" i="26"/>
  <c r="Q79" i="26"/>
  <c r="Q74" i="26" s="1"/>
  <c r="D2" i="35"/>
  <c r="E4" i="55" s="1"/>
  <c r="E79" i="55" s="1"/>
  <c r="P47" i="20"/>
  <c r="P48" i="20" s="1"/>
  <c r="H12" i="30"/>
  <c r="O12" i="49" l="1"/>
  <c r="K26" i="49" s="1"/>
  <c r="J26" i="49"/>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D12" i="55"/>
  <c r="D87" i="55" s="1"/>
  <c r="K27" i="49"/>
  <c r="P25" i="49"/>
  <c r="C18" i="35"/>
  <c r="N31" i="32"/>
  <c r="Q12" i="49" l="1"/>
  <c r="M26" i="49" s="1"/>
  <c r="T29" i="32"/>
  <c r="H11" i="35"/>
  <c r="D62" i="55"/>
  <c r="J54" i="55"/>
  <c r="W79" i="26"/>
  <c r="W74" i="26" s="1"/>
  <c r="X20" i="26"/>
  <c r="W11" i="26"/>
  <c r="U28" i="20"/>
  <c r="U29" i="20" s="1"/>
  <c r="BB61" i="20"/>
  <c r="BB60" i="20"/>
  <c r="BB62" i="20"/>
  <c r="U14" i="20"/>
  <c r="J2" i="35"/>
  <c r="K4" i="55" s="1"/>
  <c r="K79" i="55" s="1"/>
  <c r="V47" i="20"/>
  <c r="V48" i="20" s="1"/>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50" i="32" s="1"/>
  <c r="O13" i="30"/>
  <c r="D94" i="55" l="1"/>
  <c r="D69" i="55"/>
  <c r="Q11" i="26"/>
  <c r="Q9" i="26" s="1"/>
  <c r="AD19" i="26"/>
  <c r="O44" i="30"/>
  <c r="C6" i="35" s="1"/>
  <c r="D8" i="55" s="1"/>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<sst xmlns="http://schemas.openxmlformats.org/spreadsheetml/2006/main" count="2541" uniqueCount="1245">
  <si>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</si>
  <si>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</si>
  <si>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</si>
  <si>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</si>
  <si>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</si>
  <si>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</si>
  <si>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</si>
  <si>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</si>
  <si>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</si>
  <si>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</si>
  <si>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</si>
  <si>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</si>
  <si>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</si>
  <si>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</si>
  <si>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</si>
  <si>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</si>
  <si>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</si>
  <si>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</si>
  <si>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</si>
  <si>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</si>
  <si>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</si>
  <si>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</si>
  <si>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</si>
  <si>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</si>
  <si>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</si>
  <si>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</si>
  <si>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</si>
  <si>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</si>
  <si>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</si>
  <si>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</si>
  <si>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</si>
  <si>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</si>
  <si>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</si>
  <si>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</si>
  <si>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</si>
  <si>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</si>
  <si>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</si>
  <si>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</si>
  <si>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</si>
  <si>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</si>
  <si>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</si>
  <si>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</si>
  <si>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</si>
  <si>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</si>
  <si>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</si>
  <si>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</si>
  <si>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</si>
  <si>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</si>
  <si>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</si>
  <si>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</si>
  <si>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</si>
  <si>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</si>
  <si>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</si>
  <si>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</si>
  <si>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</si>
  <si>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</si>
  <si>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</si>
  <si>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</si>
  <si>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</si>
  <si>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</si>
  <si>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</si>
  <si>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</si>
  <si>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</si>
  <si>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</si>
  <si>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</si>
  <si>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</si>
  <si>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</si>
  <si>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</si>
  <si>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</si>
  <si>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</si>
  <si>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</si>
  <si>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</si>
  <si>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</si>
  <si>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</si>
  <si>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</si>
  <si>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</si>
  <si>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</si>
  <si>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</si>
  <si>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</si>
  <si>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</si>
  <si>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</si>
  <si>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</si>
  <si>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</si>
  <si>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</si>
  <si>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</si>
  <si>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</si>
  <si>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</si>
  <si>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</si>
  <si>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</si>
  <si>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</si>
  <si>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</si>
  <si>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</si>
  <si>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</si>
  <si>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</si>
  <si>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</si>
  <si>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</si>
  <si>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</si>
  <si>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</si>
  <si>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</si>
  <si>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</si>
  <si>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</si>
  <si>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</si>
  <si>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</si>
  <si>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</si>
  <si>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</si>
  <si>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</si>
  <si>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</si>
  <si>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</si>
  <si>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</si>
  <si>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</si>
  <si>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</si>
  <si>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</si>
  <si>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</si>
  <si>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</si>
  <si>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</si>
  <si>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</si>
  <si>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</si>
  <si>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</si>
  <si>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</si>
  <si>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</si>
  <si>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</si>
  <si>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</si>
  <si>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</si>
  <si>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</si>
  <si>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</si>
  <si>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</si>
  <si>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</si>
  <si>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</si>
  <si>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</si>
  <si>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</si>
  <si>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</si>
  <si>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</si>
  <si>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</si>
  <si>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</si>
  <si>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</si>
  <si>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</si>
  <si>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</si>
  <si>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</si>
  <si>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</si>
  <si>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</si>
  <si>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</si>
  <si>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</si>
  <si>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</si>
  <si>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</si>
  <si>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</si>
  <si>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</si>
  <si>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</si>
  <si>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</si>
  <si>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</si>
  <si>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</si>
  <si>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</si>
  <si>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</si>
  <si>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</si>
  <si>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</si>
  <si>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</si>
  <si>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</si>
  <si>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</si>
  <si>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</si>
  <si>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</si>
  <si>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</si>
  <si>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</si>
  <si>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</si>
  <si>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</si>
  <si>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</si>
  <si>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</si>
  <si>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</si>
  <si>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</si>
  <si>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</si>
  <si>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</si>
  <si>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</si>
  <si>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</si>
  <si>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</si>
  <si>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</si>
  <si>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</si>
  <si>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</si>
  <si>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</si>
  <si>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</si>
  <si>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</si>
  <si>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</si>
  <si>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</si>
  <si>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</si>
  <si>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</si>
  <si>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</si>
  <si>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</si>
  <si>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</si>
  <si>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</si>
  <si>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</si>
  <si>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</si>
  <si>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</si>
  <si>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</si>
  <si>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</si>
  <si>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</si>
  <si>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</si>
  <si>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</si>
  <si>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</si>
  <si>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</si>
  <si>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</si>
  <si>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</si>
  <si>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</si>
  <si>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</si>
  <si>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</si>
  <si>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</si>
  <si>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</si>
  <si>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</si>
  <si>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</si>
  <si>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</si>
  <si>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</si>
  <si>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</si>
  <si>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</si>
  <si>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</si>
  <si>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</si>
  <si>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</si>
  <si>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</si>
  <si>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</si>
  <si>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</si>
  <si>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</si>
  <si>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</si>
  <si>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</si>
  <si>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</si>
  <si>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</si>
  <si>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</si>
  <si>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</si>
  <si>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</si>
  <si>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</si>
  <si>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</si>
  <si>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</si>
  <si>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</si>
  <si>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</si>
  <si>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</si>
  <si>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</si>
  <si>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</si>
  <si>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</si>
  <si>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</si>
  <si>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</si>
  <si>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</si>
  <si>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</si>
  <si>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</si>
  <si>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</si>
  <si>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</si>
  <si>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</si>
  <si>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</si>
  <si>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</si>
  <si>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</si>
  <si>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</si>
  <si>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</si>
  <si>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</si>
  <si>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</si>
  <si>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</si>
  <si>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</si>
  <si>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</si>
  <si>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</si>
  <si>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</si>
  <si>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</si>
  <si>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</si>
  <si>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</si>
  <si>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</si>
  <si>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</si>
  <si>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</si>
  <si>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</si>
  <si>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</si>
  <si>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</si>
  <si>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</si>
  <si>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</si>
  <si>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</si>
  <si>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</si>
  <si>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</si>
  <si>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</si>
  <si>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</si>
  <si>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</si>
  <si>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</si>
  <si>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</si>
  <si>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</si>
  <si>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</si>
  <si>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</si>
  <si>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</si>
  <si>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</si>
  <si>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</si>
  <si>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</si>
  <si>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</si>
  <si>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</si>
  <si>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</si>
  <si>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</si>
  <si>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</si>
  <si>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</si>
  <si>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</si>
  <si>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</si>
  <si>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</si>
  <si>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</si>
  <si>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</si>
  <si>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</si>
  <si>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</si>
  <si>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</si>
  <si>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</si>
  <si>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</si>
  <si>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</si>
  <si>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</si>
  <si>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</si>
  <si>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</si>
  <si>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</si>
  <si>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</si>
  <si>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</si>
  <si>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</si>
  <si>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</si>
  <si>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</si>
  <si>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</si>
  <si>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</si>
  <si>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</si>
  <si>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</si>
  <si>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</si>
  <si>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</si>
  <si>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</si>
  <si>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</si>
  <si>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</si>
  <si>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</si>
  <si>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</si>
  <si>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</si>
  <si>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</si>
  <si>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</si>
  <si>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</si>
  <si>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</si>
  <si>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</si>
  <si>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</si>
  <si>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</si>
  <si>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</si>
  <si>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</si>
  <si>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</si>
  <si>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</si>
  <si>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</si>
  <si>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</si>
  <si>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</si>
  <si>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</si>
  <si>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</si>
  <si>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</si>
  <si>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</si>
  <si>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</si>
  <si>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</si>
  <si>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</si>
  <si>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</si>
  <si>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</si>
  <si>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</si>
  <si>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</si>
  <si>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</si>
  <si>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</si>
  <si>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</si>
  <si>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</si>
  <si>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</si>
  <si>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</si>
  <si>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</si>
  <si>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</si>
  <si>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</si>
  <si>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</si>
  <si>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</si>
  <si>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</si>
  <si>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</si>
  <si>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</si>
  <si>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</si>
  <si>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</si>
  <si>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</si>
  <si>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</si>
  <si>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</si>
  <si>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</si>
  <si>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</si>
  <si>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</si>
  <si>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</si>
  <si>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</si>
  <si>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</si>
  <si>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</si>
  <si>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</si>
  <si>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</si>
  <si>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</si>
  <si>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</si>
  <si>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</si>
  <si>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</si>
  <si>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</si>
  <si>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</si>
  <si>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</si>
  <si>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</si>
  <si>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</si>
  <si>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</si>
  <si>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</si>
  <si>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</si>
  <si>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</si>
  <si>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</si>
  <si>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</si>
  <si>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</si>
  <si>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</si>
  <si>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</si>
  <si>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</si>
  <si>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</si>
  <si>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</si>
  <si>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</si>
  <si>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</si>
  <si>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</si>
  <si>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</si>
  <si>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</si>
  <si>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</si>
  <si>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</si>
  <si>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</si>
  <si>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</si>
  <si>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</si>
  <si>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</si>
  <si>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</si>
  <si>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</si>
  <si>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</si>
  <si>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</si>
  <si>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</si>
  <si>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</si>
  <si>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</si>
  <si>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</si>
  <si>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</si>
  <si>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</si>
  <si>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</si>
  <si>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</si>
  <si>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</si>
  <si>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</si>
  <si>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</si>
  <si>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</si>
  <si>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</si>
  <si>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</si>
  <si>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</si>
  <si>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</si>
  <si>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</si>
  <si>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</si>
  <si>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</si>
  <si>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</si>
  <si>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</si>
  <si>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</si>
  <si>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</si>
  <si>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</si>
  <si>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</si>
  <si>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</si>
  <si>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</si>
  <si>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</si>
  <si>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</si>
  <si>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</si>
  <si>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</si>
  <si>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</si>
  <si>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</si>
  <si>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</si>
  <si>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</si>
  <si>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</si>
  <si>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</si>
  <si>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</si>
  <si>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</si>
  <si>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</si>
  <si>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</si>
  <si>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</si>
  <si>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</si>
  <si>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</si>
  <si>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</si>
  <si>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</si>
  <si>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</si>
  <si>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</si>
  <si>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</si>
  <si>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</si>
  <si>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</si>
  <si>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</si>
  <si>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</si>
  <si>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</si>
  <si>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</si>
  <si>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</si>
  <si>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</si>
  <si>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</si>
  <si>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</si>
  <si>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</si>
  <si>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</si>
  <si>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</si>
  <si>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</si>
  <si>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</si>
  <si>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</si>
  <si>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</si>
  <si>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</si>
  <si>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</si>
  <si>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</si>
  <si>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</si>
  <si>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</si>
  <si>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</si>
  <si>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</si>
  <si>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</si>
  <si>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</si>
  <si>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</si>
  <si>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</si>
  <si>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</si>
  <si>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</si>
  <si>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</si>
  <si>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</si>
  <si>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</si>
  <si>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</si>
  <si>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</si>
  <si>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</si>
  <si>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</si>
  <si>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</si>
  <si>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</si>
  <si>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</si>
  <si>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</si>
  <si>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</si>
  <si>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</si>
  <si>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</si>
  <si>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</si>
  <si>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</si>
  <si>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</si>
  <si>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</si>
  <si>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</si>
  <si>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</si>
  <si>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</si>
  <si>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</si>
  <si>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</si>
  <si>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</si>
  <si>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</si>
  <si>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</si>
  <si>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</si>
  <si>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</si>
  <si>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</si>
  <si>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</si>
  <si>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</si>
  <si>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</si>
  <si>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</si>
  <si>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</si>
  <si>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</si>
  <si>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</si>
  <si>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</si>
  <si>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</si>
  <si>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</si>
  <si>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</si>
  <si>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</si>
  <si>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</si>
  <si>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</si>
  <si>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</si>
  <si>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</si>
  <si>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</si>
  <si>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</si>
  <si>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</si>
  <si>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</si>
  <si>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</si>
  <si>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</si>
  <si>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</si>
  <si>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</si>
  <si>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</si>
  <si>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</si>
  <si>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</si>
  <si>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</si>
  <si>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</si>
  <si>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</si>
  <si>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</si>
  <si>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</si>
  <si>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</si>
  <si>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</si>
  <si>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</si>
  <si>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</si>
  <si>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</si>
  <si>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</si>
  <si>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</si>
  <si>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</si>
  <si>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</si>
  <si>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</si>
  <si>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</si>
  <si>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</si>
  <si>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</si>
  <si>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</si>
  <si>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</si>
  <si>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</si>
  <si>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</si>
  <si>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</si>
  <si>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</si>
  <si>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</si>
  <si>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</si>
  <si>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</si>
  <si>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</si>
  <si>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</si>
  <si>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</si>
  <si>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</si>
  <si>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</si>
  <si>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</si>
  <si>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</si>
  <si>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</si>
  <si>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</si>
  <si>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</si>
  <si>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</si>
  <si>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</si>
  <si>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</si>
  <si>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</si>
  <si>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</si>
  <si>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</si>
  <si>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</si>
  <si>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</si>
  <si>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</si>
  <si>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</si>
  <si>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</si>
  <si>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</si>
  <si>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</si>
  <si>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</si>
  <si>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</si>
  <si>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</si>
  <si>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</si>
  <si>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</si>
  <si>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</si>
  <si>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</si>
  <si>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</si>
  <si>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</si>
  <si>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</si>
  <si>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</si>
  <si>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</si>
  <si>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</si>
  <si>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</si>
  <si>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</si>
  <si>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</si>
  <si>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</si>
  <si>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</si>
  <si>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</si>
  <si>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</si>
  <si>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</si>
  <si>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</si>
  <si>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</si>
  <si>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</si>
  <si>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</si>
  <si>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</si>
  <si>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</si>
  <si>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</si>
  <si>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</si>
  <si>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</si>
  <si>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</si>
  <si>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</si>
  <si>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</si>
  <si>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</si>
  <si>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</si>
  <si>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</si>
  <si>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</si>
  <si>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</si>
  <si>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</si>
  <si>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</si>
  <si>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</si>
  <si>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</si>
  <si>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</si>
  <si>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</si>
  <si>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</si>
  <si>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</si>
  <si>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</si>
  <si>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</si>
  <si>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</si>
  <si>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</si>
  <si>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</si>
  <si>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</si>
  <si>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</si>
  <si>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</si>
  <si>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</si>
  <si>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</si>
  <si>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</si>
  <si>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</si>
  <si>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</si>
  <si>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</si>
  <si>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</si>
  <si>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</si>
  <si>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</si>
  <si>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</si>
  <si>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</si>
  <si>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</si>
  <si>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</si>
  <si>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</si>
  <si>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</si>
  <si>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</si>
  <si>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</si>
  <si>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</si>
  <si>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</si>
  <si>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</si>
  <si>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</si>
  <si>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</si>
  <si>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</si>
  <si>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</si>
  <si>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</si>
  <si>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</si>
  <si>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</si>
  <si>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</si>
  <si>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</si>
  <si>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</si>
  <si>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</si>
  <si>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</si>
  <si>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</si>
  <si>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</si>
  <si>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</si>
  <si>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</si>
  <si>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</si>
  <si>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</si>
  <si>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</si>
  <si>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</si>
  <si>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</si>
  <si>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</si>
  <si>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</si>
  <si>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</si>
  <si>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</si>
  <si>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</si>
  <si>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</si>
  <si>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</si>
  <si>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</si>
  <si>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</si>
  <si>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</si>
  <si>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</si>
  <si>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</si>
  <si>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</si>
  <si>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</si>
  <si>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</si>
  <si>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</si>
  <si>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</si>
  <si>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</si>
  <si>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</si>
  <si>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</si>
  <si>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</si>
  <si>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</si>
  <si>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</si>
  <si>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</si>
  <si>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</si>
  <si>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</si>
  <si>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</si>
  <si>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</si>
  <si>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</si>
  <si>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</si>
  <si>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</si>
  <si>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</si>
  <si>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</si>
  <si>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</si>
  <si>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</si>
  <si>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</si>
  <si>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</si>
  <si>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</si>
  <si>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</si>
  <si>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</si>
  <si>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</si>
  <si>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</si>
  <si>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</si>
  <si>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</si>
  <si>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</si>
  <si>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</si>
  <si>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</si>
  <si>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</si>
  <si>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</si>
  <si>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</si>
  <si>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</si>
  <si>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</si>
  <si>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</si>
  <si>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</si>
  <si>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</si>
  <si>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</si>
  <si>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</si>
  <si>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</si>
  <si>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</si>
  <si>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</si>
  <si>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</si>
  <si>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</si>
  <si>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</si>
  <si>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</si>
  <si>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</si>
  <si>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</si>
  <si>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</si>
  <si>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</si>
  <si>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</si>
  <si>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</si>
  <si>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</si>
  <si>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</si>
  <si>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</si>
  <si>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</si>
  <si>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</si>
  <si>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</si>
  <si>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</si>
  <si>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</si>
  <si>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</si>
  <si>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</si>
  <si>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</si>
  <si>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</si>
  <si>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</si>
  <si>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</si>
  <si>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</si>
  <si>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</si>
  <si>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</si>
  <si>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</si>
  <si>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</si>
  <si>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</si>
  <si>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</si>
  <si>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</si>
  <si>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</si>
  <si>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</si>
  <si>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</si>
  <si>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</si>
  <si>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</si>
  <si>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</si>
  <si>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</si>
  <si>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</si>
  <si>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</si>
  <si>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</si>
  <si>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</si>
  <si>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</si>
  <si>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</si>
  <si>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</si>
  <si>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</si>
  <si>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</si>
  <si>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</si>
  <si>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</si>
  <si>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</si>
  <si>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</si>
  <si>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</si>
  <si>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</si>
  <si>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</si>
  <si>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</si>
  <si>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</si>
  <si>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</si>
  <si>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</si>
  <si>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</si>
  <si>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</si>
  <si>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</si>
  <si>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</si>
  <si>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</si>
  <si>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</si>
  <si>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</si>
  <si>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</si>
  <si>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</si>
  <si>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</si>
  <si>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</si>
  <si>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</si>
  <si>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</si>
  <si>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</si>
  <si>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</si>
  <si>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</si>
  <si>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</si>
  <si>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</si>
  <si>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</si>
  <si>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</si>
  <si>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</si>
  <si>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</si>
  <si>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</si>
  <si>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</si>
  <si>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</si>
  <si>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</si>
  <si>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</si>
  <si>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</si>
  <si>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</si>
  <si>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</si>
  <si>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</si>
  <si>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</si>
  <si>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</si>
  <si>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</si>
  <si>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</si>
  <si>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</si>
  <si>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</si>
  <si>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</si>
  <si>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</si>
  <si>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</si>
  <si>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</si>
  <si>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</si>
  <si>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</si>
  <si>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</si>
  <si>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</si>
  <si>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</si>
  <si>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</si>
  <si>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</si>
  <si>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</si>
  <si>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</si>
  <si>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</si>
  <si>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</si>
  <si>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</si>
  <si>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</si>
  <si>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</si>
  <si>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</si>
  <si>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</si>
  <si>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</si>
  <si>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</si>
  <si>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</si>
  <si>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</si>
  <si>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</si>
  <si>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</si>
  <si>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</si>
  <si>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</si>
  <si>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</si>
  <si>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</si>
  <si>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</si>
  <si>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</si>
  <si>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</si>
  <si>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</si>
  <si>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</si>
  <si>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</si>
  <si>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</si>
  <si>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</si>
  <si>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</si>
  <si>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</si>
  <si>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</si>
  <si>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</si>
  <si>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</si>
  <si>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</si>
  <si>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</si>
  <si>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</si>
  <si>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</si>
  <si>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</si>
  <si>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</si>
  <si>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</si>
  <si>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</si>
  <si>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</si>
  <si>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</si>
  <si>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</si>
  <si>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</si>
  <si>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</si>
  <si>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</si>
  <si>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</si>
  <si>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</si>
  <si>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</si>
  <si>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</si>
  <si>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</si>
  <si>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</si>
  <si>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</si>
  <si>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</si>
  <si>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</si>
  <si>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</si>
  <si>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</si>
  <si>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</si>
  <si>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</si>
  <si>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</si>
  <si>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</si>
  <si>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</si>
  <si>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</si>
  <si>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</si>
  <si>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</si>
  <si>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</si>
  <si>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</si>
  <si>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</si>
  <si>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</si>
  <si>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</si>
  <si>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</si>
  <si>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</si>
  <si>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</si>
  <si>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</si>
  <si>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</si>
  <si>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</si>
  <si>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</si>
  <si>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</si>
  <si>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</si>
  <si>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</si>
  <si>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</si>
  <si>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</si>
  <si>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</si>
  <si>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</si>
  <si>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</si>
  <si>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</si>
  <si>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</si>
  <si>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</si>
  <si>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</si>
  <si>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</si>
  <si>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</si>
  <si>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</si>
  <si>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</si>
  <si>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</si>
  <si>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</si>
  <si>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</si>
  <si>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</si>
  <si>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</si>
  <si>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</si>
  <si>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</si>
  <si>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</si>
  <si>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</si>
  <si>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</si>
  <si>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</si>
  <si>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</si>
  <si>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</si>
  <si>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</si>
  <si>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</si>
  <si>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</si>
  <si>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</si>
  <si>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</si>
  <si>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</si>
  <si>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</si>
  <si>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</si>
  <si>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</si>
  <si>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</si>
  <si>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</si>
  <si>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</si>
  <si>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</si>
  <si>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</si>
  <si>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</si>
  <si>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</si>
  <si>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</si>
  <si>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</si>
  <si>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</si>
  <si>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</si>
  <si>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</si>
  <si>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</si>
  <si>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</si>
  <si>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</si>
  <si>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</si>
  <si>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</si>
  <si>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</si>
  <si>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</si>
  <si>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</si>
  <si>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</si>
  <si>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</si>
  <si>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</si>
  <si>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</si>
  <si>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</si>
  <si>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</si>
  <si>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</si>
  <si>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</si>
  <si>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</si>
  <si>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</si>
  <si>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</si>
  <si>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</si>
  <si>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</si>
  <si>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</si>
  <si>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</si>
  <si>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</si>
  <si>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</si>
  <si>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</si>
  <si>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</si>
  <si>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</si>
  <si>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</si>
  <si>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</si>
  <si>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</si>
  <si>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</si>
  <si>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</si>
  <si>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</si>
  <si>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</si>
  <si>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</si>
  <si>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</si>
  <si>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</si>
  <si>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</si>
  <si>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</si>
  <si>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</si>
  <si>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</si>
  <si>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</si>
  <si>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</si>
  <si>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</si>
  <si>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</si>
  <si>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</si>
  <si>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</si>
  <si>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</si>
  <si>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</si>
  <si>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</si>
  <si>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</si>
  <si>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</si>
  <si>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</si>
  <si>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</si>
  <si>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</si>
  <si>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</si>
  <si>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</si>
  <si>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</si>
  <si>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</si>
  <si>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</si>
  <si>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</si>
  <si>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</si>
  <si>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</si>
  <si>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</si>
  <si>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</si>
  <si>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</si>
  <si>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</si>
  <si>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</si>
  <si>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</si>
  <si>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</si>
  <si>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</si>
  <si>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</si>
  <si>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</si>
  <si>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</si>
  <si>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</si>
  <si>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</si>
  <si>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</si>
  <si>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</si>
  <si>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</si>
  <si>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</si>
  <si>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</si>
  <si>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</si>
  <si>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</si>
  <si>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</si>
  <si>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</si>
  <si>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</si>
  <si>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</si>
  <si>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</si>
  <si>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</si>
  <si>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</si>
  <si>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</si>
  <si>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</si>
  <si>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</si>
  <si>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</si>
  <si>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</si>
  <si>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</si>
  <si>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</si>
  <si>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</si>
  <si>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</si>
  <si>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</si>
  <si>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</si>
  <si>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</si>
  <si>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</si>
  <si>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</si>
  <si>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</si>
  <si>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</si>
  <si>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</si>
  <si>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</si>
  <si>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</si>
  <si>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</si>
  <si>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</si>
  <si>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</si>
  <si>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</si>
  <si>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</si>
  <si>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</si>
  <si>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</si>
  <si>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</si>
  <si>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</si>
  <si>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</si>
  <si>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</si>
  <si>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</si>
  <si>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</si>
  <si>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</si>
  <si>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</si>
  <si>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</si>
  <si>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</si>
  <si>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</si>
  <si>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</si>
  <si>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</si>
  <si>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</si>
  <si>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</si>
  <si>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</si>
  <si>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</si>
  <si>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</si>
  <si>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</si>
  <si>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</si>
  <si>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</si>
  <si>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</si>
  <si>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</si>
  <si>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</si>
  <si>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</si>
  <si>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</si>
  <si>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</si>
  <si>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</si>
  <si>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</si>
  <si>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</si>
  <si>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</si>
  <si>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</si>
  <si>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</si>
  <si>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</si>
  <si>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</si>
  <si>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</si>
  <si>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</si>
  <si>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</si>
  <si>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</si>
  <si>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</si>
  <si>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</si>
  <si>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</si>
  <si>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</si>
  <si>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</si>
  <si>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</si>
  <si>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</si>
  <si>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</si>
  <si>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</si>
  <si>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</si>
  <si>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</si>
  <si>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</si>
  <si>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</si>
  <si>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</si>
  <si>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</si>
  <si>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</si>
  <si>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</si>
  <si>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</si>
  <si>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</si>
  <si>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</si>
  <si>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</si>
  <si>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</si>
  <si>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</si>
  <si>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</si>
  <si>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</si>
  <si>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</si>
  <si>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</si>
  <si>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</si>
  <si>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</si>
  <si>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</si>
  <si>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</si>
  <si>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</si>
  <si>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</si>
  <si>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</si>
  <si>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</si>
  <si>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</si>
  <si>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</si>
  <si>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</si>
  <si>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</si>
  <si>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</si>
  <si>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</si>
  <si>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</si>
  <si>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</si>
  <si>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</si>
  <si>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</si>
  <si>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</si>
  <si>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</si>
  <si>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</si>
  <si>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</si>
  <si>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</si>
  <si>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</si>
  <si>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</si>
  <si>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</si>
  <si>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</si>
  <si>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</si>
  <si>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</si>
  <si>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</si>
  <si>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</si>
  <si>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</si>
  <si>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</si>
  <si>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</si>
  <si>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</si>
  <si>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</si>
  <si>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</si>
  <si>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</si>
  <si>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</si>
  <si>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</si>
  <si>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</si>
  <si>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</si>
  <si>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</si>
  <si>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</si>
  <si>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</si>
  <si>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</si>
  <si>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</si>
  <si>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</si>
  <si>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</si>
  <si>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</si>
  <si>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</si>
  <si>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</si>
  <si>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</si>
  <si>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</si>
  <si>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</si>
  <si>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</si>
  <si>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</si>
  <si>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</si>
  <si>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</si>
  <si>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</si>
  <si>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</si>
  <si>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</si>
  <si>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</si>
  <si>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</si>
  <si>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</si>
  <si>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</si>
  <si>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</si>
  <si>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</si>
  <si>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</si>
  <si>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</si>
  <si>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</si>
  <si>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</si>
  <si>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</si>
  <si>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</si>
  <si>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</si>
  <si>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</si>
  <si>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</si>
  <si>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</si>
  <si>
    <t>From monthly personal income-- calculations to get Q3. Will be overwritten next quarter.</t>
  </si>
  <si>
    <t>2021-10</t>
  </si>
  <si>
    <t xml:space="preserve"> 2021 Q3 plus Current Forecast</t>
  </si>
  <si>
    <t>?</t>
  </si>
  <si>
    <t>&lt;- I think need to fill in with new quarter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</si>
</sst>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409]mmmm\ d\,\ yyyy;@"/>
    <numFmt numFmtId="174" formatCode="0.00_);\(0.00\)"/>
  </numFmts>
  <fonts count="91"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
      <sz val="11"/>
      <color theme="1"/>
      <name val="Calibri Light"/>
      <family val="2"/>
      <scheme val="major"/>
    </font>
  </fonts>
  <fills count="6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
      <patternFill patternType="solid">
        <fgColor theme="7" tint="0.59999389629810485"/>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xf numFmtId="0" fontId="1" fillId="0" borderId="0"/>
    <xf numFmtId="0" fontId="1" fillId="0" borderId="0"/>
    <xf numFmtId="9" fontId="1" fillId="0" borderId="0" applyFont="0" applyFill="0" applyBorder="0" applyAlignment="0" applyProtection="0"/>
    <xf numFmtId="0" fontId="17" fillId="0" borderId="0"/>
  </cellStyleXfs>
  <cellXfs count="1490">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55" fillId="0" borderId="1" xfId="0" applyFont="1" applyBorder="1" applyAlignment="1">
      <alignment horizontal="left" indent="2"/>
    </xf>
    <xf numFmtId="0" fontId="15" fillId="0" borderId="5" xfId="0" applyFont="1" applyBorder="1" applyAlignment="1">
      <alignment horizontal="center"/>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56" fillId="0" borderId="17" xfId="0"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1" fontId="15" fillId="0" borderId="0" xfId="0" applyNumberFormat="1" applyFont="1" applyBorder="1" applyAlignment="1">
      <alignment horizontal="center"/>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0" fontId="68" fillId="0" borderId="31" xfId="0" applyFont="1" applyBorder="1"/>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5" xfId="37" applyNumberFormat="1" applyFont="1" applyFill="1" applyBorder="1" applyAlignment="1">
      <alignment horizontal="center"/>
    </xf>
    <xf numFmtId="1" fontId="0" fillId="0" borderId="0" xfId="0" applyNumberFormat="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0" fontId="15" fillId="0" borderId="0" xfId="0" applyFont="1" applyAlignment="1">
      <alignment horizontal="left"/>
    </xf>
    <xf numFmtId="0" fontId="0" fillId="0" borderId="19" xfId="0" applyBorder="1" applyAlignment="1">
      <alignment horizontal="left" wrapText="1" indent="2"/>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2"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9" xfId="0" quotePrefix="1" applyNumberFormat="1" applyFont="1" applyFill="1" applyBorder="1" applyAlignment="1">
      <alignment horizontal="center"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3"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21"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17" xfId="0" applyFont="1" applyFill="1" applyBorder="1" applyAlignment="1">
      <alignment horizontal="center"/>
    </xf>
    <xf numFmtId="0" fontId="15" fillId="0" borderId="0" xfId="0" applyFont="1" applyFill="1" applyBorder="1" applyAlignment="1">
      <alignment horizontal="center"/>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5"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4"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Fill="1" applyAlignment="1">
      <alignment horizontal="center"/>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44" borderId="17" xfId="0" applyNumberFormat="1" applyFont="1" applyFill="1" applyBorder="1" applyAlignment="1">
      <alignment horizontal="center"/>
    </xf>
    <xf numFmtId="0" fontId="15" fillId="0" borderId="17" xfId="0" applyFont="1" applyBorder="1" applyAlignment="1">
      <alignment horizontal="left"/>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0" fontId="15" fillId="44" borderId="27"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0" xfId="0" applyNumberFormat="1" applyFont="1" applyFill="1" applyBorder="1" applyAlignment="1">
      <alignment horizontal="center" wrapText="1"/>
    </xf>
    <xf numFmtId="0" fontId="49" fillId="0" borderId="18" xfId="0" applyFont="1" applyFill="1" applyBorder="1" applyAlignment="1">
      <alignment horizontal="center" vertical="top"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0" fontId="50" fillId="0" borderId="17" xfId="0" applyFont="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166" fontId="21" fillId="44" borderId="33" xfId="0" quotePrefix="1"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15" fillId="0" borderId="0" xfId="0" quotePrefix="1" applyNumberFormat="1" applyFont="1" applyFill="1" applyBorder="1" applyAlignment="1">
      <alignment horizontal="center" wrapText="1"/>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5"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4"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27"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42" xfId="0" quotePrefix="1"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42" xfId="0" applyNumberFormat="1" applyFont="1" applyFill="1" applyBorder="1" applyAlignment="1">
      <alignment horizontal="right" vertical="top" wrapText="1"/>
    </xf>
    <xf numFmtId="164" fontId="50" fillId="52" borderId="42"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 fontId="21" fillId="0" borderId="0"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6" fontId="0" fillId="0" borderId="0" xfId="0" applyNumberFormat="1" applyFill="1"/>
    <xf numFmtId="0" fontId="50" fillId="50" borderId="0" xfId="0" applyFont="1" applyFill="1" applyBorder="1" applyAlignment="1">
      <alignment horizontal="center"/>
    </xf>
    <xf numFmtId="14" fontId="15" fillId="0" borderId="1" xfId="0" applyNumberFormat="1"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0" fontId="15" fillId="0" borderId="27" xfId="0" applyFont="1" applyFill="1" applyBorder="1"/>
    <xf numFmtId="0" fontId="15" fillId="0" borderId="42" xfId="0" applyFont="1" applyFill="1" applyBorder="1"/>
    <xf numFmtId="167" fontId="0" fillId="0" borderId="0" xfId="2" applyNumberFormat="1" applyFont="1"/>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66" fontId="0" fillId="0" borderId="49" xfId="0" applyNumberFormat="1" applyFill="1" applyBorder="1" applyAlignment="1">
      <alignment horizontal="right"/>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0" borderId="1" xfId="0" applyFont="1" applyFill="1" applyBorder="1" applyAlignment="1">
      <alignment horizontal="center"/>
    </xf>
    <xf numFmtId="0" fontId="15" fillId="0" borderId="0" xfId="0" applyFont="1" applyFill="1" applyBorder="1" applyAlignment="1">
      <alignment horizontal="center"/>
    </xf>
    <xf numFmtId="0" fontId="49"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0" fillId="0" borderId="0" xfId="0" applyBorder="1" applyAlignment="1">
      <alignment horizontal="center"/>
    </xf>
    <xf numFmtId="0" fontId="22" fillId="0" borderId="18" xfId="0" applyFont="1" applyFill="1" applyBorder="1" applyAlignment="1">
      <alignment horizontal="center"/>
    </xf>
    <xf numFmtId="0" fontId="21" fillId="41" borderId="18" xfId="0" applyFont="1" applyFill="1" applyBorder="1" applyAlignment="1">
      <alignment horizontal="center"/>
    </xf>
    <xf numFmtId="0" fontId="15" fillId="44" borderId="42" xfId="0" applyFont="1" applyFill="1" applyBorder="1" applyAlignment="1">
      <alignment horizontal="center"/>
    </xf>
    <xf numFmtId="4" fontId="15" fillId="0" borderId="0" xfId="0" quotePrefix="1" applyNumberFormat="1" applyFont="1" applyBorder="1" applyAlignment="1">
      <alignment horizontal="center"/>
    </xf>
    <xf numFmtId="0" fontId="0" fillId="0" borderId="27" xfId="0" applyBorder="1" applyAlignment="1">
      <alignment horizontal="center"/>
    </xf>
    <xf numFmtId="4" fontId="15" fillId="0" borderId="5" xfId="0" quotePrefix="1" applyNumberFormat="1" applyFont="1" applyBorder="1" applyAlignment="1">
      <alignment horizontal="center"/>
    </xf>
    <xf numFmtId="166" fontId="0" fillId="44" borderId="27" xfId="0" applyNumberFormat="1" applyFill="1" applyBorder="1" applyAlignment="1">
      <alignment horizontal="center"/>
    </xf>
    <xf numFmtId="0" fontId="0" fillId="44" borderId="28" xfId="0" applyFill="1" applyBorder="1" applyAlignment="1">
      <alignment horizontal="center"/>
    </xf>
    <xf numFmtId="0" fontId="0" fillId="44" borderId="42" xfId="0" applyFill="1" applyBorder="1" applyAlignment="1">
      <alignment horizontal="center"/>
    </xf>
    <xf numFmtId="0" fontId="15" fillId="0" borderId="42" xfId="0" applyFont="1" applyFill="1" applyBorder="1" applyAlignment="1">
      <alignment horizontal="center"/>
    </xf>
    <xf numFmtId="3" fontId="15" fillId="0" borderId="42" xfId="0" applyNumberFormat="1" applyFont="1" applyFill="1" applyBorder="1" applyAlignment="1">
      <alignment horizontal="center"/>
    </xf>
    <xf numFmtId="0" fontId="15" fillId="0" borderId="42" xfId="0" applyFont="1" applyFill="1" applyBorder="1" applyAlignment="1">
      <alignment horizontal="center" wrapText="1"/>
    </xf>
    <xf numFmtId="0" fontId="21" fillId="0" borderId="42" xfId="509" quotePrefix="1" applyFont="1" applyFill="1" applyBorder="1" applyAlignment="1">
      <alignment horizontal="center" wrapText="1"/>
    </xf>
    <xf numFmtId="3" fontId="15" fillId="0" borderId="42" xfId="0" quotePrefix="1" applyNumberFormat="1" applyFont="1" applyFill="1" applyBorder="1" applyAlignment="1">
      <alignment horizontal="center"/>
    </xf>
    <xf numFmtId="166" fontId="15" fillId="0" borderId="42" xfId="0" applyNumberFormat="1" applyFont="1" applyFill="1" applyBorder="1" applyAlignment="1">
      <alignment horizontal="center"/>
    </xf>
    <xf numFmtId="166" fontId="21" fillId="0" borderId="21" xfId="37" applyNumberFormat="1" applyFont="1" applyFill="1" applyBorder="1" applyAlignment="1">
      <alignment horizontal="center"/>
    </xf>
    <xf numFmtId="0" fontId="15" fillId="44" borderId="37" xfId="0" applyFont="1" applyFill="1" applyBorder="1" applyAlignment="1"/>
    <xf numFmtId="14" fontId="15" fillId="0" borderId="18" xfId="0" applyNumberFormat="1" applyFont="1" applyFill="1" applyBorder="1"/>
    <xf numFmtId="0" fontId="15" fillId="0" borderId="19" xfId="0" applyFont="1" applyFill="1" applyBorder="1"/>
    <xf numFmtId="14" fontId="15" fillId="0" borderId="1" xfId="0" applyNumberFormat="1" applyFont="1" applyBorder="1"/>
    <xf numFmtId="14" fontId="15" fillId="0" borderId="6" xfId="0" applyNumberFormat="1" applyFont="1" applyBorder="1"/>
    <xf numFmtId="0" fontId="0" fillId="0" borderId="0" xfId="0" applyFill="1" applyBorder="1" applyAlignment="1">
      <alignment horizontal="left"/>
    </xf>
    <xf numFmtId="0" fontId="0" fillId="0" borderId="0" xfId="0" applyFill="1" applyBorder="1" applyAlignment="1">
      <alignment horizontal="left" indent="2"/>
    </xf>
    <xf numFmtId="0" fontId="0" fillId="0" borderId="5" xfId="0" applyFill="1" applyBorder="1" applyAlignment="1">
      <alignment horizontal="left" indent="2"/>
    </xf>
    <xf numFmtId="0" fontId="0" fillId="0" borderId="18" xfId="0" applyFill="1" applyBorder="1" applyAlignment="1">
      <alignment horizontal="left" wrapText="1" indent="2"/>
    </xf>
    <xf numFmtId="0" fontId="0" fillId="0" borderId="27" xfId="0" applyFill="1" applyBorder="1" applyAlignment="1">
      <alignment horizontal="left" wrapText="1" indent="2"/>
    </xf>
    <xf numFmtId="166" fontId="0" fillId="0" borderId="27" xfId="0" applyNumberFormat="1" applyFill="1" applyBorder="1" applyAlignment="1">
      <alignment horizontal="center"/>
    </xf>
    <xf numFmtId="166" fontId="0" fillId="0" borderId="19" xfId="0" applyNumberFormat="1" applyFill="1" applyBorder="1" applyAlignment="1">
      <alignment horizontal="center"/>
    </xf>
    <xf numFmtId="166" fontId="0" fillId="0" borderId="42" xfId="0" applyNumberFormat="1" applyFill="1" applyBorder="1" applyAlignment="1">
      <alignment horizontal="center"/>
    </xf>
    <xf numFmtId="0" fontId="0" fillId="0" borderId="1" xfId="0" applyFill="1" applyBorder="1" applyAlignment="1">
      <alignment horizontal="left" indent="2"/>
    </xf>
    <xf numFmtId="0" fontId="0" fillId="0" borderId="24" xfId="0" applyFill="1" applyBorder="1" applyAlignment="1">
      <alignment horizontal="center"/>
    </xf>
    <xf numFmtId="0" fontId="0" fillId="0" borderId="6" xfId="0" applyFill="1" applyBorder="1" applyAlignment="1">
      <alignment horizontal="left" indent="2"/>
    </xf>
    <xf numFmtId="0" fontId="15" fillId="41" borderId="27" xfId="0" applyFont="1" applyFill="1" applyBorder="1" applyAlignment="1"/>
    <xf numFmtId="2" fontId="15" fillId="0" borderId="42" xfId="0" applyNumberFormat="1" applyFont="1" applyBorder="1" applyAlignment="1">
      <alignment horizontal="center"/>
    </xf>
    <xf numFmtId="0" fontId="15" fillId="44" borderId="23" xfId="0" applyFont="1" applyFill="1" applyBorder="1" applyAlignment="1">
      <alignment horizontal="center" wrapText="1"/>
    </xf>
    <xf numFmtId="3" fontId="15" fillId="0" borderId="18" xfId="0" applyNumberFormat="1" applyFont="1" applyFill="1" applyBorder="1" applyAlignment="1">
      <alignment horizontal="center"/>
    </xf>
    <xf numFmtId="3" fontId="15" fillId="0" borderId="27" xfId="0" applyNumberFormat="1" applyFont="1" applyFill="1" applyBorder="1" applyAlignment="1">
      <alignment horizontal="center"/>
    </xf>
    <xf numFmtId="0" fontId="49" fillId="44" borderId="36" xfId="0" applyFont="1" applyFill="1" applyBorder="1" applyAlignment="1"/>
    <xf numFmtId="0" fontId="15" fillId="52" borderId="37" xfId="0" applyFont="1" applyFill="1" applyBorder="1" applyAlignment="1"/>
    <xf numFmtId="3" fontId="15" fillId="0" borderId="18" xfId="0" quotePrefix="1" applyNumberFormat="1" applyFont="1" applyFill="1" applyBorder="1" applyAlignment="1">
      <alignment horizontal="center" vertical="top" wrapText="1"/>
    </xf>
    <xf numFmtId="3" fontId="15" fillId="0" borderId="27" xfId="0" quotePrefix="1" applyNumberFormat="1" applyFont="1" applyFill="1" applyBorder="1" applyAlignment="1">
      <alignment horizontal="center" vertical="top" wrapText="1"/>
    </xf>
    <xf numFmtId="166" fontId="15" fillId="0" borderId="27" xfId="0" applyNumberFormat="1" applyFont="1" applyFill="1" applyBorder="1" applyAlignment="1">
      <alignment horizontal="center" wrapText="1"/>
    </xf>
    <xf numFmtId="166" fontId="15" fillId="0" borderId="19" xfId="0" applyNumberFormat="1" applyFont="1" applyFill="1" applyBorder="1" applyAlignment="1">
      <alignment horizontal="center" wrapText="1"/>
    </xf>
    <xf numFmtId="166" fontId="15" fillId="0" borderId="42" xfId="0" applyNumberFormat="1" applyFont="1" applyFill="1" applyBorder="1" applyAlignment="1">
      <alignment horizontal="center" wrapText="1"/>
    </xf>
    <xf numFmtId="164" fontId="15" fillId="0" borderId="42" xfId="0" applyNumberFormat="1" applyFont="1" applyFill="1" applyBorder="1" applyAlignment="1">
      <alignment horizontal="center" wrapText="1"/>
    </xf>
    <xf numFmtId="0" fontId="15" fillId="0" borderId="27" xfId="0" applyFont="1" applyFill="1" applyBorder="1" applyAlignment="1">
      <alignment horizontal="center" wrapText="1"/>
    </xf>
    <xf numFmtId="1" fontId="15" fillId="0" borderId="42" xfId="0" quotePrefix="1" applyNumberFormat="1" applyFont="1" applyFill="1" applyBorder="1" applyAlignment="1">
      <alignment horizontal="center" wrapText="1"/>
    </xf>
    <xf numFmtId="3" fontId="15" fillId="0" borderId="42" xfId="0" applyNumberFormat="1" applyFont="1" applyFill="1" applyBorder="1" applyAlignment="1">
      <alignment horizontal="center" wrapText="1"/>
    </xf>
    <xf numFmtId="1" fontId="15" fillId="0" borderId="42" xfId="0" applyNumberFormat="1" applyFont="1" applyFill="1" applyBorder="1" applyAlignment="1">
      <alignment horizontal="center" wrapText="1"/>
    </xf>
    <xf numFmtId="3" fontId="15" fillId="45" borderId="42" xfId="0" applyNumberFormat="1" applyFont="1" applyFill="1" applyBorder="1" applyAlignment="1">
      <alignment horizontal="center" wrapText="1"/>
    </xf>
    <xf numFmtId="3" fontId="15" fillId="0" borderId="21" xfId="0" applyNumberFormat="1" applyFont="1" applyFill="1" applyBorder="1" applyAlignment="1">
      <alignment horizontal="center" vertical="top" wrapText="1"/>
    </xf>
    <xf numFmtId="0" fontId="50" fillId="0" borderId="18" xfId="0" applyFont="1" applyFill="1" applyBorder="1" applyAlignment="1">
      <alignment horizontal="center" wrapText="1"/>
    </xf>
    <xf numFmtId="0" fontId="50" fillId="0" borderId="1" xfId="0" applyFont="1" applyFill="1" applyBorder="1" applyAlignment="1">
      <alignment horizontal="center" wrapText="1"/>
    </xf>
    <xf numFmtId="0" fontId="50" fillId="0" borderId="0" xfId="0" applyFont="1" applyFill="1" applyBorder="1" applyAlignment="1">
      <alignment horizontal="center" wrapText="1"/>
    </xf>
    <xf numFmtId="0" fontId="50" fillId="0" borderId="27" xfId="0" applyFont="1" applyFill="1" applyBorder="1" applyAlignment="1">
      <alignment horizontal="center" wrapText="1"/>
    </xf>
    <xf numFmtId="166" fontId="50" fillId="0" borderId="27" xfId="0" quotePrefix="1" applyNumberFormat="1" applyFont="1" applyFill="1" applyBorder="1" applyAlignment="1">
      <alignment horizontal="center" wrapText="1"/>
    </xf>
    <xf numFmtId="166" fontId="50" fillId="0" borderId="19" xfId="0" quotePrefix="1" applyNumberFormat="1" applyFont="1" applyFill="1" applyBorder="1" applyAlignment="1">
      <alignment horizontal="center" wrapText="1"/>
    </xf>
    <xf numFmtId="166" fontId="50" fillId="0" borderId="42" xfId="0" quotePrefix="1" applyNumberFormat="1" applyFont="1" applyFill="1" applyBorder="1" applyAlignment="1">
      <alignment horizontal="center" wrapText="1"/>
    </xf>
    <xf numFmtId="166" fontId="15" fillId="0" borderId="42" xfId="0" applyNumberFormat="1" applyFont="1" applyFill="1" applyBorder="1" applyAlignment="1">
      <alignment horizontal="center" vertical="top" wrapText="1"/>
    </xf>
    <xf numFmtId="3" fontId="15" fillId="0" borderId="18" xfId="0" quotePrefix="1" applyNumberFormat="1" applyFont="1" applyFill="1" applyBorder="1" applyAlignment="1">
      <alignment horizontal="center"/>
    </xf>
    <xf numFmtId="3" fontId="15" fillId="0" borderId="1" xfId="0" quotePrefix="1" applyNumberFormat="1" applyFont="1" applyFill="1" applyBorder="1" applyAlignment="1">
      <alignment horizontal="center"/>
    </xf>
    <xf numFmtId="3" fontId="15" fillId="0" borderId="27" xfId="0" quotePrefix="1" applyNumberFormat="1" applyFont="1" applyFill="1" applyBorder="1" applyAlignment="1">
      <alignment horizontal="center"/>
    </xf>
    <xf numFmtId="0" fontId="15" fillId="0" borderId="27" xfId="0" applyFont="1" applyFill="1" applyBorder="1" applyAlignment="1">
      <alignment horizontal="left"/>
    </xf>
    <xf numFmtId="166" fontId="15" fillId="0" borderId="27" xfId="0" quotePrefix="1" applyNumberFormat="1" applyFont="1" applyFill="1" applyBorder="1" applyAlignment="1">
      <alignment horizontal="center"/>
    </xf>
    <xf numFmtId="166" fontId="15" fillId="0" borderId="19" xfId="0" quotePrefix="1" applyNumberFormat="1" applyFont="1" applyFill="1" applyBorder="1" applyAlignment="1">
      <alignment horizontal="center"/>
    </xf>
    <xf numFmtId="166" fontId="15" fillId="0" borderId="42" xfId="0" quotePrefix="1" applyNumberFormat="1" applyFont="1" applyFill="1" applyBorder="1" applyAlignment="1">
      <alignment horizontal="center"/>
    </xf>
    <xf numFmtId="166" fontId="15" fillId="0" borderId="21" xfId="0" quotePrefix="1" applyNumberFormat="1" applyFont="1" applyFill="1" applyBorder="1" applyAlignment="1">
      <alignment horizontal="center"/>
    </xf>
    <xf numFmtId="17" fontId="49" fillId="3" borderId="33" xfId="0" applyNumberFormat="1" applyFont="1" applyFill="1" applyBorder="1" applyAlignment="1">
      <alignment horizontal="left" wrapText="1"/>
    </xf>
    <xf numFmtId="17" fontId="49" fillId="3" borderId="34" xfId="0" applyNumberFormat="1" applyFont="1" applyFill="1" applyBorder="1" applyAlignment="1">
      <alignment horizontal="left" wrapText="1"/>
    </xf>
    <xf numFmtId="17" fontId="49" fillId="3" borderId="35" xfId="0" applyNumberFormat="1" applyFont="1" applyFill="1" applyBorder="1" applyAlignment="1">
      <alignment horizontal="left" wrapText="1"/>
    </xf>
    <xf numFmtId="0" fontId="0" fillId="0" borderId="18" xfId="0" applyBorder="1" applyAlignment="1">
      <alignment horizontal="center"/>
    </xf>
    <xf numFmtId="16" fontId="0" fillId="0" borderId="27" xfId="0" quotePrefix="1" applyNumberFormat="1" applyBorder="1" applyAlignment="1">
      <alignment horizontal="left"/>
    </xf>
    <xf numFmtId="16" fontId="0" fillId="0" borderId="19" xfId="0" quotePrefix="1" applyNumberFormat="1" applyBorder="1" applyAlignment="1">
      <alignment horizontal="left"/>
    </xf>
    <xf numFmtId="0" fontId="0" fillId="0" borderId="42" xfId="0" applyBorder="1"/>
    <xf numFmtId="0" fontId="0" fillId="0" borderId="5" xfId="0" applyBorder="1"/>
    <xf numFmtId="0" fontId="0" fillId="0" borderId="21" xfId="0" applyBorder="1"/>
    <xf numFmtId="0" fontId="49" fillId="0" borderId="27" xfId="0" applyFont="1" applyFill="1" applyBorder="1" applyAlignment="1">
      <alignment horizontal="center" vertical="top" wrapText="1"/>
    </xf>
    <xf numFmtId="1" fontId="15" fillId="0" borderId="27" xfId="0" applyNumberFormat="1" applyFont="1" applyFill="1" applyBorder="1" applyAlignment="1">
      <alignment horizontal="center" wrapText="1"/>
    </xf>
    <xf numFmtId="1" fontId="15" fillId="0" borderId="19" xfId="0" quotePrefix="1" applyNumberFormat="1" applyFont="1" applyFill="1" applyBorder="1" applyAlignment="1">
      <alignment horizontal="center" wrapText="1"/>
    </xf>
    <xf numFmtId="3" fontId="15" fillId="0" borderId="42" xfId="0" quotePrefix="1" applyNumberFormat="1" applyFont="1" applyFill="1" applyBorder="1" applyAlignment="1">
      <alignment horizontal="center" wrapText="1"/>
    </xf>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165" fontId="15" fillId="0" borderId="0" xfId="0" applyNumberFormat="1" applyFont="1" applyFill="1" applyBorder="1" applyAlignment="1">
      <alignment horizontal="center" wrapText="1"/>
    </xf>
    <xf numFmtId="0" fontId="50" fillId="0" borderId="1" xfId="0" applyFont="1" applyFill="1" applyBorder="1" applyAlignment="1">
      <alignment wrapText="1"/>
    </xf>
    <xf numFmtId="0" fontId="50" fillId="0" borderId="0" xfId="0" applyFont="1" applyFill="1" applyBorder="1" applyAlignment="1">
      <alignment wrapText="1"/>
    </xf>
    <xf numFmtId="3" fontId="50" fillId="0" borderId="42" xfId="0" applyNumberFormat="1" applyFont="1" applyFill="1" applyBorder="1" applyAlignment="1">
      <alignment horizontal="center" wrapText="1"/>
    </xf>
    <xf numFmtId="1" fontId="50" fillId="0" borderId="21" xfId="0" applyNumberFormat="1" applyFont="1" applyFill="1" applyBorder="1" applyAlignment="1">
      <alignment horizontal="center"/>
    </xf>
    <xf numFmtId="1" fontId="15" fillId="3" borderId="0" xfId="0" applyNumberFormat="1" applyFont="1" applyFill="1" applyBorder="1" applyAlignment="1">
      <alignment horizontal="center" wrapText="1"/>
    </xf>
    <xf numFmtId="3" fontId="15" fillId="3" borderId="42" xfId="0" applyNumberFormat="1" applyFont="1" applyFill="1" applyBorder="1" applyAlignment="1">
      <alignment horizontal="center" wrapText="1"/>
    </xf>
    <xf numFmtId="0" fontId="55" fillId="3" borderId="1" xfId="0" applyFont="1" applyFill="1" applyBorder="1" applyAlignment="1">
      <alignment horizontal="left" indent="2"/>
    </xf>
    <xf numFmtId="164" fontId="50" fillId="0" borderId="18" xfId="0" applyNumberFormat="1" applyFont="1" applyFill="1" applyBorder="1" applyAlignment="1">
      <alignment horizontal="center"/>
    </xf>
    <xf numFmtId="164" fontId="50" fillId="0" borderId="27" xfId="0" applyNumberFormat="1" applyFont="1" applyFill="1" applyBorder="1" applyAlignment="1">
      <alignment horizontal="center"/>
    </xf>
    <xf numFmtId="164" fontId="50" fillId="0" borderId="19" xfId="0" applyNumberFormat="1" applyFont="1" applyFill="1" applyBorder="1" applyAlignment="1">
      <alignment horizontal="center"/>
    </xf>
    <xf numFmtId="164" fontId="50" fillId="0" borderId="42" xfId="0" applyNumberFormat="1" applyFont="1" applyFill="1" applyBorder="1" applyAlignment="1">
      <alignment horizontal="center"/>
    </xf>
    <xf numFmtId="164" fontId="15" fillId="0" borderId="6" xfId="0" applyNumberFormat="1" applyFont="1" applyFill="1" applyBorder="1" applyAlignment="1">
      <alignment horizontal="center"/>
    </xf>
    <xf numFmtId="164" fontId="15" fillId="0" borderId="21" xfId="0" applyNumberFormat="1" applyFont="1" applyFill="1" applyBorder="1" applyAlignment="1">
      <alignment horizontal="center"/>
    </xf>
    <xf numFmtId="168" fontId="15" fillId="3" borderId="5" xfId="0" applyNumberFormat="1" applyFont="1" applyFill="1" applyBorder="1" applyAlignment="1">
      <alignment horizontal="center"/>
    </xf>
    <xf numFmtId="164" fontId="15" fillId="0" borderId="19" xfId="0" applyNumberFormat="1" applyFont="1" applyBorder="1" applyAlignment="1">
      <alignment horizontal="center"/>
    </xf>
    <xf numFmtId="164" fontId="15" fillId="0" borderId="42" xfId="0" applyNumberFormat="1" applyFont="1" applyBorder="1" applyAlignment="1">
      <alignment horizontal="center"/>
    </xf>
    <xf numFmtId="168" fontId="15" fillId="0" borderId="42" xfId="0" applyNumberFormat="1" applyFont="1" applyBorder="1" applyAlignment="1">
      <alignment horizontal="center"/>
    </xf>
    <xf numFmtId="168" fontId="15" fillId="0" borderId="21" xfId="0" applyNumberFormat="1" applyFont="1" applyFill="1" applyBorder="1" applyAlignment="1">
      <alignment horizontal="center"/>
    </xf>
    <xf numFmtId="164" fontId="56" fillId="0" borderId="27" xfId="0" applyNumberFormat="1" applyFont="1" applyFill="1" applyBorder="1" applyAlignment="1">
      <alignment horizontal="center"/>
    </xf>
    <xf numFmtId="164" fontId="56" fillId="0" borderId="19" xfId="0" applyNumberFormat="1" applyFont="1" applyFill="1" applyBorder="1" applyAlignment="1">
      <alignment horizontal="center"/>
    </xf>
    <xf numFmtId="164" fontId="15" fillId="0" borderId="42" xfId="0" applyNumberFormat="1" applyFont="1" applyFill="1" applyBorder="1" applyAlignment="1">
      <alignment horizontal="center"/>
    </xf>
    <xf numFmtId="164" fontId="15" fillId="0" borderId="42" xfId="0" quotePrefix="1" applyNumberFormat="1" applyFont="1" applyFill="1" applyBorder="1" applyAlignment="1">
      <alignment horizontal="center" wrapText="1"/>
    </xf>
    <xf numFmtId="168" fontId="15" fillId="0" borderId="21" xfId="2" applyNumberFormat="1" applyFont="1" applyFill="1" applyBorder="1" applyAlignment="1">
      <alignment horizontal="center"/>
    </xf>
    <xf numFmtId="0" fontId="50" fillId="0" borderId="42" xfId="0" applyFont="1" applyFill="1" applyBorder="1" applyAlignment="1">
      <alignment horizontal="center"/>
    </xf>
    <xf numFmtId="0" fontId="50" fillId="0" borderId="21" xfId="0" applyFont="1" applyFill="1" applyBorder="1" applyAlignment="1">
      <alignment horizontal="center"/>
    </xf>
    <xf numFmtId="0" fontId="22" fillId="0" borderId="27" xfId="0" applyFont="1" applyFill="1" applyBorder="1" applyAlignment="1">
      <alignment horizontal="center"/>
    </xf>
    <xf numFmtId="0" fontId="49" fillId="0" borderId="1" xfId="0" applyFont="1" applyFill="1" applyBorder="1" applyAlignment="1">
      <alignment horizontal="center"/>
    </xf>
    <xf numFmtId="164" fontId="21" fillId="0" borderId="19" xfId="0" applyNumberFormat="1" applyFont="1" applyFill="1" applyBorder="1" applyAlignment="1">
      <alignment horizontal="center"/>
    </xf>
    <xf numFmtId="164" fontId="21" fillId="0" borderId="42" xfId="0" applyNumberFormat="1" applyFont="1" applyFill="1" applyBorder="1" applyAlignment="1">
      <alignment horizontal="center"/>
    </xf>
    <xf numFmtId="0" fontId="15" fillId="0" borderId="27" xfId="0" applyFont="1" applyBorder="1" applyAlignment="1">
      <alignment horizontal="center"/>
    </xf>
    <xf numFmtId="0" fontId="15" fillId="0" borderId="21" xfId="0" applyFont="1" applyFill="1" applyBorder="1" applyAlignment="1">
      <alignment horizontal="center"/>
    </xf>
    <xf numFmtId="0" fontId="15" fillId="44" borderId="42" xfId="0" applyFont="1" applyFill="1" applyBorder="1" applyAlignment="1"/>
    <xf numFmtId="167" fontId="15" fillId="45" borderId="0" xfId="2" applyNumberFormat="1" applyFont="1" applyFill="1" applyBorder="1" applyAlignment="1">
      <alignment horizontal="center"/>
    </xf>
    <xf numFmtId="167" fontId="15" fillId="61" borderId="0" xfId="2" applyNumberFormat="1" applyFont="1" applyFill="1" applyBorder="1" applyAlignment="1">
      <alignment horizontal="center"/>
    </xf>
    <xf numFmtId="0" fontId="21" fillId="0" borderId="18" xfId="0" applyFont="1" applyFill="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167" fontId="15" fillId="3" borderId="5" xfId="2" applyNumberFormat="1" applyFont="1" applyFill="1" applyBorder="1" applyAlignment="1">
      <alignment horizontal="center"/>
    </xf>
    <xf numFmtId="1" fontId="21" fillId="0" borderId="42" xfId="238" applyNumberFormat="1" applyFont="1" applyFill="1" applyBorder="1" applyAlignment="1">
      <alignment horizontal="center"/>
    </xf>
    <xf numFmtId="167" fontId="15" fillId="0" borderId="21" xfId="0" applyNumberFormat="1" applyFont="1" applyFill="1" applyBorder="1" applyAlignment="1">
      <alignment horizontal="center"/>
    </xf>
    <xf numFmtId="0" fontId="15" fillId="44" borderId="0" xfId="0" applyFont="1" applyFill="1" applyBorder="1" applyAlignment="1">
      <alignment horizontal="left"/>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18" fillId="0" borderId="0" xfId="5" applyAlignment="1">
      <alignment horizontal="center"/>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44" borderId="19"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35" xfId="0" applyFont="1" applyFill="1" applyBorder="1" applyAlignment="1">
      <alignment horizontal="center"/>
    </xf>
    <xf numFmtId="0" fontId="49" fillId="44" borderId="18"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27"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90" fillId="41" borderId="18" xfId="0" applyFont="1" applyFill="1" applyBorder="1" applyAlignment="1">
      <alignment horizontal="center"/>
    </xf>
    <xf numFmtId="0" fontId="90" fillId="41" borderId="27" xfId="0" applyFont="1"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0"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44" borderId="17"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1" borderId="27" xfId="0" applyFont="1" applyFill="1" applyBorder="1" applyAlignment="1">
      <alignment horizontal="center"/>
    </xf>
    <xf numFmtId="0" fontId="49" fillId="41" borderId="19"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15" fillId="44" borderId="1" xfId="0" applyFont="1" applyFill="1" applyBorder="1" applyAlignment="1">
      <alignment horizontal="center"/>
    </xf>
    <xf numFmtId="0" fontId="15" fillId="44" borderId="0" xfId="0" applyFont="1" applyFill="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27" xfId="0" applyFont="1" applyBorder="1" applyAlignment="1">
      <alignment horizontal="left"/>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27" xfId="0" applyFont="1" applyFill="1" applyBorder="1" applyAlignment="1">
      <alignment horizontal="center" wrapText="1"/>
    </xf>
    <xf numFmtId="0" fontId="49" fillId="41" borderId="19"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167" fontId="1" fillId="0" borderId="0" xfId="2" applyNumberFormat="1" applyFont="1" applyAlignment="1">
      <alignment horizontal="center"/>
    </xf>
    <xf numFmtId="167" fontId="0" fillId="0" borderId="0" xfId="2" applyNumberFormat="1" applyFont="1" applyAlignment="1">
      <alignment horizontal="center"/>
    </xf>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2557.2559999999999</c:v>
                </c:pt>
                <c:pt idx="8">
                  <c:v>0</c:v>
                </c:pt>
                <c:pt idx="9">
                  <c:v>0</c:v>
                </c:pt>
                <c:pt idx="10">
                  <c:v>0</c:v>
                </c:pt>
                <c:pt idx="11">
                  <c:v>0</c:v>
                </c:pt>
                <c:pt idx="12">
                  <c:v>2520.7155797945193</c:v>
                </c:pt>
                <c:pt idx="13">
                  <c:v>2542.351642129157</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34.256</c:v>
                </c:pt>
                <c:pt idx="8">
                  <c:v>0</c:v>
                </c:pt>
                <c:pt idx="9">
                  <c:v>0</c:v>
                </c:pt>
                <c:pt idx="10">
                  <c:v>0</c:v>
                </c:pt>
                <c:pt idx="11">
                  <c:v>0</c:v>
                </c:pt>
                <c:pt idx="12">
                  <c:v>-125.2844202054808</c:v>
                </c:pt>
                <c:pt idx="13">
                  <c:v>-129.64835787084289</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2571.1559999999999</c:v>
                </c:pt>
                <c:pt idx="8">
                  <c:v>0</c:v>
                </c:pt>
                <c:pt idx="9">
                  <c:v>0</c:v>
                </c:pt>
                <c:pt idx="10">
                  <c:v>0</c:v>
                </c:pt>
                <c:pt idx="11">
                  <c:v>0</c:v>
                </c:pt>
                <c:pt idx="12">
                  <c:v>2565.3155797945192</c:v>
                </c:pt>
                <c:pt idx="13">
                  <c:v>2584.1516421291572</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2413.2559999999999</c:v>
                      </c:pt>
                      <c:pt idx="8">
                        <c:v>0</c:v>
                      </c:pt>
                      <c:pt idx="9">
                        <c:v>0</c:v>
                      </c:pt>
                      <c:pt idx="10">
                        <c:v>0</c:v>
                      </c:pt>
                      <c:pt idx="11">
                        <c:v>0</c:v>
                      </c:pt>
                      <c:pt idx="12">
                        <c:v>2360.7155797945193</c:v>
                      </c:pt>
                      <c:pt idx="13">
                        <c:v>2383.351642129157</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3.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7.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8.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859" customWidth="1"/>
    <col min="3" max="16" width="8.6328125" style="859"/>
    <col min="17" max="17" width="38.6328125" style="859" customWidth="1"/>
  </cols>
  <sheetData>
    <row r="10" spans="2:17" x14ac:dyDescent="0.35">
      <c r="B10" s="1309" t="s">
        <v>1073</v>
      </c>
      <c r="C10" s="1310"/>
      <c r="D10" s="1310"/>
      <c r="E10" s="1310"/>
      <c r="F10" s="1310"/>
      <c r="G10" s="1310"/>
      <c r="H10" s="1310"/>
      <c r="I10" s="1310"/>
      <c r="J10" s="1310"/>
      <c r="K10" s="1310"/>
      <c r="L10" s="1310"/>
      <c r="M10" s="1310"/>
      <c r="N10" s="1310"/>
      <c r="O10" s="1310"/>
      <c r="P10" s="1310"/>
      <c r="Q10" s="1311"/>
    </row>
    <row r="11" spans="2:17" x14ac:dyDescent="0.35">
      <c r="B11" s="1312"/>
      <c r="C11" s="1313"/>
      <c r="D11" s="1313"/>
      <c r="E11" s="1313"/>
      <c r="F11" s="1313"/>
      <c r="G11" s="1313"/>
      <c r="H11" s="1313"/>
      <c r="I11" s="1313"/>
      <c r="J11" s="1313"/>
      <c r="K11" s="1313"/>
      <c r="L11" s="1313"/>
      <c r="M11" s="1313"/>
      <c r="N11" s="1313"/>
      <c r="O11" s="1313"/>
      <c r="P11" s="1313"/>
      <c r="Q11" s="1314"/>
    </row>
    <row r="12" spans="2:17" x14ac:dyDescent="0.35">
      <c r="B12" s="856" t="s">
        <v>1074</v>
      </c>
      <c r="C12" s="860"/>
      <c r="D12" s="860"/>
      <c r="E12" s="860"/>
      <c r="F12" s="860"/>
      <c r="G12" s="860"/>
      <c r="H12" s="860"/>
      <c r="I12" s="860"/>
      <c r="J12" s="860"/>
      <c r="K12" s="860"/>
      <c r="L12" s="860"/>
      <c r="M12" s="860"/>
      <c r="N12" s="860"/>
      <c r="O12" s="860"/>
      <c r="P12" s="860"/>
      <c r="Q12" s="861"/>
    </row>
    <row r="13" spans="2:17" x14ac:dyDescent="0.35">
      <c r="B13" s="857" t="s">
        <v>1075</v>
      </c>
      <c r="C13" s="1315" t="s">
        <v>1089</v>
      </c>
      <c r="D13" s="1315"/>
      <c r="E13" s="1315"/>
      <c r="F13" s="1315"/>
      <c r="G13" s="1315"/>
      <c r="H13" s="1315"/>
      <c r="I13" s="1315"/>
      <c r="J13" s="1315"/>
      <c r="K13" s="1315"/>
      <c r="L13" s="1315"/>
      <c r="M13" s="1315"/>
      <c r="N13" s="1315"/>
      <c r="O13" s="1315"/>
      <c r="P13" s="1315"/>
      <c r="Q13" s="1316"/>
    </row>
    <row r="14" spans="2:17" x14ac:dyDescent="0.35">
      <c r="B14" s="857" t="s">
        <v>1076</v>
      </c>
      <c r="C14" s="862" t="s">
        <v>1090</v>
      </c>
      <c r="D14" s="862"/>
      <c r="E14" s="862"/>
      <c r="F14" s="862"/>
      <c r="G14" s="862"/>
      <c r="H14" s="862"/>
      <c r="I14" s="862"/>
      <c r="J14" s="862"/>
      <c r="K14" s="862"/>
      <c r="L14" s="862"/>
      <c r="M14" s="862"/>
      <c r="N14" s="862"/>
      <c r="O14" s="862"/>
      <c r="P14" s="862"/>
      <c r="Q14" s="863"/>
    </row>
    <row r="15" spans="2:17" s="518" customFormat="1" x14ac:dyDescent="0.35">
      <c r="B15" s="857" t="s">
        <v>1077</v>
      </c>
      <c r="C15" s="862" t="s">
        <v>1091</v>
      </c>
      <c r="D15" s="862"/>
      <c r="E15" s="862"/>
      <c r="F15" s="862"/>
      <c r="G15" s="862"/>
      <c r="H15" s="862"/>
      <c r="I15" s="862"/>
      <c r="J15" s="862"/>
      <c r="K15" s="862"/>
      <c r="L15" s="862"/>
      <c r="M15" s="862"/>
      <c r="N15" s="862"/>
      <c r="O15" s="862"/>
      <c r="P15" s="862"/>
      <c r="Q15" s="863"/>
    </row>
    <row r="16" spans="2:17" s="518" customFormat="1" x14ac:dyDescent="0.35">
      <c r="B16" s="857" t="s">
        <v>1078</v>
      </c>
      <c r="C16" s="862" t="s">
        <v>1224</v>
      </c>
      <c r="D16" s="862"/>
      <c r="E16" s="862"/>
      <c r="F16" s="862"/>
      <c r="G16" s="862"/>
      <c r="H16" s="862"/>
      <c r="I16" s="862"/>
      <c r="J16" s="862"/>
      <c r="K16" s="862"/>
      <c r="L16" s="862"/>
      <c r="M16" s="862"/>
      <c r="N16" s="862"/>
      <c r="O16" s="862"/>
      <c r="P16" s="862"/>
      <c r="Q16" s="863"/>
    </row>
    <row r="17" spans="2:17" s="518" customFormat="1" x14ac:dyDescent="0.35">
      <c r="B17" s="857" t="s">
        <v>1122</v>
      </c>
      <c r="C17" s="862" t="s">
        <v>1223</v>
      </c>
      <c r="D17" s="862"/>
      <c r="E17" s="862"/>
      <c r="F17" s="862"/>
      <c r="G17" s="862"/>
      <c r="H17" s="862"/>
      <c r="I17" s="862"/>
      <c r="J17" s="862"/>
      <c r="K17" s="862"/>
      <c r="L17" s="862"/>
      <c r="M17" s="862"/>
      <c r="N17" s="862"/>
      <c r="O17" s="862"/>
      <c r="P17" s="862"/>
      <c r="Q17" s="863"/>
    </row>
    <row r="18" spans="2:17" s="518" customFormat="1" x14ac:dyDescent="0.35">
      <c r="B18" s="857" t="s">
        <v>1079</v>
      </c>
      <c r="C18" s="862" t="s">
        <v>1100</v>
      </c>
      <c r="D18" s="862"/>
      <c r="E18" s="862"/>
      <c r="F18" s="862"/>
      <c r="G18" s="862"/>
      <c r="H18" s="862"/>
      <c r="I18" s="862"/>
      <c r="J18" s="862"/>
      <c r="K18" s="862"/>
      <c r="L18" s="862"/>
      <c r="M18" s="862"/>
      <c r="N18" s="862"/>
      <c r="O18" s="862"/>
      <c r="P18" s="862"/>
      <c r="Q18" s="863"/>
    </row>
    <row r="19" spans="2:17" s="518" customFormat="1" x14ac:dyDescent="0.35">
      <c r="B19" s="857" t="s">
        <v>1080</v>
      </c>
      <c r="C19" s="862" t="s">
        <v>1094</v>
      </c>
      <c r="D19" s="862"/>
      <c r="E19" s="862"/>
      <c r="F19" s="862"/>
      <c r="G19" s="862"/>
      <c r="H19" s="862"/>
      <c r="I19" s="862"/>
      <c r="J19" s="862"/>
      <c r="K19" s="862"/>
      <c r="L19" s="862"/>
      <c r="M19" s="862"/>
      <c r="N19" s="862"/>
      <c r="O19" s="862"/>
      <c r="P19" s="862"/>
      <c r="Q19" s="863"/>
    </row>
    <row r="20" spans="2:17" s="518" customFormat="1" ht="30.5" customHeight="1" x14ac:dyDescent="0.35">
      <c r="B20" s="857" t="s">
        <v>1081</v>
      </c>
      <c r="C20" s="1307" t="s">
        <v>1095</v>
      </c>
      <c r="D20" s="1307"/>
      <c r="E20" s="1307"/>
      <c r="F20" s="1307"/>
      <c r="G20" s="1307"/>
      <c r="H20" s="1307"/>
      <c r="I20" s="1307"/>
      <c r="J20" s="1307"/>
      <c r="K20" s="1307"/>
      <c r="L20" s="1307"/>
      <c r="M20" s="1307"/>
      <c r="N20" s="1307"/>
      <c r="O20" s="1307"/>
      <c r="P20" s="1307"/>
      <c r="Q20" s="1308"/>
    </row>
    <row r="21" spans="2:17" s="518" customFormat="1" x14ac:dyDescent="0.35">
      <c r="B21" s="857" t="s">
        <v>1179</v>
      </c>
      <c r="C21" s="862" t="s">
        <v>1178</v>
      </c>
      <c r="D21" s="862"/>
      <c r="E21" s="862"/>
      <c r="F21" s="862"/>
      <c r="G21" s="862"/>
      <c r="H21" s="862"/>
      <c r="I21" s="862"/>
      <c r="J21" s="862"/>
      <c r="K21" s="862"/>
      <c r="L21" s="862"/>
      <c r="M21" s="862"/>
      <c r="N21" s="862"/>
      <c r="O21" s="862"/>
      <c r="P21" s="862"/>
      <c r="Q21" s="863"/>
    </row>
    <row r="22" spans="2:17" s="518" customFormat="1" ht="32" customHeight="1" x14ac:dyDescent="0.35">
      <c r="B22" s="857" t="s">
        <v>1093</v>
      </c>
      <c r="C22" s="1307" t="s">
        <v>1098</v>
      </c>
      <c r="D22" s="1307"/>
      <c r="E22" s="1307"/>
      <c r="F22" s="1307"/>
      <c r="G22" s="1307"/>
      <c r="H22" s="1307"/>
      <c r="I22" s="1307"/>
      <c r="J22" s="1307"/>
      <c r="K22" s="1307"/>
      <c r="L22" s="1307"/>
      <c r="M22" s="1307"/>
      <c r="N22" s="1307"/>
      <c r="O22" s="1307"/>
      <c r="P22" s="1307"/>
      <c r="Q22" s="1308"/>
    </row>
    <row r="23" spans="2:17" s="518" customFormat="1" ht="31" customHeight="1" x14ac:dyDescent="0.35">
      <c r="B23" s="857" t="s">
        <v>1082</v>
      </c>
      <c r="C23" s="1307" t="s">
        <v>1099</v>
      </c>
      <c r="D23" s="1307"/>
      <c r="E23" s="1307"/>
      <c r="F23" s="1307"/>
      <c r="G23" s="1307"/>
      <c r="H23" s="1307"/>
      <c r="I23" s="1307"/>
      <c r="J23" s="1307"/>
      <c r="K23" s="1307"/>
      <c r="L23" s="1307"/>
      <c r="M23" s="1307"/>
      <c r="N23" s="1307"/>
      <c r="O23" s="1307"/>
      <c r="P23" s="1307"/>
      <c r="Q23" s="1308"/>
    </row>
    <row r="24" spans="2:17" s="518" customFormat="1" x14ac:dyDescent="0.35">
      <c r="B24" s="857" t="s">
        <v>1083</v>
      </c>
      <c r="C24" s="862" t="s">
        <v>1108</v>
      </c>
      <c r="D24" s="862"/>
      <c r="E24" s="862"/>
      <c r="F24" s="862"/>
      <c r="G24" s="862"/>
      <c r="H24" s="862"/>
      <c r="I24" s="862"/>
      <c r="J24" s="862"/>
      <c r="K24" s="862"/>
      <c r="L24" s="862"/>
      <c r="M24" s="862"/>
      <c r="N24" s="862"/>
      <c r="O24" s="862"/>
      <c r="P24" s="862"/>
      <c r="Q24" s="863"/>
    </row>
    <row r="25" spans="2:17" s="518" customFormat="1" x14ac:dyDescent="0.35">
      <c r="B25" s="857" t="s">
        <v>1084</v>
      </c>
      <c r="C25" s="862" t="s">
        <v>1109</v>
      </c>
      <c r="D25" s="862"/>
      <c r="E25" s="862"/>
      <c r="F25" s="862"/>
      <c r="G25" s="862"/>
      <c r="H25" s="862"/>
      <c r="I25" s="862"/>
      <c r="J25" s="862"/>
      <c r="K25" s="862"/>
      <c r="L25" s="862"/>
      <c r="M25" s="862"/>
      <c r="N25" s="862"/>
      <c r="O25" s="862"/>
      <c r="P25" s="862"/>
      <c r="Q25" s="863"/>
    </row>
    <row r="26" spans="2:17" s="518" customFormat="1" x14ac:dyDescent="0.35">
      <c r="B26" s="857" t="s">
        <v>1085</v>
      </c>
      <c r="C26" s="862" t="s">
        <v>1225</v>
      </c>
      <c r="D26" s="862"/>
      <c r="E26" s="862"/>
      <c r="F26" s="862"/>
      <c r="G26" s="862"/>
      <c r="H26" s="862"/>
      <c r="I26" s="862"/>
      <c r="J26" s="862"/>
      <c r="K26" s="862"/>
      <c r="L26" s="862"/>
      <c r="M26" s="862"/>
      <c r="N26" s="862"/>
      <c r="O26" s="862"/>
      <c r="P26" s="862"/>
      <c r="Q26" s="863"/>
    </row>
    <row r="27" spans="2:17" s="518" customFormat="1" x14ac:dyDescent="0.35">
      <c r="B27" s="857" t="s">
        <v>1086</v>
      </c>
      <c r="C27" s="862" t="s">
        <v>1097</v>
      </c>
      <c r="D27" s="862"/>
      <c r="E27" s="862"/>
      <c r="F27" s="862"/>
      <c r="G27" s="862"/>
      <c r="H27" s="862"/>
      <c r="I27" s="862"/>
      <c r="J27" s="862"/>
      <c r="K27" s="862"/>
      <c r="L27" s="862"/>
      <c r="M27" s="862"/>
      <c r="N27" s="862"/>
      <c r="O27" s="862"/>
      <c r="P27" s="862"/>
      <c r="Q27" s="863"/>
    </row>
    <row r="28" spans="2:17" x14ac:dyDescent="0.35">
      <c r="B28" s="857" t="s">
        <v>1087</v>
      </c>
      <c r="C28" s="862" t="s">
        <v>1096</v>
      </c>
      <c r="D28" s="862"/>
      <c r="E28" s="862"/>
      <c r="F28" s="862"/>
      <c r="G28" s="862"/>
      <c r="H28" s="862"/>
      <c r="I28" s="862"/>
      <c r="J28" s="862"/>
      <c r="K28" s="862"/>
      <c r="L28" s="862"/>
      <c r="M28" s="862"/>
      <c r="N28" s="862"/>
      <c r="O28" s="862"/>
      <c r="P28" s="862"/>
      <c r="Q28" s="863"/>
    </row>
    <row r="29" spans="2:17" x14ac:dyDescent="0.35">
      <c r="B29" s="857" t="s">
        <v>1088</v>
      </c>
      <c r="C29" s="862" t="s">
        <v>1092</v>
      </c>
      <c r="D29" s="862"/>
      <c r="E29" s="862"/>
      <c r="F29" s="862"/>
      <c r="G29" s="862"/>
      <c r="H29" s="862"/>
      <c r="I29" s="862"/>
      <c r="J29" s="862"/>
      <c r="K29" s="862"/>
      <c r="L29" s="862"/>
      <c r="M29" s="862"/>
      <c r="N29" s="862"/>
      <c r="O29" s="862"/>
      <c r="P29" s="862"/>
      <c r="Q29" s="863"/>
    </row>
    <row r="30" spans="2:17" x14ac:dyDescent="0.35">
      <c r="B30" s="857"/>
      <c r="C30" s="862"/>
      <c r="D30" s="862"/>
      <c r="E30" s="862"/>
      <c r="F30" s="862"/>
      <c r="G30" s="862"/>
      <c r="H30" s="862"/>
      <c r="I30" s="862"/>
      <c r="J30" s="862"/>
      <c r="K30" s="862"/>
      <c r="L30" s="862"/>
      <c r="M30" s="862"/>
      <c r="N30" s="862"/>
      <c r="O30" s="862"/>
      <c r="P30" s="862"/>
      <c r="Q30" s="863"/>
    </row>
    <row r="31" spans="2:17" x14ac:dyDescent="0.35">
      <c r="B31" s="858" t="s">
        <v>1107</v>
      </c>
      <c r="C31" s="862"/>
      <c r="D31" s="862"/>
      <c r="E31" s="862"/>
      <c r="F31" s="862"/>
      <c r="G31" s="862"/>
      <c r="H31" s="862"/>
      <c r="I31" s="862"/>
      <c r="J31" s="862"/>
      <c r="K31" s="862"/>
      <c r="L31" s="862"/>
      <c r="M31" s="862"/>
      <c r="N31" s="862"/>
      <c r="O31" s="862"/>
      <c r="P31" s="862"/>
      <c r="Q31" s="863"/>
    </row>
    <row r="32" spans="2:17" x14ac:dyDescent="0.35">
      <c r="B32" s="857" t="s">
        <v>1101</v>
      </c>
      <c r="C32" s="862"/>
      <c r="D32" s="862"/>
      <c r="E32" s="862"/>
      <c r="F32" s="862"/>
      <c r="G32" s="862"/>
      <c r="H32" s="862"/>
      <c r="I32" s="862"/>
      <c r="J32" s="862"/>
      <c r="K32" s="862"/>
      <c r="L32" s="862"/>
      <c r="M32" s="862"/>
      <c r="N32" s="862"/>
      <c r="O32" s="862"/>
      <c r="P32" s="862"/>
      <c r="Q32" s="863"/>
    </row>
    <row r="33" spans="2:17" ht="30.5" customHeight="1" x14ac:dyDescent="0.35">
      <c r="B33" s="1306" t="s">
        <v>1106</v>
      </c>
      <c r="C33" s="1307"/>
      <c r="D33" s="1307"/>
      <c r="E33" s="1307"/>
      <c r="F33" s="1307"/>
      <c r="G33" s="1307"/>
      <c r="H33" s="1307"/>
      <c r="I33" s="1307"/>
      <c r="J33" s="1307"/>
      <c r="K33" s="1307"/>
      <c r="L33" s="1307"/>
      <c r="M33" s="1307"/>
      <c r="N33" s="1307"/>
      <c r="O33" s="1307"/>
      <c r="P33" s="1307"/>
      <c r="Q33" s="1308"/>
    </row>
    <row r="34" spans="2:17" x14ac:dyDescent="0.35">
      <c r="B34" s="867" t="s">
        <v>1102</v>
      </c>
      <c r="C34" s="862"/>
      <c r="D34" s="862"/>
      <c r="E34" s="862"/>
      <c r="F34" s="862"/>
      <c r="G34" s="862"/>
      <c r="H34" s="862"/>
      <c r="I34" s="862"/>
      <c r="J34" s="862"/>
      <c r="K34" s="862"/>
      <c r="L34" s="862"/>
      <c r="M34" s="862"/>
      <c r="N34" s="862"/>
      <c r="O34" s="862"/>
      <c r="P34" s="862"/>
      <c r="Q34" s="863"/>
    </row>
    <row r="35" spans="2:17" x14ac:dyDescent="0.35">
      <c r="B35" s="857" t="s">
        <v>1105</v>
      </c>
      <c r="C35" s="862"/>
      <c r="D35" s="862"/>
      <c r="E35" s="862"/>
      <c r="F35" s="862"/>
      <c r="G35" s="862"/>
      <c r="H35" s="862"/>
      <c r="I35" s="862"/>
      <c r="J35" s="862"/>
      <c r="K35" s="862"/>
      <c r="L35" s="862"/>
      <c r="M35" s="862"/>
      <c r="N35" s="862"/>
      <c r="O35" s="862"/>
      <c r="P35" s="862"/>
      <c r="Q35" s="863"/>
    </row>
    <row r="36" spans="2:17" x14ac:dyDescent="0.35">
      <c r="B36" s="857" t="s">
        <v>1103</v>
      </c>
      <c r="C36" s="862"/>
      <c r="D36" s="862"/>
      <c r="E36" s="862"/>
      <c r="F36" s="862"/>
      <c r="G36" s="862"/>
      <c r="H36" s="862"/>
      <c r="I36" s="862"/>
      <c r="J36" s="862"/>
      <c r="K36" s="862"/>
      <c r="L36" s="862"/>
      <c r="M36" s="862"/>
      <c r="N36" s="862"/>
      <c r="O36" s="862"/>
      <c r="P36" s="862"/>
      <c r="Q36" s="863"/>
    </row>
    <row r="37" spans="2:17" x14ac:dyDescent="0.35">
      <c r="B37" s="866" t="s">
        <v>1104</v>
      </c>
      <c r="C37" s="864"/>
      <c r="D37" s="864"/>
      <c r="E37" s="864"/>
      <c r="F37" s="864"/>
      <c r="G37" s="864"/>
      <c r="H37" s="864"/>
      <c r="I37" s="864"/>
      <c r="J37" s="864"/>
      <c r="K37" s="864"/>
      <c r="L37" s="864"/>
      <c r="M37" s="864"/>
      <c r="N37" s="864"/>
      <c r="O37" s="864"/>
      <c r="P37" s="864"/>
      <c r="Q37" s="865"/>
    </row>
    <row r="40" spans="2:17" x14ac:dyDescent="0.35">
      <c r="B40" s="868"/>
      <c r="C40" s="868"/>
      <c r="D40" s="868"/>
      <c r="E40" s="868"/>
      <c r="F40" s="868"/>
      <c r="G40" s="868"/>
      <c r="H40" s="868"/>
      <c r="I40" s="868"/>
      <c r="J40" s="868"/>
      <c r="K40" s="868"/>
      <c r="L40" s="868"/>
      <c r="M40" s="868"/>
      <c r="N40" s="868"/>
      <c r="O40" s="868"/>
      <c r="P40" s="868"/>
      <c r="Q40" s="868"/>
    </row>
    <row r="41" spans="2:17" x14ac:dyDescent="0.35">
      <c r="B41" s="868"/>
      <c r="C41" s="868"/>
      <c r="D41" s="868"/>
      <c r="E41" s="868"/>
      <c r="F41" s="868"/>
      <c r="G41" s="868"/>
      <c r="H41" s="868"/>
      <c r="I41" s="868"/>
      <c r="J41" s="868"/>
      <c r="K41" s="868"/>
      <c r="L41" s="868"/>
      <c r="M41" s="868"/>
      <c r="N41" s="868"/>
      <c r="O41" s="868"/>
      <c r="P41" s="868"/>
      <c r="Q41" s="868"/>
    </row>
    <row r="42" spans="2:17" x14ac:dyDescent="0.35">
      <c r="B42" s="868"/>
      <c r="C42" s="868"/>
      <c r="D42" s="868"/>
      <c r="E42" s="868"/>
      <c r="F42" s="868"/>
      <c r="G42" s="868"/>
      <c r="H42" s="868"/>
      <c r="I42" s="868"/>
      <c r="J42" s="868"/>
      <c r="K42" s="868"/>
      <c r="L42" s="868"/>
      <c r="M42" s="868"/>
      <c r="N42" s="868"/>
      <c r="O42" s="868"/>
      <c r="P42" s="868"/>
      <c r="Q42" s="868"/>
    </row>
    <row r="43" spans="2:17" x14ac:dyDescent="0.35">
      <c r="B43" s="868"/>
      <c r="C43" s="868"/>
      <c r="D43" s="868"/>
      <c r="E43" s="868"/>
      <c r="F43" s="868"/>
      <c r="G43" s="868"/>
      <c r="H43" s="868"/>
      <c r="I43" s="868"/>
      <c r="J43" s="868"/>
      <c r="K43" s="868"/>
      <c r="L43" s="868"/>
      <c r="M43" s="868"/>
      <c r="N43" s="868"/>
      <c r="O43" s="868"/>
      <c r="P43" s="868"/>
      <c r="Q43" s="868"/>
    </row>
    <row r="44" spans="2:17" x14ac:dyDescent="0.35">
      <c r="B44" s="868"/>
      <c r="C44" s="868"/>
      <c r="D44" s="868"/>
      <c r="E44" s="868"/>
      <c r="F44" s="868"/>
      <c r="G44" s="868"/>
      <c r="H44" s="868"/>
      <c r="I44" s="868"/>
      <c r="J44" s="868"/>
      <c r="K44" s="868"/>
      <c r="L44" s="868"/>
      <c r="M44" s="868"/>
      <c r="N44" s="868"/>
      <c r="O44" s="868"/>
      <c r="P44" s="868"/>
      <c r="Q44" s="868"/>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44" customFormat="1" x14ac:dyDescent="0.35">
      <c r="A1" s="511" t="s">
        <v>627</v>
      </c>
      <c r="B1" s="511" t="s">
        <v>626</v>
      </c>
      <c r="C1" s="530" t="s">
        <v>148</v>
      </c>
      <c r="D1" s="530" t="s">
        <v>149</v>
      </c>
      <c r="E1" s="530" t="s">
        <v>150</v>
      </c>
      <c r="F1" s="530" t="s">
        <v>151</v>
      </c>
      <c r="G1" s="544" t="s">
        <v>152</v>
      </c>
    </row>
    <row r="2" spans="1:7" ht="29" x14ac:dyDescent="0.35">
      <c r="A2" s="519" t="s">
        <v>679</v>
      </c>
      <c r="B2" s="518" t="s">
        <v>680</v>
      </c>
      <c r="C2" s="518">
        <f>Grants!J74</f>
        <v>334.61</v>
      </c>
      <c r="D2" s="518">
        <f>Grants!K74</f>
        <v>301.78300000000002</v>
      </c>
      <c r="E2" s="518">
        <f>Grants!L74</f>
        <v>280.16300000000001</v>
      </c>
      <c r="F2" s="518">
        <f>Grants!M74</f>
        <v>310.15499999999997</v>
      </c>
      <c r="G2" s="518">
        <f>Grants!N74</f>
        <v>346.31500000000005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abSelected="1" zoomScale="70" workbookViewId="0">
      <selection activeCell="O13" sqref="O13"/>
    </sheetView>
  </sheetViews>
  <sheetFormatPr defaultColWidth="10.81640625" defaultRowHeight="14.5" x14ac:dyDescent="0.35"/>
  <cols>
    <col min="1" max="1" width="70.81640625" bestFit="1" customWidth="1"/>
    <col min="2" max="2" width="70.81640625" style="518" customWidth="1"/>
  </cols>
  <sheetData>
    <row r="1" spans="1:45" ht="15.5" x14ac:dyDescent="0.35">
      <c r="A1" s="1332" t="s">
        <v>534</v>
      </c>
      <c r="B1" s="1332"/>
      <c r="C1" s="1332"/>
      <c r="D1" s="1332"/>
      <c r="E1" s="1332"/>
      <c r="F1" s="1332"/>
      <c r="G1" s="1332"/>
      <c r="H1" s="1332"/>
      <c r="I1" s="1332"/>
      <c r="J1" s="1332"/>
      <c r="K1" s="1332"/>
      <c r="L1" s="1332"/>
      <c r="M1" s="1332"/>
      <c r="N1" s="1332"/>
      <c r="O1" s="1332"/>
    </row>
    <row r="2" spans="1:45" ht="31" x14ac:dyDescent="0.35">
      <c r="A2" s="293"/>
      <c r="B2" s="293" t="s">
        <v>626</v>
      </c>
      <c r="C2" s="314">
        <v>1</v>
      </c>
      <c r="D2" s="314">
        <f>C2+1</f>
        <v>2</v>
      </c>
      <c r="E2" s="314">
        <f t="shared" ref="E2:N2" si="0">D2+1</f>
        <v>3</v>
      </c>
      <c r="F2" s="314">
        <f t="shared" si="0"/>
        <v>4</v>
      </c>
      <c r="G2" s="314">
        <f t="shared" si="0"/>
        <v>5</v>
      </c>
      <c r="H2" s="314">
        <f t="shared" si="0"/>
        <v>6</v>
      </c>
      <c r="I2" s="314">
        <f t="shared" si="0"/>
        <v>7</v>
      </c>
      <c r="J2" s="314">
        <f t="shared" si="0"/>
        <v>8</v>
      </c>
      <c r="K2" s="314">
        <f t="shared" si="0"/>
        <v>9</v>
      </c>
      <c r="L2" s="314">
        <f t="shared" si="0"/>
        <v>10</v>
      </c>
      <c r="M2" s="314">
        <f t="shared" si="0"/>
        <v>11</v>
      </c>
      <c r="N2" s="314">
        <f t="shared" si="0"/>
        <v>12</v>
      </c>
      <c r="O2" s="312" t="s">
        <v>532</v>
      </c>
    </row>
    <row r="3" spans="1:45" ht="15.5" x14ac:dyDescent="0.35">
      <c r="A3" s="295" t="s">
        <v>531</v>
      </c>
      <c r="B3" s="961" t="s">
        <v>1168</v>
      </c>
      <c r="C3" s="1489">
        <v>0.22500000000000001</v>
      </c>
      <c r="D3" s="1489">
        <v>0.22500000000000001</v>
      </c>
      <c r="E3" s="1489">
        <v>0.22500000000000001</v>
      </c>
      <c r="F3" s="1489">
        <v>0.22500000000000001</v>
      </c>
      <c r="G3" s="1488">
        <v>0</v>
      </c>
      <c r="H3" s="1488">
        <v>0</v>
      </c>
      <c r="I3" s="1488">
        <v>0</v>
      </c>
      <c r="J3" s="1488">
        <v>0</v>
      </c>
      <c r="K3" s="1488">
        <v>0</v>
      </c>
      <c r="L3" s="1488">
        <v>0</v>
      </c>
      <c r="M3" s="1488">
        <v>0</v>
      </c>
      <c r="N3" s="1488">
        <v>0</v>
      </c>
      <c r="O3" s="294"/>
      <c r="P3" s="1487"/>
      <c r="Q3" s="1487"/>
      <c r="R3" s="1487"/>
      <c r="S3" s="1487"/>
      <c r="T3" s="1486"/>
      <c r="U3" s="1486"/>
      <c r="V3" s="1486"/>
      <c r="W3" s="1486"/>
      <c r="X3" s="1486"/>
      <c r="Y3" s="1486"/>
      <c r="Z3" s="1486"/>
      <c r="AA3" s="1486"/>
      <c r="AC3" s="1485"/>
      <c r="AD3" s="1485"/>
      <c r="AE3" s="1485"/>
      <c r="AF3" s="1485"/>
      <c r="AG3" s="1485"/>
      <c r="AH3" s="1485"/>
      <c r="AI3" s="1485"/>
      <c r="AJ3" s="1485"/>
      <c r="AK3" s="1485"/>
      <c r="AL3" s="1485"/>
      <c r="AM3" s="1485"/>
      <c r="AN3" s="1485"/>
      <c r="AO3" s="1485"/>
      <c r="AP3" s="1485"/>
      <c r="AQ3" s="1485"/>
      <c r="AR3" s="1485"/>
      <c r="AS3" s="1485"/>
    </row>
    <row r="4" spans="1:45" ht="15.5" x14ac:dyDescent="0.35">
      <c r="A4" s="297" t="s">
        <v>509</v>
      </c>
      <c r="B4" s="962" t="s">
        <v>1169</v>
      </c>
      <c r="C4" s="1489">
        <v>-3.3333333333333333E-2</v>
      </c>
      <c r="D4" s="1489">
        <v>-3.3333333333333333E-2</v>
      </c>
      <c r="E4" s="1489">
        <v>-3.3333333333333333E-2</v>
      </c>
      <c r="F4" s="1489">
        <v>-3.3333333333333333E-2</v>
      </c>
      <c r="G4" s="1489">
        <v>-3.3333333333333333E-2</v>
      </c>
      <c r="H4" s="1489">
        <v>-3.3333333333333333E-2</v>
      </c>
      <c r="I4" s="1489">
        <v>-3.3333333333333333E-2</v>
      </c>
      <c r="J4" s="1489">
        <v>-3.3333333333333333E-2</v>
      </c>
      <c r="K4" s="1489">
        <v>-3.3333333333333333E-2</v>
      </c>
      <c r="L4" s="1489">
        <v>-3.3333333333333333E-2</v>
      </c>
      <c r="M4" s="1489">
        <v>-3.3333333333333333E-2</v>
      </c>
      <c r="N4" s="1489">
        <v>-3.3333333333333333E-2</v>
      </c>
      <c r="O4" s="313">
        <f>SUM(C4:N4)</f>
        <v>-0.39999999999999997</v>
      </c>
      <c r="P4" s="1487"/>
      <c r="Q4" s="1487"/>
      <c r="R4" s="1487"/>
      <c r="S4" s="1487"/>
      <c r="T4" s="1487"/>
      <c r="U4" s="1487"/>
      <c r="V4" s="1487"/>
      <c r="W4" s="1487"/>
      <c r="X4" s="1487"/>
      <c r="Y4" s="1487"/>
      <c r="Z4" s="1487"/>
      <c r="AA4" s="1487"/>
      <c r="AC4" s="1485"/>
      <c r="AD4" s="1485"/>
      <c r="AE4" s="1485"/>
      <c r="AF4" s="1485"/>
      <c r="AG4" s="1485"/>
      <c r="AH4" s="1485"/>
      <c r="AI4" s="1485"/>
      <c r="AJ4" s="1485"/>
      <c r="AK4" s="1485"/>
      <c r="AL4" s="1485"/>
      <c r="AM4" s="1485"/>
      <c r="AN4" s="1485"/>
    </row>
    <row r="5" spans="1:45" ht="15.5" x14ac:dyDescent="0.35">
      <c r="A5" s="297" t="s">
        <v>510</v>
      </c>
      <c r="B5" s="962" t="s">
        <v>1170</v>
      </c>
      <c r="C5" s="1489">
        <v>-0.12</v>
      </c>
      <c r="D5" s="1489">
        <v>-0.12</v>
      </c>
      <c r="E5" s="1489">
        <v>-0.06</v>
      </c>
      <c r="F5" s="1489">
        <v>-0.06</v>
      </c>
      <c r="G5" s="1489">
        <v>-0.06</v>
      </c>
      <c r="H5" s="1489">
        <v>-0.06</v>
      </c>
      <c r="I5" s="1489">
        <v>-0.06</v>
      </c>
      <c r="J5" s="1489">
        <v>-0.06</v>
      </c>
      <c r="K5" s="1489">
        <v>0</v>
      </c>
      <c r="L5" s="1489">
        <v>0</v>
      </c>
      <c r="M5" s="1489">
        <v>0</v>
      </c>
      <c r="N5" s="1489">
        <v>0</v>
      </c>
      <c r="O5" s="313">
        <f t="shared" ref="O5:O13" si="1">SUM(C5:N5)</f>
        <v>-0.60000000000000009</v>
      </c>
      <c r="P5" s="1487"/>
      <c r="Q5" s="1487"/>
      <c r="R5" s="1487"/>
      <c r="S5" s="1487"/>
      <c r="T5" s="1487"/>
      <c r="U5" s="1487"/>
      <c r="V5" s="1487"/>
      <c r="W5" s="1487"/>
      <c r="X5" s="1487"/>
      <c r="Y5" s="1487"/>
      <c r="Z5" s="1487"/>
      <c r="AA5" s="1487"/>
      <c r="AC5" s="1485"/>
      <c r="AD5" s="1485"/>
      <c r="AE5" s="1485"/>
      <c r="AF5" s="1485"/>
      <c r="AG5" s="1485"/>
      <c r="AH5" s="1485"/>
      <c r="AI5" s="1485"/>
      <c r="AJ5" s="1485"/>
      <c r="AK5" s="1485"/>
      <c r="AL5" s="1485"/>
      <c r="AM5" s="1485"/>
      <c r="AN5" s="1485"/>
    </row>
    <row r="6" spans="1:45" ht="15.5" x14ac:dyDescent="0.35">
      <c r="A6" s="295" t="s">
        <v>178</v>
      </c>
      <c r="B6" s="961" t="s">
        <v>616</v>
      </c>
      <c r="C6" s="1489">
        <v>0.24499999999999997</v>
      </c>
      <c r="D6" s="1489">
        <v>0.105</v>
      </c>
      <c r="E6" s="1489">
        <v>5.5999999999999994E-2</v>
      </c>
      <c r="F6" s="1489">
        <v>5.5999999999999994E-2</v>
      </c>
      <c r="G6" s="1489">
        <v>5.5999999999999994E-2</v>
      </c>
      <c r="H6" s="1489">
        <v>5.5999999999999994E-2</v>
      </c>
      <c r="I6" s="1489">
        <v>5.5999999999999994E-2</v>
      </c>
      <c r="J6" s="1489">
        <v>5.5999999999999994E-2</v>
      </c>
      <c r="K6" s="1489">
        <v>0</v>
      </c>
      <c r="L6" s="1489">
        <v>0</v>
      </c>
      <c r="M6" s="1489">
        <v>0</v>
      </c>
      <c r="N6" s="1489">
        <v>0</v>
      </c>
      <c r="O6" s="313">
        <f t="shared" si="1"/>
        <v>0.68600000000000017</v>
      </c>
      <c r="P6" s="1487"/>
      <c r="Q6" s="1487"/>
      <c r="R6" s="1487"/>
      <c r="S6" s="1487"/>
      <c r="T6" s="1487"/>
      <c r="U6" s="1487"/>
      <c r="V6" s="1487"/>
      <c r="W6" s="1487"/>
      <c r="X6" s="1487"/>
      <c r="Y6" s="1487"/>
      <c r="Z6" s="1487"/>
      <c r="AA6" s="1487"/>
      <c r="AC6" s="1485"/>
      <c r="AD6" s="1485"/>
      <c r="AE6" s="1485"/>
      <c r="AF6" s="1485"/>
      <c r="AG6" s="1485"/>
      <c r="AH6" s="1485"/>
      <c r="AI6" s="1485"/>
      <c r="AJ6" s="1485"/>
      <c r="AK6" s="1485"/>
      <c r="AL6" s="1485"/>
      <c r="AM6" s="1485"/>
      <c r="AN6" s="1485"/>
    </row>
    <row r="7" spans="1:45" ht="15.5" x14ac:dyDescent="0.35">
      <c r="A7" s="295" t="s">
        <v>181</v>
      </c>
      <c r="B7" s="961" t="s">
        <v>1171</v>
      </c>
      <c r="C7" s="1489">
        <v>0.315</v>
      </c>
      <c r="D7" s="1489">
        <v>0.315</v>
      </c>
      <c r="E7" s="1489">
        <v>9.0000000000000011E-2</v>
      </c>
      <c r="F7" s="1489">
        <v>9.0000000000000011E-2</v>
      </c>
      <c r="G7" s="1489">
        <v>4.5000000000000005E-2</v>
      </c>
      <c r="H7" s="1489">
        <v>4.5000000000000005E-2</v>
      </c>
      <c r="I7" s="1489">
        <v>0</v>
      </c>
      <c r="J7" s="1489">
        <v>0</v>
      </c>
      <c r="K7" s="1489">
        <v>0</v>
      </c>
      <c r="L7" s="1489">
        <v>0</v>
      </c>
      <c r="M7" s="1489">
        <v>0</v>
      </c>
      <c r="N7" s="1489">
        <v>0</v>
      </c>
      <c r="O7" s="313">
        <f t="shared" si="1"/>
        <v>0.9</v>
      </c>
      <c r="P7" s="1487"/>
      <c r="Q7" s="1487"/>
      <c r="R7" s="1487"/>
      <c r="S7" s="1487"/>
      <c r="T7" s="1487"/>
      <c r="U7" s="1487"/>
      <c r="V7" s="1487"/>
      <c r="W7" s="1487"/>
      <c r="X7" s="1487"/>
      <c r="Y7" s="1487"/>
      <c r="Z7" s="1487"/>
      <c r="AA7" s="1487"/>
      <c r="AC7" s="1485"/>
      <c r="AD7" s="1485"/>
      <c r="AE7" s="1485"/>
      <c r="AF7" s="1485"/>
      <c r="AG7" s="1485"/>
      <c r="AH7" s="1485"/>
      <c r="AI7" s="1485"/>
      <c r="AJ7" s="1485"/>
      <c r="AK7" s="1485"/>
      <c r="AL7" s="1485"/>
      <c r="AM7" s="1485"/>
      <c r="AN7" s="1485"/>
    </row>
    <row r="8" spans="1:45" ht="15.5" x14ac:dyDescent="0.35">
      <c r="A8" s="295" t="s">
        <v>552</v>
      </c>
      <c r="B8" s="961" t="s">
        <v>1172</v>
      </c>
      <c r="C8" s="1489">
        <v>0.22500000000000001</v>
      </c>
      <c r="D8" s="1489">
        <v>0.22500000000000001</v>
      </c>
      <c r="E8" s="1489">
        <v>0.22500000000000001</v>
      </c>
      <c r="F8" s="1489">
        <v>0.22500000000000001</v>
      </c>
      <c r="G8" s="1489">
        <v>0</v>
      </c>
      <c r="H8" s="1489">
        <v>0</v>
      </c>
      <c r="I8" s="1489">
        <v>0</v>
      </c>
      <c r="J8" s="1489">
        <v>0</v>
      </c>
      <c r="K8" s="1489">
        <v>0</v>
      </c>
      <c r="L8" s="1489">
        <v>0</v>
      </c>
      <c r="M8" s="1489">
        <v>0</v>
      </c>
      <c r="N8" s="1489">
        <v>0</v>
      </c>
      <c r="O8" s="313">
        <f t="shared" si="1"/>
        <v>0.9</v>
      </c>
      <c r="P8" s="1487"/>
      <c r="Q8" s="1487"/>
      <c r="R8" s="1487"/>
      <c r="S8" s="1487"/>
      <c r="T8" s="1487"/>
      <c r="U8" s="1487"/>
      <c r="V8" s="1487"/>
      <c r="W8" s="1487"/>
      <c r="X8" s="1487"/>
      <c r="Y8" s="1487"/>
      <c r="Z8" s="1487"/>
      <c r="AA8" s="1487"/>
      <c r="AC8" s="1485"/>
      <c r="AD8" s="1485"/>
      <c r="AE8" s="1485"/>
      <c r="AF8" s="1485"/>
      <c r="AG8" s="1485"/>
      <c r="AH8" s="1485"/>
      <c r="AI8" s="1485"/>
      <c r="AJ8" s="1485"/>
      <c r="AK8" s="1485"/>
      <c r="AL8" s="1485"/>
      <c r="AM8" s="1485"/>
      <c r="AN8" s="1485"/>
    </row>
    <row r="9" spans="1:45" ht="15.5" x14ac:dyDescent="0.35">
      <c r="A9" s="295" t="s">
        <v>562</v>
      </c>
      <c r="B9" s="961" t="s">
        <v>1173</v>
      </c>
      <c r="C9" s="1489">
        <v>4.9500000000000002E-2</v>
      </c>
      <c r="D9" s="1489">
        <v>4.2750000000000003E-2</v>
      </c>
      <c r="E9" s="1489">
        <v>4.0500000000000001E-2</v>
      </c>
      <c r="F9" s="1489">
        <v>3.8250000000000006E-2</v>
      </c>
      <c r="G9" s="1489">
        <v>3.6000000000000004E-2</v>
      </c>
      <c r="H9" s="1489">
        <v>3.6000000000000004E-2</v>
      </c>
      <c r="I9" s="1489">
        <v>3.6000000000000004E-2</v>
      </c>
      <c r="J9" s="1489">
        <v>3.6000000000000004E-2</v>
      </c>
      <c r="K9" s="1489">
        <v>3.3750000000000002E-2</v>
      </c>
      <c r="L9" s="1489">
        <v>3.3750000000000002E-2</v>
      </c>
      <c r="M9" s="1489">
        <v>3.3750000000000002E-2</v>
      </c>
      <c r="N9" s="1489">
        <v>3.3750000000000002E-2</v>
      </c>
      <c r="O9" s="313">
        <f t="shared" si="1"/>
        <v>0.45000000000000007</v>
      </c>
      <c r="P9" s="1487"/>
      <c r="Q9" s="1487"/>
      <c r="R9" s="1487"/>
      <c r="S9" s="1487"/>
      <c r="T9" s="1487"/>
      <c r="U9" s="1487"/>
      <c r="V9" s="1487"/>
      <c r="W9" s="1487"/>
      <c r="X9" s="1487"/>
      <c r="Y9" s="1487"/>
      <c r="Z9" s="1487"/>
      <c r="AA9" s="1487"/>
      <c r="AC9" s="1485"/>
      <c r="AD9" s="1485"/>
      <c r="AE9" s="1485"/>
      <c r="AF9" s="1485"/>
      <c r="AG9" s="1485"/>
      <c r="AH9" s="1485"/>
      <c r="AI9" s="1485"/>
      <c r="AJ9" s="1485"/>
      <c r="AK9" s="1485"/>
      <c r="AL9" s="1485"/>
      <c r="AM9" s="1485"/>
      <c r="AN9" s="1485"/>
    </row>
    <row r="10" spans="1:45" ht="15.5" x14ac:dyDescent="0.35">
      <c r="A10" s="295" t="s">
        <v>507</v>
      </c>
      <c r="B10" s="961" t="s">
        <v>617</v>
      </c>
      <c r="C10" s="1489">
        <v>0.14000000000000001</v>
      </c>
      <c r="D10" s="1489">
        <v>0.1</v>
      </c>
      <c r="E10" s="1489">
        <v>0.1</v>
      </c>
      <c r="F10" s="1489">
        <v>0.05</v>
      </c>
      <c r="G10" s="1489">
        <v>0.05</v>
      </c>
      <c r="H10" s="1489">
        <v>0.05</v>
      </c>
      <c r="I10" s="1489">
        <v>0.05</v>
      </c>
      <c r="J10" s="1489">
        <v>0.05</v>
      </c>
      <c r="K10" s="1489">
        <v>0.05</v>
      </c>
      <c r="L10" s="1489">
        <v>0</v>
      </c>
      <c r="M10" s="1489">
        <v>0</v>
      </c>
      <c r="N10" s="1489">
        <v>0</v>
      </c>
      <c r="O10" s="313">
        <f>SUM(C10:N10)</f>
        <v>0.64000000000000012</v>
      </c>
      <c r="P10" s="1487"/>
      <c r="Q10" s="1487"/>
      <c r="R10" s="1487"/>
      <c r="S10" s="1487"/>
      <c r="T10" s="1487"/>
      <c r="U10" s="1487"/>
      <c r="V10" s="1487"/>
      <c r="W10" s="1487"/>
      <c r="X10" s="1487"/>
      <c r="Y10" s="1487"/>
      <c r="Z10" s="1487"/>
      <c r="AA10" s="1487"/>
      <c r="AC10" s="1485"/>
      <c r="AD10" s="1485"/>
      <c r="AE10" s="1485"/>
      <c r="AF10" s="1485"/>
      <c r="AG10" s="1485"/>
      <c r="AH10" s="1485"/>
      <c r="AI10" s="1485"/>
      <c r="AJ10" s="1485"/>
      <c r="AK10" s="1485"/>
      <c r="AL10" s="1485"/>
      <c r="AM10" s="1485"/>
      <c r="AN10" s="1485"/>
    </row>
    <row r="11" spans="1:45" ht="15.5" x14ac:dyDescent="0.35">
      <c r="A11" s="295" t="s">
        <v>508</v>
      </c>
      <c r="B11" s="961" t="s">
        <v>1174</v>
      </c>
      <c r="C11" s="1489">
        <v>0.2</v>
      </c>
      <c r="D11" s="1489">
        <v>0.17</v>
      </c>
      <c r="E11" s="1489">
        <v>0.16</v>
      </c>
      <c r="F11" s="1489">
        <v>0.15</v>
      </c>
      <c r="G11" s="1489">
        <v>0.09</v>
      </c>
      <c r="H11" s="1489">
        <v>0.05</v>
      </c>
      <c r="I11" s="1489">
        <v>0.05</v>
      </c>
      <c r="J11" s="1489">
        <v>0.04</v>
      </c>
      <c r="K11" s="1489">
        <v>0</v>
      </c>
      <c r="L11" s="1489">
        <v>0</v>
      </c>
      <c r="M11" s="1489">
        <v>0</v>
      </c>
      <c r="N11" s="1489">
        <v>0</v>
      </c>
      <c r="O11" s="313">
        <f>SUM(C11:N11)</f>
        <v>0.91000000000000014</v>
      </c>
      <c r="P11" s="1487"/>
      <c r="Q11" s="1487"/>
      <c r="R11" s="1487"/>
      <c r="S11" s="1487"/>
      <c r="T11" s="1487"/>
      <c r="U11" s="1487"/>
      <c r="V11" s="1487"/>
      <c r="W11" s="1487"/>
      <c r="X11" s="1487"/>
      <c r="Y11" s="1487"/>
      <c r="Z11" s="1487"/>
      <c r="AA11" s="1487"/>
      <c r="AC11" s="1485"/>
      <c r="AD11" s="1485"/>
      <c r="AE11" s="1485"/>
      <c r="AF11" s="1485"/>
      <c r="AG11" s="1485"/>
      <c r="AH11" s="1485"/>
      <c r="AI11" s="1485"/>
      <c r="AJ11" s="1485"/>
      <c r="AK11" s="1485"/>
      <c r="AL11" s="1485"/>
      <c r="AM11" s="1485"/>
      <c r="AN11" s="1485"/>
    </row>
    <row r="12" spans="1:45" ht="31" x14ac:dyDescent="0.35">
      <c r="A12" s="296" t="s">
        <v>548</v>
      </c>
      <c r="B12" s="963" t="s">
        <v>1175</v>
      </c>
      <c r="C12" s="1489">
        <v>0.2</v>
      </c>
      <c r="D12" s="1489">
        <v>0.17</v>
      </c>
      <c r="E12" s="1489">
        <v>0.16</v>
      </c>
      <c r="F12" s="1489">
        <v>0.15</v>
      </c>
      <c r="G12" s="1489">
        <v>0.09</v>
      </c>
      <c r="H12" s="1489">
        <v>0.05</v>
      </c>
      <c r="I12" s="1489">
        <v>0.05</v>
      </c>
      <c r="J12" s="1489">
        <v>0.04</v>
      </c>
      <c r="K12" s="1489">
        <v>0</v>
      </c>
      <c r="L12" s="1489">
        <v>0</v>
      </c>
      <c r="M12" s="1489">
        <v>0</v>
      </c>
      <c r="N12" s="1489">
        <v>0</v>
      </c>
      <c r="O12" s="313">
        <f t="shared" si="1"/>
        <v>0.91000000000000014</v>
      </c>
      <c r="P12" s="1487"/>
      <c r="Q12" s="1487"/>
      <c r="R12" s="1487"/>
      <c r="S12" s="1487"/>
      <c r="T12" s="1487"/>
      <c r="U12" s="1487"/>
      <c r="V12" s="1487"/>
      <c r="W12" s="1487"/>
      <c r="X12" s="1487"/>
      <c r="Y12" s="1487"/>
      <c r="Z12" s="1487"/>
      <c r="AA12" s="1487"/>
      <c r="AC12" s="1485"/>
      <c r="AD12" s="1485"/>
      <c r="AE12" s="1485"/>
      <c r="AF12" s="1485"/>
      <c r="AG12" s="1485"/>
      <c r="AH12" s="1485"/>
      <c r="AI12" s="1485"/>
      <c r="AJ12" s="1485"/>
      <c r="AK12" s="1485"/>
      <c r="AL12" s="1485"/>
      <c r="AM12" s="1485"/>
      <c r="AN12" s="1485"/>
    </row>
    <row r="13" spans="1:45" ht="31" x14ac:dyDescent="0.35">
      <c r="A13" s="296" t="s">
        <v>533</v>
      </c>
      <c r="B13" s="963" t="s">
        <v>1176</v>
      </c>
      <c r="C13" s="1489">
        <v>0.14000000000000001</v>
      </c>
      <c r="D13" s="1489">
        <v>0.1</v>
      </c>
      <c r="E13" s="1489">
        <v>0.1</v>
      </c>
      <c r="F13" s="1489">
        <v>0.05</v>
      </c>
      <c r="G13" s="1489">
        <v>0.05</v>
      </c>
      <c r="H13" s="1489">
        <v>0.05</v>
      </c>
      <c r="I13" s="1489">
        <v>0.05</v>
      </c>
      <c r="J13" s="1489">
        <v>0.05</v>
      </c>
      <c r="K13" s="1489">
        <v>0.05</v>
      </c>
      <c r="L13" s="1489">
        <v>0</v>
      </c>
      <c r="M13" s="1489">
        <v>0</v>
      </c>
      <c r="N13" s="1489">
        <v>0</v>
      </c>
      <c r="O13" s="313">
        <f t="shared" si="1"/>
        <v>0.64000000000000012</v>
      </c>
      <c r="P13" s="1487"/>
      <c r="Q13" s="1487"/>
      <c r="R13" s="1487"/>
      <c r="S13" s="1487"/>
      <c r="T13" s="1487"/>
      <c r="U13" s="1487"/>
      <c r="V13" s="1487"/>
      <c r="W13" s="1487"/>
      <c r="X13" s="1487"/>
      <c r="Y13" s="1487"/>
      <c r="Z13" s="1487"/>
      <c r="AA13" s="1487"/>
      <c r="AC13" s="1485"/>
      <c r="AD13" s="1485"/>
      <c r="AE13" s="1485"/>
      <c r="AF13" s="1485"/>
      <c r="AG13" s="1485"/>
      <c r="AH13" s="1485"/>
      <c r="AI13" s="1485"/>
      <c r="AJ13" s="1485"/>
      <c r="AK13" s="1485"/>
      <c r="AL13" s="1485"/>
      <c r="AM13" s="1485"/>
      <c r="AN13" s="1485"/>
    </row>
    <row r="14" spans="1:45" ht="46.5" x14ac:dyDescent="0.35">
      <c r="A14" s="296" t="s">
        <v>563</v>
      </c>
      <c r="B14" s="963" t="s">
        <v>1177</v>
      </c>
      <c r="C14" s="1489">
        <v>0.04</v>
      </c>
      <c r="D14" s="1489">
        <v>0.04</v>
      </c>
      <c r="E14" s="1489">
        <v>1.7000000000000001E-2</v>
      </c>
      <c r="F14" s="1489">
        <v>1.7000000000000001E-2</v>
      </c>
      <c r="G14" s="1489">
        <v>1.7000000000000001E-2</v>
      </c>
      <c r="H14" s="1489">
        <v>1.7000000000000001E-2</v>
      </c>
      <c r="I14" s="1489">
        <v>1.7000000000000001E-2</v>
      </c>
      <c r="J14" s="1489">
        <v>1.7000000000000001E-2</v>
      </c>
      <c r="K14" s="1489">
        <v>1.7000000000000001E-2</v>
      </c>
      <c r="L14" s="1489">
        <v>1.7000000000000001E-2</v>
      </c>
      <c r="M14" s="1489">
        <v>1.7000000000000001E-2</v>
      </c>
      <c r="N14" s="1489">
        <v>1.7000000000000001E-2</v>
      </c>
      <c r="O14" s="313">
        <f>SUM(C14:N14)</f>
        <v>0.25000000000000011</v>
      </c>
      <c r="P14" s="1487"/>
      <c r="Q14" s="1487"/>
      <c r="R14" s="1487"/>
      <c r="S14" s="1487"/>
      <c r="T14" s="1487"/>
      <c r="U14" s="1487"/>
      <c r="V14" s="1487"/>
      <c r="W14" s="1487"/>
      <c r="X14" s="1487"/>
      <c r="Y14" s="1487"/>
      <c r="Z14" s="1487"/>
      <c r="AA14" s="1487"/>
      <c r="AC14" s="1485"/>
      <c r="AD14" s="1485"/>
      <c r="AE14" s="1485"/>
      <c r="AF14" s="1485"/>
      <c r="AG14" s="1485"/>
      <c r="AH14" s="1485"/>
      <c r="AI14" s="1485"/>
      <c r="AJ14" s="1485"/>
      <c r="AK14" s="1485"/>
      <c r="AL14" s="1485"/>
      <c r="AM14" s="1485"/>
      <c r="AN14" s="1485"/>
    </row>
  </sheetData>
  <mergeCells count="1">
    <mergeCell ref="A1:O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zoomScale="60" zoomScaleNormal="70" workbookViewId="0">
      <selection activeCell="M9" sqref="M9:P10"/>
    </sheetView>
  </sheetViews>
  <sheetFormatPr defaultColWidth="8.6328125" defaultRowHeight="14" x14ac:dyDescent="0.3"/>
  <cols>
    <col min="1" max="1" width="8.6328125" style="36"/>
    <col min="2" max="2" width="52.6328125" style="36" customWidth="1"/>
    <col min="3" max="3" width="11.453125" style="36" customWidth="1"/>
    <col min="4" max="7" width="11.453125" style="286"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25" customWidth="1"/>
    <col min="26" max="26" width="11.1796875" style="36" customWidth="1"/>
    <col min="27" max="32" width="9.6328125" style="36" customWidth="1"/>
    <col min="33" max="36" width="8.6328125" style="36" bestFit="1" customWidth="1"/>
    <col min="37" max="16384" width="8.6328125" style="36"/>
  </cols>
  <sheetData>
    <row r="1" spans="2:30" s="286" customFormat="1" x14ac:dyDescent="0.3">
      <c r="B1" s="1333" t="s">
        <v>594</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30" ht="14" customHeight="1" x14ac:dyDescent="0.3">
      <c r="B2" s="1334" t="s">
        <v>1134</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30"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30"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30" x14ac:dyDescent="0.3">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row>
    <row r="6" spans="2:30" ht="38.5" customHeight="1" x14ac:dyDescent="0.3">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row>
    <row r="7" spans="2:30" x14ac:dyDescent="0.3">
      <c r="B7" s="50"/>
      <c r="C7" s="50"/>
      <c r="D7" s="247"/>
      <c r="E7" s="247"/>
      <c r="F7" s="247"/>
      <c r="G7" s="247"/>
      <c r="H7" s="51"/>
      <c r="I7" s="51"/>
      <c r="J7" s="51"/>
      <c r="K7" s="51"/>
      <c r="L7" s="51"/>
      <c r="M7" s="51"/>
      <c r="N7" s="51"/>
      <c r="O7" s="51"/>
      <c r="P7" s="51"/>
      <c r="Q7" s="51"/>
      <c r="R7" s="51"/>
      <c r="S7" s="51"/>
      <c r="T7" s="51"/>
      <c r="U7" s="51"/>
      <c r="V7" s="226"/>
      <c r="W7" s="226"/>
      <c r="X7" s="226"/>
      <c r="Y7" s="226"/>
    </row>
    <row r="8" spans="2:30" ht="14.5" customHeight="1" x14ac:dyDescent="0.3">
      <c r="B8" s="1338" t="s">
        <v>260</v>
      </c>
      <c r="C8" s="1339"/>
      <c r="D8" s="1346" t="s">
        <v>261</v>
      </c>
      <c r="E8" s="1347"/>
      <c r="F8" s="1347"/>
      <c r="G8" s="1347"/>
      <c r="H8" s="1347"/>
      <c r="I8" s="1347"/>
      <c r="J8" s="1347"/>
      <c r="K8" s="1347"/>
      <c r="L8" s="1347"/>
      <c r="M8" s="1347"/>
      <c r="N8" s="1347"/>
      <c r="O8" s="1348"/>
      <c r="P8" s="1349" t="s">
        <v>143</v>
      </c>
      <c r="Q8" s="1350"/>
      <c r="R8" s="1350"/>
      <c r="S8" s="1350"/>
      <c r="T8" s="1350"/>
      <c r="U8" s="1350"/>
      <c r="V8" s="1350"/>
      <c r="W8" s="1350"/>
      <c r="X8" s="1350"/>
      <c r="Y8" s="1350"/>
      <c r="Z8" s="1350"/>
      <c r="AA8" s="1350"/>
      <c r="AB8" s="1350"/>
      <c r="AC8" s="1351"/>
    </row>
    <row r="9" spans="2:30" ht="12.5" customHeight="1" x14ac:dyDescent="0.3">
      <c r="B9" s="1340"/>
      <c r="C9" s="1341"/>
      <c r="D9" s="736">
        <v>2018</v>
      </c>
      <c r="E9" s="1335">
        <v>2019</v>
      </c>
      <c r="F9" s="1336"/>
      <c r="G9" s="1336"/>
      <c r="H9" s="1337"/>
      <c r="I9" s="1336">
        <v>2020</v>
      </c>
      <c r="J9" s="1342"/>
      <c r="K9" s="1342"/>
      <c r="L9" s="1342"/>
      <c r="M9" s="1335">
        <v>2021</v>
      </c>
      <c r="N9" s="1336"/>
      <c r="O9" s="1337"/>
      <c r="P9" s="1198"/>
      <c r="Q9" s="1343">
        <v>2022</v>
      </c>
      <c r="R9" s="1344"/>
      <c r="S9" s="1344"/>
      <c r="T9" s="1344"/>
      <c r="U9" s="1343">
        <v>2023</v>
      </c>
      <c r="V9" s="1344"/>
      <c r="W9" s="1344"/>
      <c r="X9" s="1345"/>
      <c r="Y9" s="1343">
        <v>2024</v>
      </c>
      <c r="Z9" s="1344"/>
      <c r="AA9" s="1344"/>
      <c r="AB9" s="1344"/>
      <c r="AC9" s="439">
        <v>2025</v>
      </c>
    </row>
    <row r="10" spans="2:30" ht="14.5" customHeight="1" x14ac:dyDescent="0.3">
      <c r="B10" s="1340"/>
      <c r="C10" s="1341"/>
      <c r="D10" s="211" t="s">
        <v>138</v>
      </c>
      <c r="E10" s="211" t="s">
        <v>135</v>
      </c>
      <c r="F10" s="189" t="s">
        <v>136</v>
      </c>
      <c r="G10" s="189" t="s">
        <v>137</v>
      </c>
      <c r="H10" s="197" t="s">
        <v>138</v>
      </c>
      <c r="I10" s="190" t="s">
        <v>135</v>
      </c>
      <c r="J10" s="190" t="s">
        <v>136</v>
      </c>
      <c r="K10" s="190" t="s">
        <v>137</v>
      </c>
      <c r="L10" s="190" t="s">
        <v>138</v>
      </c>
      <c r="M10" s="39" t="s">
        <v>135</v>
      </c>
      <c r="N10" s="40" t="s">
        <v>136</v>
      </c>
      <c r="O10" s="41" t="s">
        <v>137</v>
      </c>
      <c r="P10" s="66" t="s">
        <v>138</v>
      </c>
      <c r="Q10" s="63" t="s">
        <v>135</v>
      </c>
      <c r="R10" s="64" t="s">
        <v>136</v>
      </c>
      <c r="S10" s="64" t="s">
        <v>137</v>
      </c>
      <c r="T10" s="64" t="s">
        <v>138</v>
      </c>
      <c r="U10" s="63" t="s">
        <v>135</v>
      </c>
      <c r="V10" s="64" t="s">
        <v>136</v>
      </c>
      <c r="W10" s="64" t="s">
        <v>137</v>
      </c>
      <c r="X10" s="65" t="s">
        <v>138</v>
      </c>
      <c r="Y10" s="63" t="s">
        <v>135</v>
      </c>
      <c r="Z10" s="634" t="s">
        <v>136</v>
      </c>
      <c r="AA10" s="64" t="s">
        <v>137</v>
      </c>
      <c r="AB10" s="64" t="s">
        <v>138</v>
      </c>
      <c r="AC10" s="66" t="s">
        <v>135</v>
      </c>
    </row>
    <row r="11" spans="2:30" x14ac:dyDescent="0.3">
      <c r="B11" s="469" t="s">
        <v>262</v>
      </c>
      <c r="C11" s="470" t="s">
        <v>193</v>
      </c>
      <c r="D11" s="816">
        <f>'Haver Pivoted'!GO14</f>
        <v>27.1</v>
      </c>
      <c r="E11" s="1084">
        <f>'Haver Pivoted'!GP14</f>
        <v>28.4</v>
      </c>
      <c r="F11" s="1084">
        <f>'Haver Pivoted'!GQ14</f>
        <v>27.8</v>
      </c>
      <c r="G11" s="1084">
        <f>'Haver Pivoted'!GR14</f>
        <v>27.4</v>
      </c>
      <c r="H11" s="1084">
        <f>'Haver Pivoted'!GS14</f>
        <v>26.8</v>
      </c>
      <c r="I11" s="1084">
        <f>'Haver Pivoted'!GT14</f>
        <v>39.5</v>
      </c>
      <c r="J11" s="1084">
        <f>'Haver Pivoted'!GU14</f>
        <v>1039.4000000000001</v>
      </c>
      <c r="K11" s="1084">
        <f>'Haver Pivoted'!GV14</f>
        <v>767.8</v>
      </c>
      <c r="L11" s="1084">
        <f>'Haver Pivoted'!GW14</f>
        <v>299.89999999999998</v>
      </c>
      <c r="M11" s="1177">
        <f>'Haver Pivoted'!GX14</f>
        <v>565.79999999999995</v>
      </c>
      <c r="N11" s="1177">
        <f>'Haver Pivoted'!GY14</f>
        <v>480.4</v>
      </c>
      <c r="O11" s="1191">
        <f>'Haver Pivoted'!GZ14</f>
        <v>0</v>
      </c>
      <c r="P11" s="817">
        <f>P12+P13+P20</f>
        <v>0</v>
      </c>
      <c r="Q11" s="817">
        <f t="shared" ref="Q11:AC11" si="0">Q12+Q13+Q20</f>
        <v>0</v>
      </c>
      <c r="R11" s="817">
        <f t="shared" si="0"/>
        <v>0</v>
      </c>
      <c r="S11" s="817">
        <f t="shared" si="0"/>
        <v>0</v>
      </c>
      <c r="T11" s="817">
        <f t="shared" si="0"/>
        <v>0</v>
      </c>
      <c r="U11" s="817">
        <f t="shared" si="0"/>
        <v>0</v>
      </c>
      <c r="V11" s="817">
        <f t="shared" si="0"/>
        <v>0</v>
      </c>
      <c r="W11" s="817">
        <f t="shared" si="0"/>
        <v>0</v>
      </c>
      <c r="X11" s="817">
        <f t="shared" si="0"/>
        <v>0</v>
      </c>
      <c r="Y11" s="817">
        <f t="shared" si="0"/>
        <v>0</v>
      </c>
      <c r="Z11" s="817">
        <f t="shared" si="0"/>
        <v>0</v>
      </c>
      <c r="AA11" s="817">
        <f t="shared" si="0"/>
        <v>0</v>
      </c>
      <c r="AB11" s="817">
        <f t="shared" si="0"/>
        <v>0</v>
      </c>
      <c r="AC11" s="892">
        <f t="shared" si="0"/>
        <v>0</v>
      </c>
      <c r="AD11" s="36" t="s">
        <v>263</v>
      </c>
    </row>
    <row r="12" spans="2:30" s="115" customFormat="1" x14ac:dyDescent="0.3">
      <c r="B12" s="460" t="s">
        <v>264</v>
      </c>
      <c r="C12" s="461" t="s">
        <v>194</v>
      </c>
      <c r="D12" s="1176">
        <f>'Haver Pivoted'!GO63</f>
        <v>0</v>
      </c>
      <c r="E12" s="1177">
        <f>'Haver Pivoted'!GP63</f>
        <v>0</v>
      </c>
      <c r="F12" s="1177">
        <f>'Haver Pivoted'!GQ63</f>
        <v>0</v>
      </c>
      <c r="G12" s="1177">
        <f>'Haver Pivoted'!GR63</f>
        <v>0</v>
      </c>
      <c r="H12" s="1177">
        <f>'Haver Pivoted'!GS63</f>
        <v>0</v>
      </c>
      <c r="I12" s="1177">
        <f>'Haver Pivoted'!GT63</f>
        <v>0</v>
      </c>
      <c r="J12" s="1177">
        <f>'Haver Pivoted'!GU63</f>
        <v>0.1</v>
      </c>
      <c r="K12" s="1177">
        <f>'Haver Pivoted'!GV63</f>
        <v>3.7</v>
      </c>
      <c r="L12" s="1177">
        <f>'Haver Pivoted'!GW63</f>
        <v>12.9</v>
      </c>
      <c r="M12" s="1177">
        <f>'Haver Pivoted'!GX63</f>
        <v>25</v>
      </c>
      <c r="N12" s="1177">
        <f>'Haver Pivoted'!GY63</f>
        <v>5.8</v>
      </c>
      <c r="O12" s="1191">
        <f>'Haver Pivoted'!GZ63</f>
        <v>0</v>
      </c>
      <c r="P12" s="533">
        <v>0</v>
      </c>
      <c r="Q12" s="533">
        <f>MAX(P12*(Q22-5)/(P22-5),0)</f>
        <v>0</v>
      </c>
      <c r="R12" s="533">
        <f>MAX(Q12*(R22-5)/(Q22-5),0)</f>
        <v>0</v>
      </c>
      <c r="S12" s="533">
        <f>MAX(R12*(S22-5)/(R22-5),0)</f>
        <v>0</v>
      </c>
      <c r="T12" s="533">
        <f>MAX(S12*(T22-5)/(S22-5),0)</f>
        <v>0</v>
      </c>
      <c r="U12" s="533">
        <f t="shared" ref="U12:AC12" si="1">T12*U22/T22</f>
        <v>0</v>
      </c>
      <c r="V12" s="533">
        <f t="shared" si="1"/>
        <v>0</v>
      </c>
      <c r="W12" s="533">
        <f t="shared" si="1"/>
        <v>0</v>
      </c>
      <c r="X12" s="533">
        <f t="shared" si="1"/>
        <v>0</v>
      </c>
      <c r="Y12" s="533">
        <f t="shared" si="1"/>
        <v>0</v>
      </c>
      <c r="Z12" s="533">
        <f t="shared" si="1"/>
        <v>0</v>
      </c>
      <c r="AA12" s="533">
        <f t="shared" si="1"/>
        <v>0</v>
      </c>
      <c r="AB12" s="533">
        <f t="shared" si="1"/>
        <v>0</v>
      </c>
      <c r="AC12" s="534">
        <f t="shared" si="1"/>
        <v>0</v>
      </c>
    </row>
    <row r="13" spans="2:30" x14ac:dyDescent="0.3">
      <c r="B13" s="460" t="s">
        <v>265</v>
      </c>
      <c r="C13" s="461"/>
      <c r="D13" s="1176"/>
      <c r="E13" s="1177"/>
      <c r="F13" s="1177"/>
      <c r="G13" s="1177"/>
      <c r="H13" s="72">
        <f>SUM(H14:H17)</f>
        <v>0</v>
      </c>
      <c r="I13" s="72">
        <f t="shared" ref="I13:M13" si="2">SUM(I14:I17)</f>
        <v>0</v>
      </c>
      <c r="J13" s="72">
        <f t="shared" si="2"/>
        <v>779.7</v>
      </c>
      <c r="K13" s="72">
        <f t="shared" si="2"/>
        <v>582.6</v>
      </c>
      <c r="L13" s="72">
        <f t="shared" si="2"/>
        <v>216.5</v>
      </c>
      <c r="M13" s="72">
        <f t="shared" si="2"/>
        <v>505</v>
      </c>
      <c r="N13" s="376">
        <f>SUM(N14:N17)</f>
        <v>429.59999999999997</v>
      </c>
      <c r="O13" s="1192">
        <f t="shared" ref="O13:AC13" si="3">SUM(O14:O17)</f>
        <v>0</v>
      </c>
      <c r="P13" s="533">
        <f t="shared" si="3"/>
        <v>0</v>
      </c>
      <c r="Q13" s="533">
        <f t="shared" si="3"/>
        <v>0</v>
      </c>
      <c r="R13" s="533">
        <f t="shared" si="3"/>
        <v>0</v>
      </c>
      <c r="S13" s="533">
        <f t="shared" si="3"/>
        <v>0</v>
      </c>
      <c r="T13" s="533">
        <f t="shared" si="3"/>
        <v>0</v>
      </c>
      <c r="U13" s="533">
        <f t="shared" si="3"/>
        <v>0</v>
      </c>
      <c r="V13" s="533">
        <f t="shared" si="3"/>
        <v>0</v>
      </c>
      <c r="W13" s="533">
        <f t="shared" si="3"/>
        <v>0</v>
      </c>
      <c r="X13" s="533">
        <f t="shared" si="3"/>
        <v>0</v>
      </c>
      <c r="Y13" s="533">
        <f t="shared" si="3"/>
        <v>0</v>
      </c>
      <c r="Z13" s="533">
        <f t="shared" si="3"/>
        <v>0</v>
      </c>
      <c r="AA13" s="533">
        <f t="shared" si="3"/>
        <v>0</v>
      </c>
      <c r="AB13" s="533">
        <f t="shared" si="3"/>
        <v>0</v>
      </c>
      <c r="AC13" s="534">
        <f t="shared" si="3"/>
        <v>0</v>
      </c>
    </row>
    <row r="14" spans="2:30" s="115" customFormat="1" ht="18" customHeight="1" x14ac:dyDescent="0.3">
      <c r="B14" s="462" t="s">
        <v>266</v>
      </c>
      <c r="C14" s="463" t="s">
        <v>194</v>
      </c>
      <c r="D14" s="156">
        <f>'Haver Pivoted'!GO63</f>
        <v>0</v>
      </c>
      <c r="E14" s="171">
        <f>'Haver Pivoted'!GP63</f>
        <v>0</v>
      </c>
      <c r="F14" s="171">
        <f>'Haver Pivoted'!GQ63</f>
        <v>0</v>
      </c>
      <c r="G14" s="171">
        <f>'Haver Pivoted'!GR63</f>
        <v>0</v>
      </c>
      <c r="H14" s="171">
        <f>'Haver Pivoted'!GS63</f>
        <v>0</v>
      </c>
      <c r="I14" s="171">
        <f>'Haver Pivoted'!GT63</f>
        <v>0</v>
      </c>
      <c r="J14" s="171">
        <f>'Haver Pivoted'!GU63</f>
        <v>0.1</v>
      </c>
      <c r="K14" s="171">
        <f>'Haver Pivoted'!GV63</f>
        <v>3.7</v>
      </c>
      <c r="L14" s="171">
        <f>'Haver Pivoted'!GW63</f>
        <v>12.9</v>
      </c>
      <c r="M14" s="171">
        <f>'Haver Pivoted'!GX63</f>
        <v>25</v>
      </c>
      <c r="N14" s="171">
        <f>'Haver Pivoted'!GY63</f>
        <v>5.8</v>
      </c>
      <c r="O14" s="1193">
        <f>'Haver Pivoted'!GZ63</f>
        <v>0</v>
      </c>
      <c r="P14" s="535">
        <f t="shared" ref="P14:X14" si="4">P12</f>
        <v>0</v>
      </c>
      <c r="Q14" s="535">
        <f t="shared" si="4"/>
        <v>0</v>
      </c>
      <c r="R14" s="535">
        <f t="shared" si="4"/>
        <v>0</v>
      </c>
      <c r="S14" s="535">
        <f t="shared" si="4"/>
        <v>0</v>
      </c>
      <c r="T14" s="535">
        <f t="shared" si="4"/>
        <v>0</v>
      </c>
      <c r="U14" s="535">
        <f t="shared" si="4"/>
        <v>0</v>
      </c>
      <c r="V14" s="535">
        <f t="shared" si="4"/>
        <v>0</v>
      </c>
      <c r="W14" s="535">
        <f t="shared" si="4"/>
        <v>0</v>
      </c>
      <c r="X14" s="535">
        <f t="shared" si="4"/>
        <v>0</v>
      </c>
      <c r="Y14" s="535">
        <f>Y12</f>
        <v>0</v>
      </c>
      <c r="Z14" s="535">
        <f t="shared" ref="Z14:AC14" si="5">Z12</f>
        <v>0</v>
      </c>
      <c r="AA14" s="535">
        <f t="shared" si="5"/>
        <v>0</v>
      </c>
      <c r="AB14" s="535">
        <f t="shared" si="5"/>
        <v>0</v>
      </c>
      <c r="AC14" s="893">
        <f t="shared" si="5"/>
        <v>0</v>
      </c>
    </row>
    <row r="15" spans="2:30" ht="18" customHeight="1" x14ac:dyDescent="0.3">
      <c r="B15" s="471" t="s">
        <v>267</v>
      </c>
      <c r="C15" s="472" t="s">
        <v>195</v>
      </c>
      <c r="D15" s="476">
        <f>'Haver Pivoted'!GO59</f>
        <v>0</v>
      </c>
      <c r="E15" s="477">
        <f>'Haver Pivoted'!GP59</f>
        <v>0</v>
      </c>
      <c r="F15" s="477">
        <f>'Haver Pivoted'!GQ59</f>
        <v>0</v>
      </c>
      <c r="G15" s="477">
        <f>'Haver Pivoted'!GR59</f>
        <v>0</v>
      </c>
      <c r="H15" s="477">
        <f>'Haver Pivoted'!GS59</f>
        <v>0</v>
      </c>
      <c r="I15" s="477">
        <f>'Haver Pivoted'!GT59</f>
        <v>0</v>
      </c>
      <c r="J15" s="477">
        <f>'Haver Pivoted'!GU59</f>
        <v>6.3</v>
      </c>
      <c r="K15" s="477">
        <f>'Haver Pivoted'!GV59</f>
        <v>26.7</v>
      </c>
      <c r="L15" s="477">
        <f>'Haver Pivoted'!GW59</f>
        <v>82.1</v>
      </c>
      <c r="M15" s="477">
        <f>'Haver Pivoted'!GX59</f>
        <v>97.8</v>
      </c>
      <c r="N15" s="477">
        <f>'Haver Pivoted'!GY59</f>
        <v>104.5</v>
      </c>
      <c r="O15" s="1194">
        <f>'Haver Pivoted'!GZ59</f>
        <v>0</v>
      </c>
      <c r="P15" s="535">
        <v>0</v>
      </c>
      <c r="Q15" s="535">
        <f t="shared" ref="Q15:AC15" si="6">P15*Q$22/P$22</f>
        <v>0</v>
      </c>
      <c r="R15" s="535">
        <f t="shared" si="6"/>
        <v>0</v>
      </c>
      <c r="S15" s="535">
        <f t="shared" si="6"/>
        <v>0</v>
      </c>
      <c r="T15" s="535">
        <f t="shared" si="6"/>
        <v>0</v>
      </c>
      <c r="U15" s="535">
        <f t="shared" si="6"/>
        <v>0</v>
      </c>
      <c r="V15" s="535">
        <f t="shared" si="6"/>
        <v>0</v>
      </c>
      <c r="W15" s="535">
        <f t="shared" si="6"/>
        <v>0</v>
      </c>
      <c r="X15" s="535">
        <f t="shared" si="6"/>
        <v>0</v>
      </c>
      <c r="Y15" s="535">
        <f t="shared" si="6"/>
        <v>0</v>
      </c>
      <c r="Z15" s="535">
        <f t="shared" si="6"/>
        <v>0</v>
      </c>
      <c r="AA15" s="535">
        <f t="shared" si="6"/>
        <v>0</v>
      </c>
      <c r="AB15" s="535">
        <f t="shared" si="6"/>
        <v>0</v>
      </c>
      <c r="AC15" s="893">
        <f t="shared" si="6"/>
        <v>0</v>
      </c>
    </row>
    <row r="16" spans="2:30" ht="18" customHeight="1" x14ac:dyDescent="0.3">
      <c r="B16" s="471" t="s">
        <v>268</v>
      </c>
      <c r="C16" s="472" t="s">
        <v>196</v>
      </c>
      <c r="D16" s="476">
        <f>'Haver Pivoted'!GO60</f>
        <v>0</v>
      </c>
      <c r="E16" s="477">
        <f>'Haver Pivoted'!GP60</f>
        <v>0</v>
      </c>
      <c r="F16" s="477">
        <f>'Haver Pivoted'!GQ60</f>
        <v>0</v>
      </c>
      <c r="G16" s="477">
        <f>'Haver Pivoted'!GR60</f>
        <v>0</v>
      </c>
      <c r="H16" s="477">
        <f>'Haver Pivoted'!GS60</f>
        <v>0</v>
      </c>
      <c r="I16" s="477">
        <f>'Haver Pivoted'!GT60</f>
        <v>0</v>
      </c>
      <c r="J16" s="477">
        <f>'Haver Pivoted'!GU60</f>
        <v>74.400000000000006</v>
      </c>
      <c r="K16" s="477">
        <f>'Haver Pivoted'!GV60</f>
        <v>138.30000000000001</v>
      </c>
      <c r="L16" s="477">
        <f>'Haver Pivoted'!GW60</f>
        <v>106.8</v>
      </c>
      <c r="M16" s="477">
        <f>'Haver Pivoted'!GX60</f>
        <v>95.3</v>
      </c>
      <c r="N16" s="477">
        <f>'Haver Pivoted'!GY60</f>
        <v>82.1</v>
      </c>
      <c r="O16" s="1194">
        <f>'Haver Pivoted'!GZ60</f>
        <v>0</v>
      </c>
      <c r="P16" s="535">
        <v>0</v>
      </c>
      <c r="Q16" s="535">
        <f t="shared" ref="Q16:AC16" si="7">P16*Q$22/P$22</f>
        <v>0</v>
      </c>
      <c r="R16" s="535">
        <f t="shared" si="7"/>
        <v>0</v>
      </c>
      <c r="S16" s="535">
        <f t="shared" si="7"/>
        <v>0</v>
      </c>
      <c r="T16" s="535">
        <f t="shared" si="7"/>
        <v>0</v>
      </c>
      <c r="U16" s="535">
        <f t="shared" si="7"/>
        <v>0</v>
      </c>
      <c r="V16" s="535">
        <f t="shared" si="7"/>
        <v>0</v>
      </c>
      <c r="W16" s="535">
        <f t="shared" si="7"/>
        <v>0</v>
      </c>
      <c r="X16" s="535">
        <f t="shared" si="7"/>
        <v>0</v>
      </c>
      <c r="Y16" s="535">
        <f t="shared" si="7"/>
        <v>0</v>
      </c>
      <c r="Z16" s="535">
        <f t="shared" si="7"/>
        <v>0</v>
      </c>
      <c r="AA16" s="535">
        <f t="shared" si="7"/>
        <v>0</v>
      </c>
      <c r="AB16" s="535">
        <f t="shared" si="7"/>
        <v>0</v>
      </c>
      <c r="AC16" s="893">
        <f t="shared" si="7"/>
        <v>0</v>
      </c>
    </row>
    <row r="17" spans="2:30" ht="18" customHeight="1" x14ac:dyDescent="0.3">
      <c r="B17" s="471" t="s">
        <v>269</v>
      </c>
      <c r="C17" s="472" t="s">
        <v>197</v>
      </c>
      <c r="D17" s="476">
        <f>'Haver Pivoted'!GO61</f>
        <v>0</v>
      </c>
      <c r="E17" s="477">
        <f>'Haver Pivoted'!GP61</f>
        <v>0</v>
      </c>
      <c r="F17" s="477">
        <f>'Haver Pivoted'!GQ61</f>
        <v>0</v>
      </c>
      <c r="G17" s="477">
        <f>'Haver Pivoted'!GR61</f>
        <v>0</v>
      </c>
      <c r="H17" s="477">
        <f>'Haver Pivoted'!GS61</f>
        <v>0</v>
      </c>
      <c r="I17" s="477">
        <f>'Haver Pivoted'!GT61</f>
        <v>0</v>
      </c>
      <c r="J17" s="477">
        <f>'Haver Pivoted'!GU61</f>
        <v>698.9</v>
      </c>
      <c r="K17" s="477">
        <f>'Haver Pivoted'!GV61</f>
        <v>413.9</v>
      </c>
      <c r="L17" s="477">
        <f>'Haver Pivoted'!GW61</f>
        <v>14.7</v>
      </c>
      <c r="M17" s="477">
        <f>'Haver Pivoted'!GX61</f>
        <v>286.89999999999998</v>
      </c>
      <c r="N17" s="477">
        <f>'Haver Pivoted'!GY61</f>
        <v>237.2</v>
      </c>
      <c r="O17" s="1194">
        <f>'Haver Pivoted'!GZ61</f>
        <v>0</v>
      </c>
      <c r="P17" s="535">
        <v>0</v>
      </c>
      <c r="Q17" s="535">
        <f t="shared" ref="Q17:AC17" si="8">P17*Q$22/P$22</f>
        <v>0</v>
      </c>
      <c r="R17" s="535">
        <f t="shared" si="8"/>
        <v>0</v>
      </c>
      <c r="S17" s="535">
        <f t="shared" si="8"/>
        <v>0</v>
      </c>
      <c r="T17" s="535">
        <f t="shared" si="8"/>
        <v>0</v>
      </c>
      <c r="U17" s="535">
        <f t="shared" si="8"/>
        <v>0</v>
      </c>
      <c r="V17" s="535">
        <f t="shared" si="8"/>
        <v>0</v>
      </c>
      <c r="W17" s="535">
        <f t="shared" si="8"/>
        <v>0</v>
      </c>
      <c r="X17" s="535">
        <f t="shared" si="8"/>
        <v>0</v>
      </c>
      <c r="Y17" s="535">
        <f t="shared" si="8"/>
        <v>0</v>
      </c>
      <c r="Z17" s="535">
        <f t="shared" si="8"/>
        <v>0</v>
      </c>
      <c r="AA17" s="535">
        <f t="shared" si="8"/>
        <v>0</v>
      </c>
      <c r="AB17" s="535">
        <f t="shared" si="8"/>
        <v>0</v>
      </c>
      <c r="AC17" s="893">
        <f t="shared" si="8"/>
        <v>0</v>
      </c>
    </row>
    <row r="18" spans="2:30" s="115" customFormat="1" x14ac:dyDescent="0.3">
      <c r="B18" s="243" t="s">
        <v>270</v>
      </c>
      <c r="C18" s="115" t="s">
        <v>198</v>
      </c>
      <c r="D18" s="1176">
        <f>'Haver Pivoted'!GO64</f>
        <v>0</v>
      </c>
      <c r="E18" s="1177">
        <f>'Haver Pivoted'!GP64</f>
        <v>0</v>
      </c>
      <c r="F18" s="1177">
        <f>'Haver Pivoted'!GQ64</f>
        <v>0</v>
      </c>
      <c r="G18" s="1177">
        <f>'Haver Pivoted'!GR64</f>
        <v>0</v>
      </c>
      <c r="H18" s="1177">
        <f>'Haver Pivoted'!GS64</f>
        <v>0</v>
      </c>
      <c r="I18" s="1177">
        <f>'Haver Pivoted'!GT64</f>
        <v>0</v>
      </c>
      <c r="J18" s="1177">
        <f>'Haver Pivoted'!GU64</f>
        <v>0</v>
      </c>
      <c r="K18" s="1177">
        <f>'Haver Pivoted'!GV64</f>
        <v>106.2</v>
      </c>
      <c r="L18" s="1177">
        <f>'Haver Pivoted'!GW64</f>
        <v>35.9</v>
      </c>
      <c r="M18" s="1177">
        <f>'Haver Pivoted'!GX64</f>
        <v>1.6</v>
      </c>
      <c r="N18" s="1177">
        <f>'Haver Pivoted'!GY64</f>
        <v>0.6</v>
      </c>
      <c r="O18" s="1191">
        <f>'Haver Pivoted'!GZ64</f>
        <v>0</v>
      </c>
      <c r="P18" s="533"/>
      <c r="Q18" s="533"/>
      <c r="R18" s="533"/>
      <c r="S18" s="533"/>
      <c r="T18" s="533"/>
      <c r="U18" s="533"/>
      <c r="V18" s="533"/>
      <c r="W18" s="533"/>
      <c r="X18" s="533"/>
      <c r="Y18" s="533"/>
      <c r="Z18" s="533"/>
      <c r="AA18" s="533"/>
      <c r="AB18" s="533"/>
      <c r="AC18" s="534"/>
    </row>
    <row r="19" spans="2:30" ht="14.5" x14ac:dyDescent="0.35">
      <c r="B19" s="310" t="s">
        <v>506</v>
      </c>
      <c r="C19" s="473"/>
      <c r="D19" s="475">
        <f t="shared" ref="D19:O19" si="9">D11-D20</f>
        <v>0</v>
      </c>
      <c r="E19" s="474">
        <f t="shared" si="9"/>
        <v>0</v>
      </c>
      <c r="F19" s="474">
        <f t="shared" si="9"/>
        <v>0</v>
      </c>
      <c r="G19" s="474">
        <f t="shared" si="9"/>
        <v>0</v>
      </c>
      <c r="H19" s="474">
        <f t="shared" si="9"/>
        <v>0</v>
      </c>
      <c r="I19" s="474">
        <f t="shared" si="9"/>
        <v>0</v>
      </c>
      <c r="J19" s="474">
        <f t="shared" si="9"/>
        <v>779.80000000000007</v>
      </c>
      <c r="K19" s="474">
        <f t="shared" si="9"/>
        <v>586.29999999999995</v>
      </c>
      <c r="L19" s="474">
        <f t="shared" si="9"/>
        <v>229.4</v>
      </c>
      <c r="M19" s="474">
        <f t="shared" si="9"/>
        <v>530</v>
      </c>
      <c r="N19" s="78">
        <f t="shared" si="9"/>
        <v>435.4</v>
      </c>
      <c r="O19" s="1195">
        <f t="shared" si="9"/>
        <v>0</v>
      </c>
      <c r="P19" s="535">
        <f t="shared" ref="P19:Y19" si="10">P11-P20</f>
        <v>0</v>
      </c>
      <c r="Q19" s="535">
        <f t="shared" si="10"/>
        <v>0</v>
      </c>
      <c r="R19" s="535">
        <f t="shared" si="10"/>
        <v>0</v>
      </c>
      <c r="S19" s="535">
        <f t="shared" si="10"/>
        <v>0</v>
      </c>
      <c r="T19" s="535">
        <f t="shared" si="10"/>
        <v>0</v>
      </c>
      <c r="U19" s="535">
        <f t="shared" si="10"/>
        <v>0</v>
      </c>
      <c r="V19" s="535">
        <f t="shared" si="10"/>
        <v>0</v>
      </c>
      <c r="W19" s="535">
        <f t="shared" si="10"/>
        <v>0</v>
      </c>
      <c r="X19" s="535">
        <f t="shared" si="10"/>
        <v>0</v>
      </c>
      <c r="Y19" s="535">
        <f t="shared" si="10"/>
        <v>0</v>
      </c>
      <c r="Z19" s="535">
        <f t="shared" ref="Z19:AC19" si="11">Z11-Z20</f>
        <v>0</v>
      </c>
      <c r="AA19" s="535">
        <f t="shared" si="11"/>
        <v>0</v>
      </c>
      <c r="AB19" s="535">
        <f t="shared" si="11"/>
        <v>0</v>
      </c>
      <c r="AC19" s="893">
        <f t="shared" si="11"/>
        <v>0</v>
      </c>
    </row>
    <row r="20" spans="2:30" ht="14.5" x14ac:dyDescent="0.35">
      <c r="B20" s="310" t="s">
        <v>271</v>
      </c>
      <c r="C20" s="473"/>
      <c r="D20" s="475">
        <f t="shared" ref="D20:H20" si="12">D11</f>
        <v>27.1</v>
      </c>
      <c r="E20" s="474">
        <f t="shared" si="12"/>
        <v>28.4</v>
      </c>
      <c r="F20" s="474">
        <f t="shared" si="12"/>
        <v>27.8</v>
      </c>
      <c r="G20" s="474">
        <f t="shared" si="12"/>
        <v>27.4</v>
      </c>
      <c r="H20" s="474">
        <f t="shared" si="12"/>
        <v>26.8</v>
      </c>
      <c r="I20" s="474">
        <f>I11</f>
        <v>39.5</v>
      </c>
      <c r="J20" s="474">
        <f>J11-J13-J12</f>
        <v>259.60000000000002</v>
      </c>
      <c r="K20" s="474">
        <f>K11-K13-K12</f>
        <v>181.49999999999994</v>
      </c>
      <c r="L20" s="474">
        <f>L11-L13-L12</f>
        <v>70.499999999999972</v>
      </c>
      <c r="M20" s="474">
        <f>M11-M13-M12</f>
        <v>35.799999999999955</v>
      </c>
      <c r="N20" s="376">
        <f>N11-N12-N13</f>
        <v>45</v>
      </c>
      <c r="O20" s="1192">
        <f>O11-O12-O13</f>
        <v>0</v>
      </c>
      <c r="P20" s="533">
        <f t="shared" ref="P20:AC20" si="13">O20*P22/O22</f>
        <v>0</v>
      </c>
      <c r="Q20" s="533">
        <f t="shared" si="13"/>
        <v>0</v>
      </c>
      <c r="R20" s="533">
        <f t="shared" si="13"/>
        <v>0</v>
      </c>
      <c r="S20" s="533">
        <f t="shared" si="13"/>
        <v>0</v>
      </c>
      <c r="T20" s="533">
        <f t="shared" si="13"/>
        <v>0</v>
      </c>
      <c r="U20" s="533">
        <f t="shared" si="13"/>
        <v>0</v>
      </c>
      <c r="V20" s="533">
        <f t="shared" si="13"/>
        <v>0</v>
      </c>
      <c r="W20" s="533">
        <f t="shared" si="13"/>
        <v>0</v>
      </c>
      <c r="X20" s="533">
        <f t="shared" si="13"/>
        <v>0</v>
      </c>
      <c r="Y20" s="533">
        <f t="shared" si="13"/>
        <v>0</v>
      </c>
      <c r="Z20" s="533">
        <f t="shared" si="13"/>
        <v>0</v>
      </c>
      <c r="AA20" s="533">
        <f t="shared" si="13"/>
        <v>0</v>
      </c>
      <c r="AB20" s="533">
        <f t="shared" si="13"/>
        <v>0</v>
      </c>
      <c r="AC20" s="534">
        <f t="shared" si="13"/>
        <v>0</v>
      </c>
      <c r="AD20" s="36" t="s">
        <v>630</v>
      </c>
    </row>
    <row r="21" spans="2:30" x14ac:dyDescent="0.3">
      <c r="B21" s="243"/>
      <c r="C21" s="473"/>
      <c r="D21" s="156"/>
      <c r="E21" s="171"/>
      <c r="F21" s="171"/>
      <c r="G21" s="171"/>
      <c r="H21" s="474"/>
      <c r="I21" s="474"/>
      <c r="J21" s="474"/>
      <c r="K21" s="474"/>
      <c r="L21" s="474"/>
      <c r="M21" s="474"/>
      <c r="N21" s="72"/>
      <c r="O21" s="1196"/>
      <c r="P21" s="523"/>
      <c r="Q21" s="523"/>
      <c r="R21" s="523"/>
      <c r="S21" s="523"/>
      <c r="T21" s="523"/>
      <c r="U21" s="523"/>
      <c r="V21" s="523"/>
      <c r="W21" s="523"/>
      <c r="X21" s="523"/>
      <c r="Y21" s="523"/>
      <c r="Z21" s="523"/>
      <c r="AA21" s="523"/>
      <c r="AB21" s="523"/>
      <c r="AC21" s="525"/>
    </row>
    <row r="22" spans="2:30" x14ac:dyDescent="0.3">
      <c r="B22" s="178" t="s">
        <v>1133</v>
      </c>
      <c r="C22" s="209"/>
      <c r="D22" s="464"/>
      <c r="E22" s="465"/>
      <c r="F22" s="465"/>
      <c r="G22" s="465"/>
      <c r="H22" s="814"/>
      <c r="I22" s="815"/>
      <c r="J22" s="815"/>
      <c r="K22" s="815"/>
      <c r="L22" s="815"/>
      <c r="M22" s="815">
        <f>D27</f>
        <v>6.166666666666667</v>
      </c>
      <c r="N22" s="815">
        <f>D30</f>
        <v>5.7666666666666657</v>
      </c>
      <c r="O22" s="1197">
        <f>D33</f>
        <v>5.1333333333333337</v>
      </c>
      <c r="P22" s="528">
        <v>4.609</v>
      </c>
      <c r="Q22" s="528">
        <v>4.1040000000000001</v>
      </c>
      <c r="R22" s="528">
        <v>3.819</v>
      </c>
      <c r="S22" s="528">
        <v>3.6819999999999999</v>
      </c>
      <c r="T22" s="528">
        <v>3.637</v>
      </c>
      <c r="U22" s="528">
        <v>3.6619999999999999</v>
      </c>
      <c r="V22" s="528">
        <v>3.718</v>
      </c>
      <c r="W22" s="528">
        <v>3.7749999999999999</v>
      </c>
      <c r="X22" s="528">
        <v>3.835</v>
      </c>
      <c r="Y22" s="528">
        <v>3.91</v>
      </c>
      <c r="Z22" s="528">
        <v>3.972</v>
      </c>
      <c r="AA22" s="528">
        <v>4.0209999999999999</v>
      </c>
      <c r="AB22" s="528">
        <v>4.0819999999999999</v>
      </c>
      <c r="AC22" s="908">
        <v>4.141</v>
      </c>
      <c r="AD22" s="55" t="s">
        <v>1132</v>
      </c>
    </row>
    <row r="23" spans="2:30" s="286" customFormat="1" x14ac:dyDescent="0.3">
      <c r="M23" s="220"/>
      <c r="N23" s="220"/>
      <c r="O23" s="220"/>
      <c r="P23" s="220"/>
      <c r="Q23" s="220"/>
      <c r="R23" s="220"/>
      <c r="S23" s="220"/>
      <c r="T23" s="220"/>
      <c r="U23" s="220"/>
      <c r="V23" s="220"/>
      <c r="W23" s="220"/>
      <c r="X23" s="220"/>
      <c r="Y23" s="220"/>
      <c r="Z23" s="220"/>
      <c r="AA23" s="220"/>
      <c r="AB23" s="220"/>
      <c r="AC23" s="220"/>
    </row>
    <row r="24" spans="2:30" x14ac:dyDescent="0.3">
      <c r="AA24" s="42"/>
    </row>
    <row r="25" spans="2:30" s="286" customFormat="1" x14ac:dyDescent="0.3">
      <c r="O25" s="35"/>
      <c r="P25" s="35"/>
      <c r="Q25" s="35"/>
      <c r="R25" s="35"/>
      <c r="S25" s="35"/>
      <c r="T25" s="35"/>
    </row>
    <row r="26" spans="2:30" ht="30.5" customHeight="1" x14ac:dyDescent="0.3">
      <c r="B26" s="1146" t="s">
        <v>628</v>
      </c>
      <c r="C26" s="1147" t="s">
        <v>272</v>
      </c>
      <c r="D26" s="1148" t="s">
        <v>629</v>
      </c>
      <c r="E26" s="36"/>
      <c r="F26" s="36"/>
      <c r="G26" s="36"/>
      <c r="K26" s="35"/>
      <c r="L26" s="35"/>
      <c r="M26" s="35"/>
      <c r="N26" s="35"/>
      <c r="O26" s="35"/>
      <c r="P26" s="35"/>
      <c r="R26" s="225"/>
      <c r="S26" s="225"/>
      <c r="T26" s="225"/>
      <c r="U26" s="225"/>
      <c r="V26" s="36"/>
      <c r="W26" s="36"/>
      <c r="X26" s="36"/>
      <c r="Y26" s="36"/>
    </row>
    <row r="27" spans="2:30" x14ac:dyDescent="0.3">
      <c r="B27" s="1199">
        <v>44197</v>
      </c>
      <c r="C27" s="1149">
        <v>6.3</v>
      </c>
      <c r="D27" s="1200">
        <f>AVERAGE(C27:C29)</f>
        <v>6.166666666666667</v>
      </c>
      <c r="E27" s="36"/>
      <c r="F27" s="36"/>
      <c r="G27" s="36"/>
      <c r="R27" s="225"/>
      <c r="S27" s="225"/>
      <c r="T27" s="225"/>
      <c r="U27" s="225"/>
      <c r="V27" s="36"/>
      <c r="W27" s="36"/>
      <c r="X27" s="36"/>
      <c r="Y27" s="36"/>
    </row>
    <row r="28" spans="2:30" x14ac:dyDescent="0.3">
      <c r="B28" s="1145">
        <v>44228</v>
      </c>
      <c r="C28" s="37">
        <v>6.2</v>
      </c>
      <c r="D28" s="1150"/>
      <c r="E28" s="36"/>
      <c r="F28" s="36"/>
      <c r="G28" s="36"/>
      <c r="R28" s="225"/>
      <c r="S28" s="225"/>
      <c r="T28" s="225"/>
      <c r="U28" s="225"/>
      <c r="V28" s="36"/>
      <c r="W28" s="36"/>
      <c r="X28" s="36"/>
      <c r="Y28" s="36"/>
    </row>
    <row r="29" spans="2:30" x14ac:dyDescent="0.3">
      <c r="B29" s="1145">
        <v>44256</v>
      </c>
      <c r="C29" s="37">
        <v>6</v>
      </c>
      <c r="D29" s="1150"/>
      <c r="E29" s="36"/>
      <c r="F29" s="36"/>
      <c r="G29" s="36"/>
      <c r="R29" s="225"/>
      <c r="S29" s="225"/>
      <c r="T29" s="225"/>
      <c r="U29" s="225"/>
      <c r="V29" s="36"/>
      <c r="W29" s="36"/>
      <c r="X29" s="36"/>
      <c r="Y29" s="36"/>
    </row>
    <row r="30" spans="2:30" x14ac:dyDescent="0.3">
      <c r="B30" s="1145">
        <v>44287</v>
      </c>
      <c r="C30" s="37">
        <v>6.1</v>
      </c>
      <c r="D30" s="1150">
        <f>AVERAGE(C30:C32)</f>
        <v>5.7666666666666657</v>
      </c>
      <c r="E30" s="36"/>
      <c r="F30" s="36"/>
      <c r="G30" s="36"/>
      <c r="R30" s="286"/>
      <c r="S30" s="225"/>
      <c r="T30" s="225"/>
      <c r="U30" s="225"/>
      <c r="V30" s="36"/>
      <c r="W30" s="36"/>
      <c r="X30" s="36"/>
      <c r="Y30" s="36"/>
    </row>
    <row r="31" spans="2:30" x14ac:dyDescent="0.3">
      <c r="B31" s="1145">
        <v>44317</v>
      </c>
      <c r="C31" s="37">
        <v>5.8</v>
      </c>
      <c r="D31" s="1150"/>
      <c r="E31" s="36"/>
      <c r="F31" s="36"/>
      <c r="G31" s="36"/>
      <c r="R31" s="286"/>
      <c r="S31" s="225"/>
      <c r="T31" s="225"/>
      <c r="U31" s="225"/>
      <c r="V31" s="36"/>
      <c r="W31" s="36"/>
      <c r="X31" s="36"/>
      <c r="Y31" s="36"/>
    </row>
    <row r="32" spans="2:30" x14ac:dyDescent="0.3">
      <c r="B32" s="1145">
        <v>44348</v>
      </c>
      <c r="C32" s="37">
        <v>5.4</v>
      </c>
      <c r="D32" s="1150"/>
      <c r="E32" s="36"/>
      <c r="F32" s="36"/>
      <c r="G32" s="36"/>
      <c r="R32" s="225"/>
      <c r="S32" s="225"/>
      <c r="T32" s="225"/>
      <c r="U32" s="225"/>
      <c r="V32" s="36"/>
      <c r="W32" s="36"/>
      <c r="X32" s="36"/>
      <c r="Y32" s="36"/>
    </row>
    <row r="33" spans="2:5" x14ac:dyDescent="0.3">
      <c r="B33" s="1145">
        <v>44378</v>
      </c>
      <c r="C33" s="37">
        <v>5.4</v>
      </c>
      <c r="D33" s="1150">
        <f t="shared" ref="D33" si="14">AVERAGE(C33:C35)</f>
        <v>5.1333333333333337</v>
      </c>
      <c r="E33" s="286" t="s">
        <v>991</v>
      </c>
    </row>
    <row r="34" spans="2:5" x14ac:dyDescent="0.3">
      <c r="B34" s="1201">
        <v>44409</v>
      </c>
      <c r="C34" s="520">
        <v>5.2</v>
      </c>
      <c r="D34" s="1081"/>
    </row>
    <row r="35" spans="2:5" x14ac:dyDescent="0.3">
      <c r="B35" s="1202">
        <v>44440</v>
      </c>
      <c r="C35" s="46">
        <v>4.8</v>
      </c>
      <c r="D35" s="58"/>
    </row>
  </sheetData>
  <mergeCells count="11">
    <mergeCell ref="B1:AC1"/>
    <mergeCell ref="B2:AC6"/>
    <mergeCell ref="E9:H9"/>
    <mergeCell ref="B8:C10"/>
    <mergeCell ref="I9:L9"/>
    <mergeCell ref="Q9:T9"/>
    <mergeCell ref="U9:X9"/>
    <mergeCell ref="Y9:AB9"/>
    <mergeCell ref="M9:O9"/>
    <mergeCell ref="D8:O8"/>
    <mergeCell ref="P8:AC8"/>
  </mergeCells>
  <phoneticPr fontId="53"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V14" sqref="V14"/>
    </sheetView>
  </sheetViews>
  <sheetFormatPr defaultColWidth="8.81640625" defaultRowHeight="14.5" x14ac:dyDescent="0.35"/>
  <cols>
    <col min="2" max="2" width="38.81640625" customWidth="1"/>
    <col min="3" max="9" width="10.6328125" style="518" customWidth="1"/>
    <col min="10" max="20" width="7.1796875" customWidth="1"/>
    <col min="21" max="21" width="20.36328125" customWidth="1"/>
    <col min="22" max="22" width="11.81640625" customWidth="1"/>
  </cols>
  <sheetData>
    <row r="1" spans="1:22" s="518" customFormat="1" x14ac:dyDescent="0.35">
      <c r="B1" s="1317" t="s">
        <v>289</v>
      </c>
      <c r="C1" s="1317"/>
      <c r="D1" s="1317"/>
      <c r="E1" s="1317"/>
      <c r="F1" s="1317"/>
      <c r="G1" s="1317"/>
      <c r="H1" s="1317"/>
      <c r="I1" s="1317"/>
      <c r="J1" s="1317"/>
      <c r="K1" s="1317"/>
      <c r="L1" s="1317"/>
      <c r="M1" s="1317"/>
      <c r="N1" s="1317"/>
      <c r="O1" s="1317"/>
      <c r="P1" s="1317"/>
      <c r="Q1" s="1317"/>
      <c r="R1" s="1317"/>
      <c r="S1" s="1317"/>
      <c r="T1" s="1317"/>
    </row>
    <row r="2" spans="1:22" x14ac:dyDescent="0.35">
      <c r="B2" s="1352" t="s">
        <v>700</v>
      </c>
      <c r="C2" s="1352"/>
      <c r="D2" s="1352"/>
      <c r="E2" s="1352"/>
      <c r="F2" s="1352"/>
      <c r="G2" s="1352"/>
      <c r="H2" s="1352"/>
      <c r="I2" s="1352"/>
      <c r="J2" s="1352"/>
      <c r="K2" s="1352"/>
      <c r="L2" s="1352"/>
      <c r="M2" s="1352"/>
      <c r="N2" s="1352"/>
      <c r="O2" s="1352"/>
      <c r="P2" s="1352"/>
      <c r="Q2" s="1352"/>
      <c r="R2" s="1352"/>
      <c r="S2" s="1352"/>
      <c r="T2" s="1352"/>
    </row>
    <row r="3" spans="1:22" x14ac:dyDescent="0.35">
      <c r="B3" s="1352"/>
      <c r="C3" s="1352"/>
      <c r="D3" s="1352"/>
      <c r="E3" s="1352"/>
      <c r="F3" s="1352"/>
      <c r="G3" s="1352"/>
      <c r="H3" s="1352"/>
      <c r="I3" s="1352"/>
      <c r="J3" s="1352"/>
      <c r="K3" s="1352"/>
      <c r="L3" s="1352"/>
      <c r="M3" s="1352"/>
      <c r="N3" s="1352"/>
      <c r="O3" s="1352"/>
      <c r="P3" s="1352"/>
      <c r="Q3" s="1352"/>
      <c r="R3" s="1352"/>
      <c r="S3" s="1352"/>
      <c r="T3" s="1352"/>
    </row>
    <row r="4" spans="1:22" x14ac:dyDescent="0.35">
      <c r="B4" s="1352"/>
      <c r="C4" s="1352"/>
      <c r="D4" s="1352"/>
      <c r="E4" s="1352"/>
      <c r="F4" s="1352"/>
      <c r="G4" s="1352"/>
      <c r="H4" s="1352"/>
      <c r="I4" s="1352"/>
      <c r="J4" s="1352"/>
      <c r="K4" s="1352"/>
      <c r="L4" s="1352"/>
      <c r="M4" s="1352"/>
      <c r="N4" s="1352"/>
      <c r="O4" s="1352"/>
      <c r="P4" s="1352"/>
      <c r="Q4" s="1352"/>
      <c r="R4" s="1352"/>
      <c r="S4" s="1352"/>
      <c r="T4" s="1352"/>
    </row>
    <row r="5" spans="1:22" x14ac:dyDescent="0.35">
      <c r="B5" s="1352"/>
      <c r="C5" s="1352"/>
      <c r="D5" s="1352"/>
      <c r="E5" s="1352"/>
      <c r="F5" s="1352"/>
      <c r="G5" s="1352"/>
      <c r="H5" s="1352"/>
      <c r="I5" s="1352"/>
      <c r="J5" s="1352"/>
      <c r="K5" s="1352"/>
      <c r="L5" s="1352"/>
      <c r="M5" s="1352"/>
      <c r="N5" s="1352"/>
      <c r="O5" s="1352"/>
      <c r="P5" s="1352"/>
      <c r="Q5" s="1352"/>
      <c r="R5" s="1352"/>
      <c r="S5" s="1352"/>
      <c r="T5" s="1352"/>
    </row>
    <row r="6" spans="1:22" x14ac:dyDescent="0.35">
      <c r="B6" s="1352"/>
      <c r="C6" s="1352"/>
      <c r="D6" s="1352"/>
      <c r="E6" s="1352"/>
      <c r="F6" s="1352"/>
      <c r="G6" s="1352"/>
      <c r="H6" s="1352"/>
      <c r="I6" s="1352"/>
      <c r="J6" s="1352"/>
      <c r="K6" s="1352"/>
      <c r="L6" s="1352"/>
      <c r="M6" s="1352"/>
      <c r="N6" s="1352"/>
      <c r="O6" s="1352"/>
      <c r="P6" s="1352"/>
      <c r="Q6" s="1352"/>
      <c r="R6" s="1352"/>
      <c r="S6" s="1352"/>
      <c r="T6" s="1352"/>
    </row>
    <row r="7" spans="1:22" x14ac:dyDescent="0.35">
      <c r="J7" s="282"/>
      <c r="K7" s="282"/>
      <c r="M7" s="282"/>
    </row>
    <row r="9" spans="1:22" s="285" customFormat="1" ht="14.5" customHeight="1" x14ac:dyDescent="0.35">
      <c r="A9" s="543"/>
      <c r="B9" s="1353" t="s">
        <v>424</v>
      </c>
      <c r="C9" s="1354"/>
      <c r="D9" s="601">
        <v>2018</v>
      </c>
      <c r="E9" s="1363">
        <v>2019</v>
      </c>
      <c r="F9" s="1364"/>
      <c r="G9" s="1364"/>
      <c r="H9" s="1365"/>
      <c r="I9" s="1360">
        <v>2020</v>
      </c>
      <c r="J9" s="1361"/>
      <c r="K9" s="1361"/>
      <c r="L9" s="1362"/>
      <c r="M9" s="1366">
        <v>2021</v>
      </c>
      <c r="N9" s="1367"/>
      <c r="O9" s="1367"/>
      <c r="P9" s="1198">
        <v>2021</v>
      </c>
      <c r="Q9" s="1357">
        <v>2022</v>
      </c>
      <c r="R9" s="1358"/>
      <c r="S9" s="1358"/>
      <c r="T9" s="1359"/>
    </row>
    <row r="10" spans="1:22" s="285" customFormat="1" x14ac:dyDescent="0.35">
      <c r="A10" s="527"/>
      <c r="B10" s="1355"/>
      <c r="C10" s="1356"/>
      <c r="D10" s="602" t="s">
        <v>138</v>
      </c>
      <c r="E10" s="603" t="s">
        <v>135</v>
      </c>
      <c r="F10" s="599" t="s">
        <v>136</v>
      </c>
      <c r="G10" s="599" t="s">
        <v>137</v>
      </c>
      <c r="H10" s="600" t="s">
        <v>138</v>
      </c>
      <c r="I10" s="603" t="s">
        <v>135</v>
      </c>
      <c r="J10" s="599" t="s">
        <v>136</v>
      </c>
      <c r="K10" s="599" t="s">
        <v>137</v>
      </c>
      <c r="L10" s="599" t="s">
        <v>138</v>
      </c>
      <c r="M10" s="39" t="s">
        <v>135</v>
      </c>
      <c r="N10" s="40" t="s">
        <v>136</v>
      </c>
      <c r="O10" s="40" t="s">
        <v>137</v>
      </c>
      <c r="P10" s="66" t="s">
        <v>138</v>
      </c>
      <c r="Q10" s="506" t="s">
        <v>135</v>
      </c>
      <c r="R10" s="506" t="s">
        <v>136</v>
      </c>
      <c r="S10" s="506" t="s">
        <v>137</v>
      </c>
      <c r="T10" s="514" t="s">
        <v>138</v>
      </c>
    </row>
    <row r="11" spans="1:22" s="285" customFormat="1" ht="29" x14ac:dyDescent="0.35">
      <c r="A11" s="510"/>
      <c r="B11" s="504" t="s">
        <v>693</v>
      </c>
      <c r="C11" s="547" t="s">
        <v>244</v>
      </c>
      <c r="D11" s="1206"/>
      <c r="E11" s="1207"/>
      <c r="F11" s="1207"/>
      <c r="G11" s="1207"/>
      <c r="H11" s="1207"/>
      <c r="I11" s="1207"/>
      <c r="J11" s="1208">
        <f>'Haver Pivoted'!GU48</f>
        <v>160.9</v>
      </c>
      <c r="K11" s="1208">
        <f>'Haver Pivoted'!GV48</f>
        <v>58.4</v>
      </c>
      <c r="L11" s="1208">
        <f>'Haver Pivoted'!GW48</f>
        <v>34.5</v>
      </c>
      <c r="M11" s="1208">
        <f>'Haver Pivoted'!GX48</f>
        <v>42.8</v>
      </c>
      <c r="N11" s="1208">
        <f>'Haver Pivoted'!GY48</f>
        <v>26.6</v>
      </c>
      <c r="O11" s="1209">
        <f>'Haver Pivoted'!GZ48</f>
        <v>0</v>
      </c>
      <c r="P11" s="1188" t="e">
        <f t="shared" ref="P11:P13" si="0">P$14*P15</f>
        <v>#DIV/0!</v>
      </c>
      <c r="Q11" s="1188" t="e">
        <f t="shared" ref="Q11:S11" si="1">Q$14*Q15</f>
        <v>#DIV/0!</v>
      </c>
      <c r="R11" s="1188" t="e">
        <f t="shared" si="1"/>
        <v>#DIV/0!</v>
      </c>
      <c r="S11" s="1188" t="e">
        <f t="shared" si="1"/>
        <v>#DIV/0!</v>
      </c>
      <c r="T11" s="1189"/>
    </row>
    <row r="12" spans="1:22" s="285" customFormat="1" ht="29" x14ac:dyDescent="0.35">
      <c r="A12" s="509"/>
      <c r="B12" s="505" t="s">
        <v>695</v>
      </c>
      <c r="C12" s="503" t="s">
        <v>3</v>
      </c>
      <c r="D12" s="505"/>
      <c r="E12" s="598"/>
      <c r="F12" s="598"/>
      <c r="G12" s="598"/>
      <c r="H12" s="598"/>
      <c r="I12" s="598"/>
      <c r="J12" s="515">
        <f>'Haver Pivoted'!GU58</f>
        <v>64.400000000000006</v>
      </c>
      <c r="K12" s="515">
        <f>'Haver Pivoted'!GV58</f>
        <v>23.4</v>
      </c>
      <c r="L12" s="515">
        <f>'Haver Pivoted'!GW58</f>
        <v>13.8</v>
      </c>
      <c r="M12" s="515">
        <f>'Haver Pivoted'!GX58</f>
        <v>17.100000000000001</v>
      </c>
      <c r="N12" s="515">
        <f>'Haver Pivoted'!GY58</f>
        <v>10.6</v>
      </c>
      <c r="O12" s="1210">
        <f>'Haver Pivoted'!GZ58</f>
        <v>0</v>
      </c>
      <c r="P12" s="507" t="e">
        <f t="shared" si="0"/>
        <v>#DIV/0!</v>
      </c>
      <c r="Q12" s="507" t="e">
        <f t="shared" ref="Q12:S12" si="2">Q$14*Q16</f>
        <v>#DIV/0!</v>
      </c>
      <c r="R12" s="507" t="e">
        <f t="shared" si="2"/>
        <v>#DIV/0!</v>
      </c>
      <c r="S12" s="507" t="e">
        <f t="shared" si="2"/>
        <v>#DIV/0!</v>
      </c>
      <c r="T12" s="1190"/>
    </row>
    <row r="13" spans="1:22" s="285" customFormat="1" ht="42" customHeight="1" x14ac:dyDescent="0.35">
      <c r="A13" s="509"/>
      <c r="B13" s="505" t="s">
        <v>694</v>
      </c>
      <c r="C13" s="503" t="s">
        <v>250</v>
      </c>
      <c r="D13" s="505"/>
      <c r="E13" s="598"/>
      <c r="F13" s="598"/>
      <c r="G13" s="598"/>
      <c r="H13" s="598"/>
      <c r="I13" s="598"/>
      <c r="J13" s="515">
        <f>'Haver Pivoted'!GU54</f>
        <v>96.6</v>
      </c>
      <c r="K13" s="515">
        <f>'Haver Pivoted'!GV54</f>
        <v>35.1</v>
      </c>
      <c r="L13" s="515">
        <f>'Haver Pivoted'!GW54</f>
        <v>20.7</v>
      </c>
      <c r="M13" s="515">
        <f>'Haver Pivoted'!GX54</f>
        <v>25.7</v>
      </c>
      <c r="N13" s="515">
        <f>'Haver Pivoted'!GY54</f>
        <v>16</v>
      </c>
      <c r="O13" s="1210">
        <f>'Haver Pivoted'!GZ54</f>
        <v>0</v>
      </c>
      <c r="P13" s="507" t="e">
        <f t="shared" si="0"/>
        <v>#DIV/0!</v>
      </c>
      <c r="Q13" s="507" t="e">
        <f t="shared" ref="Q13:S13" si="3">Q$14*Q17</f>
        <v>#DIV/0!</v>
      </c>
      <c r="R13" s="507" t="e">
        <f t="shared" si="3"/>
        <v>#DIV/0!</v>
      </c>
      <c r="S13" s="507" t="e">
        <f t="shared" si="3"/>
        <v>#DIV/0!</v>
      </c>
      <c r="T13" s="1190"/>
      <c r="U13" s="644" t="s">
        <v>994</v>
      </c>
      <c r="V13" s="642" t="s">
        <v>993</v>
      </c>
    </row>
    <row r="14" spans="1:22" x14ac:dyDescent="0.35">
      <c r="A14" s="527"/>
      <c r="B14" s="641" t="s">
        <v>5</v>
      </c>
      <c r="C14" s="513"/>
      <c r="D14" s="641"/>
      <c r="E14" s="1203"/>
      <c r="F14" s="1203"/>
      <c r="G14" s="1203"/>
      <c r="H14" s="1203"/>
      <c r="I14" s="1203"/>
      <c r="J14" s="515">
        <f t="shared" ref="J14:O14" si="4">J13+J12+J11</f>
        <v>321.89999999999998</v>
      </c>
      <c r="K14" s="515">
        <f t="shared" si="4"/>
        <v>116.9</v>
      </c>
      <c r="L14" s="515">
        <f t="shared" si="4"/>
        <v>69</v>
      </c>
      <c r="M14" s="515">
        <f t="shared" si="4"/>
        <v>85.6</v>
      </c>
      <c r="N14" s="515">
        <f t="shared" si="4"/>
        <v>53.2</v>
      </c>
      <c r="O14" s="1210">
        <f t="shared" si="4"/>
        <v>0</v>
      </c>
      <c r="P14" s="506">
        <v>27.4</v>
      </c>
      <c r="Q14" s="506">
        <v>23.1</v>
      </c>
      <c r="R14" s="506">
        <v>5.0999999999999996</v>
      </c>
      <c r="S14" s="506">
        <v>5.0999999999999996</v>
      </c>
      <c r="T14" s="1190"/>
      <c r="U14" s="645">
        <v>186.5</v>
      </c>
      <c r="V14" s="643">
        <f>SUM(J14:S14)/4</f>
        <v>176.82500000000002</v>
      </c>
    </row>
    <row r="15" spans="1:22" x14ac:dyDescent="0.35">
      <c r="A15" s="527"/>
      <c r="B15" s="508" t="s">
        <v>690</v>
      </c>
      <c r="C15" s="512"/>
      <c r="D15" s="1211"/>
      <c r="E15" s="1204"/>
      <c r="F15" s="1204"/>
      <c r="G15" s="1204"/>
      <c r="H15" s="1204"/>
      <c r="I15" s="1204"/>
      <c r="J15" s="584">
        <f t="shared" ref="J15:N17" si="5">J11/J$14</f>
        <v>0.49984467225846541</v>
      </c>
      <c r="K15" s="584">
        <f t="shared" si="5"/>
        <v>0.49957228400342168</v>
      </c>
      <c r="L15" s="584">
        <f t="shared" si="5"/>
        <v>0.5</v>
      </c>
      <c r="M15" s="584">
        <f t="shared" si="5"/>
        <v>0.5</v>
      </c>
      <c r="N15" s="584">
        <f t="shared" si="5"/>
        <v>0.5</v>
      </c>
      <c r="O15" s="1212" t="e">
        <f t="shared" ref="O15" si="6">O11/O$14</f>
        <v>#DIV/0!</v>
      </c>
      <c r="P15" s="545" t="e">
        <f t="shared" ref="P15:P17" si="7">O15</f>
        <v>#DIV/0!</v>
      </c>
      <c r="Q15" s="545" t="e">
        <f t="shared" ref="Q15:Q17" si="8">P15</f>
        <v>#DIV/0!</v>
      </c>
      <c r="R15" s="545" t="e">
        <f t="shared" ref="R15:R17" si="9">Q15</f>
        <v>#DIV/0!</v>
      </c>
      <c r="S15" s="545" t="e">
        <f t="shared" ref="S15:S17" si="10">R15</f>
        <v>#DIV/0!</v>
      </c>
      <c r="T15" s="1190"/>
    </row>
    <row r="16" spans="1:22" x14ac:dyDescent="0.35">
      <c r="A16" s="527"/>
      <c r="B16" s="508" t="s">
        <v>691</v>
      </c>
      <c r="C16" s="512"/>
      <c r="D16" s="1211"/>
      <c r="E16" s="1204"/>
      <c r="F16" s="1204"/>
      <c r="G16" s="1204"/>
      <c r="H16" s="1204"/>
      <c r="I16" s="1204"/>
      <c r="J16" s="584">
        <f t="shared" si="5"/>
        <v>0.20006213109661389</v>
      </c>
      <c r="K16" s="584">
        <f t="shared" si="5"/>
        <v>0.20017108639863129</v>
      </c>
      <c r="L16" s="584">
        <f t="shared" si="5"/>
        <v>0.2</v>
      </c>
      <c r="M16" s="584">
        <f t="shared" si="5"/>
        <v>0.19976635514018695</v>
      </c>
      <c r="N16" s="584">
        <f t="shared" si="5"/>
        <v>0.19924812030075187</v>
      </c>
      <c r="O16" s="1212" t="e">
        <f t="shared" ref="O16" si="11">O12/O$14</f>
        <v>#DIV/0!</v>
      </c>
      <c r="P16" s="545" t="e">
        <f t="shared" si="7"/>
        <v>#DIV/0!</v>
      </c>
      <c r="Q16" s="545" t="e">
        <f t="shared" si="8"/>
        <v>#DIV/0!</v>
      </c>
      <c r="R16" s="545" t="e">
        <f t="shared" si="9"/>
        <v>#DIV/0!</v>
      </c>
      <c r="S16" s="545" t="e">
        <f t="shared" si="10"/>
        <v>#DIV/0!</v>
      </c>
      <c r="T16" s="1190"/>
    </row>
    <row r="17" spans="1:20" x14ac:dyDescent="0.35">
      <c r="A17" s="527"/>
      <c r="B17" s="548" t="s">
        <v>692</v>
      </c>
      <c r="C17" s="549"/>
      <c r="D17" s="1213"/>
      <c r="E17" s="1205"/>
      <c r="F17" s="1205"/>
      <c r="G17" s="1205"/>
      <c r="H17" s="1205"/>
      <c r="I17" s="1205"/>
      <c r="J17" s="1135">
        <f t="shared" si="5"/>
        <v>0.30009319664492079</v>
      </c>
      <c r="K17" s="1135">
        <f t="shared" si="5"/>
        <v>0.30025662959794697</v>
      </c>
      <c r="L17" s="1135">
        <f t="shared" si="5"/>
        <v>0.3</v>
      </c>
      <c r="M17" s="1135">
        <f t="shared" si="5"/>
        <v>0.30023364485981308</v>
      </c>
      <c r="N17" s="1135">
        <f t="shared" si="5"/>
        <v>0.3007518796992481</v>
      </c>
      <c r="O17" s="645" t="e">
        <f t="shared" ref="O17" si="12">O13/O$14</f>
        <v>#DIV/0!</v>
      </c>
      <c r="P17" s="550" t="e">
        <f t="shared" si="7"/>
        <v>#DIV/0!</v>
      </c>
      <c r="Q17" s="550" t="e">
        <f t="shared" si="8"/>
        <v>#DIV/0!</v>
      </c>
      <c r="R17" s="550" t="e">
        <f t="shared" si="9"/>
        <v>#DIV/0!</v>
      </c>
      <c r="S17" s="550" t="e">
        <f t="shared" si="10"/>
        <v>#DIV/0!</v>
      </c>
      <c r="T17" s="551"/>
    </row>
    <row r="18" spans="1:20" x14ac:dyDescent="0.35">
      <c r="A18" s="527"/>
      <c r="B18" s="527"/>
      <c r="C18" s="527"/>
      <c r="D18" s="527"/>
      <c r="E18" s="527"/>
      <c r="F18" s="527"/>
      <c r="G18" s="527"/>
      <c r="H18" s="527"/>
      <c r="I18" s="527"/>
      <c r="J18" s="527"/>
      <c r="K18" s="527"/>
      <c r="L18" s="527"/>
      <c r="M18" s="527"/>
      <c r="N18" s="527"/>
      <c r="O18" s="527"/>
      <c r="P18" s="527"/>
      <c r="Q18" s="527"/>
      <c r="R18" s="527"/>
      <c r="S18" s="527"/>
      <c r="T18" s="527"/>
    </row>
    <row r="19" spans="1:20" x14ac:dyDescent="0.35">
      <c r="A19" s="527"/>
      <c r="B19" s="527"/>
      <c r="C19" s="527"/>
      <c r="D19" s="527"/>
      <c r="E19" s="527"/>
      <c r="F19" s="527"/>
      <c r="G19" s="527"/>
      <c r="H19" s="527"/>
      <c r="I19" s="527"/>
      <c r="J19" s="527"/>
      <c r="K19" s="527"/>
      <c r="L19" s="527"/>
      <c r="M19" s="527"/>
      <c r="N19" s="527"/>
      <c r="O19" s="527"/>
      <c r="P19" s="527"/>
      <c r="Q19" s="527"/>
      <c r="R19" s="527"/>
      <c r="S19" s="527"/>
      <c r="T19" s="527"/>
    </row>
    <row r="20" spans="1:20" x14ac:dyDescent="0.35">
      <c r="A20" s="527"/>
      <c r="B20" s="527"/>
      <c r="C20" s="527"/>
      <c r="D20" s="527"/>
      <c r="E20" s="527"/>
      <c r="F20" s="527"/>
      <c r="G20" s="527"/>
      <c r="H20" s="527"/>
      <c r="I20" s="527"/>
      <c r="J20" s="527"/>
      <c r="K20" s="527"/>
      <c r="L20" s="527"/>
      <c r="M20" s="527"/>
      <c r="N20" s="527"/>
      <c r="O20" s="527"/>
      <c r="P20" s="527"/>
      <c r="Q20" s="527"/>
      <c r="R20" s="527"/>
      <c r="S20" s="527"/>
      <c r="T20" s="527"/>
    </row>
    <row r="21" spans="1:20" x14ac:dyDescent="0.35">
      <c r="A21" s="527"/>
      <c r="B21" s="527"/>
      <c r="C21" s="527"/>
      <c r="D21" s="527"/>
      <c r="E21" s="527"/>
      <c r="F21" s="527"/>
      <c r="G21" s="527"/>
      <c r="H21" s="527"/>
      <c r="I21" s="527"/>
      <c r="J21" s="527"/>
      <c r="K21" s="527"/>
      <c r="L21" s="527"/>
      <c r="M21" s="527"/>
      <c r="N21" s="527"/>
      <c r="O21" s="527"/>
      <c r="P21" s="527"/>
      <c r="Q21" s="527"/>
      <c r="R21" s="527"/>
      <c r="S21" s="527"/>
      <c r="T21" s="527"/>
    </row>
  </sheetData>
  <mergeCells count="7">
    <mergeCell ref="B2:T6"/>
    <mergeCell ref="B1:T1"/>
    <mergeCell ref="B9:C10"/>
    <mergeCell ref="Q9:T9"/>
    <mergeCell ref="I9:L9"/>
    <mergeCell ref="E9:H9"/>
    <mergeCell ref="M9:O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50" zoomScale="61" zoomScaleNormal="143" workbookViewId="0">
      <selection activeCell="Q59" sqref="Q59"/>
    </sheetView>
  </sheetViews>
  <sheetFormatPr defaultColWidth="8.6328125" defaultRowHeight="14" x14ac:dyDescent="0.3"/>
  <cols>
    <col min="1" max="6" width="0" style="286" hidden="1" customWidth="1"/>
    <col min="7" max="7" width="8.6328125" style="286"/>
    <col min="8" max="8" width="22.6328125" style="286" customWidth="1"/>
    <col min="9" max="9" width="11.36328125" style="286" customWidth="1"/>
    <col min="10" max="10" width="13.1796875" style="286" customWidth="1"/>
    <col min="11" max="11" width="6.1796875" style="286" customWidth="1"/>
    <col min="12" max="12" width="8.81640625" style="286" bestFit="1" customWidth="1"/>
    <col min="13" max="13" width="9.36328125" style="286" bestFit="1" customWidth="1"/>
    <col min="14" max="18" width="8.81640625" style="286" bestFit="1" customWidth="1"/>
    <col min="19" max="19" width="9.453125" style="286" bestFit="1" customWidth="1"/>
    <col min="20" max="16384" width="8.6328125" style="286"/>
  </cols>
  <sheetData>
    <row r="1" spans="8:22" x14ac:dyDescent="0.3">
      <c r="H1" s="1333" t="s">
        <v>360</v>
      </c>
      <c r="I1" s="1333"/>
      <c r="J1" s="1333"/>
      <c r="K1" s="1333"/>
      <c r="L1" s="1333"/>
      <c r="M1" s="1333"/>
      <c r="N1" s="1333"/>
      <c r="O1" s="1333"/>
      <c r="P1" s="1333"/>
      <c r="Q1" s="1333"/>
      <c r="R1" s="1333"/>
      <c r="S1" s="1333"/>
    </row>
    <row r="2" spans="8:22" x14ac:dyDescent="0.3">
      <c r="H2" s="1369" t="s">
        <v>631</v>
      </c>
      <c r="I2" s="1370"/>
      <c r="J2" s="1370"/>
      <c r="K2" s="1370"/>
      <c r="L2" s="1370"/>
      <c r="M2" s="1370"/>
      <c r="N2" s="1370"/>
      <c r="O2" s="1370"/>
      <c r="P2" s="1370"/>
      <c r="Q2" s="1370"/>
      <c r="R2" s="1370"/>
      <c r="S2" s="1370"/>
    </row>
    <row r="3" spans="8:22" x14ac:dyDescent="0.3">
      <c r="H3" s="1370"/>
      <c r="I3" s="1370"/>
      <c r="J3" s="1370"/>
      <c r="K3" s="1370"/>
      <c r="L3" s="1370"/>
      <c r="M3" s="1370"/>
      <c r="N3" s="1370"/>
      <c r="O3" s="1370"/>
      <c r="P3" s="1370"/>
      <c r="Q3" s="1370"/>
      <c r="R3" s="1370"/>
      <c r="S3" s="1370"/>
    </row>
    <row r="4" spans="8:22" x14ac:dyDescent="0.3">
      <c r="H4" s="1370"/>
      <c r="I4" s="1370"/>
      <c r="J4" s="1370"/>
      <c r="K4" s="1370"/>
      <c r="L4" s="1370"/>
      <c r="M4" s="1370"/>
      <c r="N4" s="1370"/>
      <c r="O4" s="1370"/>
      <c r="P4" s="1370"/>
      <c r="Q4" s="1370"/>
      <c r="R4" s="1370"/>
      <c r="S4" s="1370"/>
    </row>
    <row r="5" spans="8:22" ht="54.5" customHeight="1" x14ac:dyDescent="0.3">
      <c r="H5" s="1370"/>
      <c r="I5" s="1370"/>
      <c r="J5" s="1370"/>
      <c r="K5" s="1370"/>
      <c r="L5" s="1370"/>
      <c r="M5" s="1370"/>
      <c r="N5" s="1370"/>
      <c r="O5" s="1370"/>
      <c r="P5" s="1370"/>
      <c r="Q5" s="1370"/>
      <c r="R5" s="1370"/>
      <c r="S5" s="1370"/>
    </row>
    <row r="6" spans="8:22" x14ac:dyDescent="0.3">
      <c r="H6" s="387"/>
      <c r="I6" s="387"/>
      <c r="J6" s="387"/>
      <c r="K6" s="387"/>
      <c r="L6" s="387"/>
      <c r="M6" s="387"/>
      <c r="N6" s="387"/>
      <c r="O6" s="387"/>
      <c r="P6" s="387"/>
      <c r="Q6" s="387"/>
      <c r="R6" s="387"/>
      <c r="S6" s="387"/>
    </row>
    <row r="7" spans="8:22" x14ac:dyDescent="0.3">
      <c r="H7" s="375" t="s">
        <v>488</v>
      </c>
    </row>
    <row r="8" spans="8:22" ht="16" customHeight="1" x14ac:dyDescent="0.3"/>
    <row r="9" spans="8:22" ht="15.5" customHeight="1" x14ac:dyDescent="0.3">
      <c r="L9" s="1335">
        <v>2020</v>
      </c>
      <c r="M9" s="1336"/>
      <c r="N9" s="1336"/>
      <c r="O9" s="1214">
        <v>2021</v>
      </c>
      <c r="P9" s="1214"/>
      <c r="Q9" s="1214"/>
      <c r="R9" s="1198"/>
      <c r="S9" s="388"/>
    </row>
    <row r="10" spans="8:22" s="43" customFormat="1" ht="28" x14ac:dyDescent="0.3">
      <c r="H10" s="390" t="s">
        <v>489</v>
      </c>
      <c r="I10" s="390" t="s">
        <v>490</v>
      </c>
      <c r="J10" s="410" t="s">
        <v>491</v>
      </c>
      <c r="K10" s="389"/>
      <c r="L10" s="804" t="s">
        <v>136</v>
      </c>
      <c r="M10" s="818" t="s">
        <v>137</v>
      </c>
      <c r="N10" s="818" t="s">
        <v>138</v>
      </c>
      <c r="O10" s="818" t="s">
        <v>135</v>
      </c>
      <c r="P10" s="818" t="s">
        <v>136</v>
      </c>
      <c r="Q10" s="818" t="s">
        <v>137</v>
      </c>
      <c r="R10" s="1216" t="s">
        <v>138</v>
      </c>
      <c r="S10" s="546" t="s">
        <v>701</v>
      </c>
      <c r="T10" s="389"/>
      <c r="U10" s="389"/>
      <c r="V10" s="389"/>
    </row>
    <row r="11" spans="8:22" x14ac:dyDescent="0.3">
      <c r="H11" s="394">
        <v>43934</v>
      </c>
      <c r="I11" s="47">
        <v>248</v>
      </c>
      <c r="J11" s="358">
        <f>I11</f>
        <v>248</v>
      </c>
      <c r="K11" s="368"/>
      <c r="L11" s="404">
        <f>S11/26*J11</f>
        <v>95.384615384615387</v>
      </c>
      <c r="M11" s="405">
        <f>13/26*J11</f>
        <v>124</v>
      </c>
      <c r="N11" s="405">
        <f>J11-SUM(L11:M11)</f>
        <v>28.615384615384613</v>
      </c>
      <c r="O11" s="405"/>
      <c r="P11" s="882"/>
      <c r="Q11" s="405"/>
      <c r="R11" s="1215"/>
      <c r="S11" s="392">
        <v>10</v>
      </c>
      <c r="T11" s="368"/>
      <c r="U11" s="393"/>
      <c r="V11" s="392"/>
    </row>
    <row r="12" spans="8:22" x14ac:dyDescent="0.3">
      <c r="H12" s="395">
        <v>43937</v>
      </c>
      <c r="I12" s="47">
        <v>342</v>
      </c>
      <c r="J12" s="358">
        <f>I12-I11</f>
        <v>94</v>
      </c>
      <c r="K12" s="368"/>
      <c r="L12" s="404">
        <f t="shared" ref="L12:L20" si="0">S12/26*J12</f>
        <v>36.153846153846153</v>
      </c>
      <c r="M12" s="405">
        <f t="shared" ref="M12:M20" si="1">13/26*J12</f>
        <v>47</v>
      </c>
      <c r="N12" s="405">
        <f t="shared" ref="N12:N21" si="2">J12-SUM(L12:M12)</f>
        <v>10.84615384615384</v>
      </c>
      <c r="O12" s="405"/>
      <c r="P12" s="882"/>
      <c r="Q12" s="405"/>
      <c r="R12" s="406"/>
      <c r="S12" s="368">
        <v>10</v>
      </c>
      <c r="T12" s="368"/>
      <c r="U12" s="368"/>
      <c r="V12" s="368"/>
    </row>
    <row r="13" spans="8:22" x14ac:dyDescent="0.3">
      <c r="H13" s="395">
        <v>43952</v>
      </c>
      <c r="I13" s="47">
        <v>518</v>
      </c>
      <c r="J13" s="358">
        <f>I13-I12</f>
        <v>176</v>
      </c>
      <c r="K13" s="368"/>
      <c r="L13" s="404">
        <f t="shared" si="0"/>
        <v>54.15384615384616</v>
      </c>
      <c r="M13" s="405">
        <f t="shared" si="1"/>
        <v>88</v>
      </c>
      <c r="N13" s="405">
        <f t="shared" si="2"/>
        <v>33.84615384615384</v>
      </c>
      <c r="O13" s="405"/>
      <c r="P13" s="882"/>
      <c r="Q13" s="405"/>
      <c r="R13" s="406"/>
      <c r="S13" s="368">
        <v>8</v>
      </c>
      <c r="T13" s="368"/>
      <c r="U13" s="368"/>
      <c r="V13" s="368"/>
    </row>
    <row r="14" spans="8:22" x14ac:dyDescent="0.3">
      <c r="H14" s="395">
        <v>43959</v>
      </c>
      <c r="I14" s="47">
        <v>531</v>
      </c>
      <c r="J14" s="358">
        <f t="shared" ref="J14:J45" si="3">I14-I13</f>
        <v>13</v>
      </c>
      <c r="K14" s="368"/>
      <c r="L14" s="404">
        <f t="shared" si="0"/>
        <v>3.5</v>
      </c>
      <c r="M14" s="405">
        <f t="shared" si="1"/>
        <v>6.5</v>
      </c>
      <c r="N14" s="405">
        <f t="shared" si="2"/>
        <v>3</v>
      </c>
      <c r="O14" s="405"/>
      <c r="P14" s="882"/>
      <c r="Q14" s="405"/>
      <c r="R14" s="406"/>
      <c r="S14" s="368">
        <f t="shared" ref="S14:S20" si="4">S13-1</f>
        <v>7</v>
      </c>
      <c r="T14" s="368"/>
      <c r="U14" s="368"/>
      <c r="V14" s="368"/>
    </row>
    <row r="15" spans="8:22" x14ac:dyDescent="0.3">
      <c r="H15" s="395">
        <v>43967</v>
      </c>
      <c r="I15" s="47">
        <v>513</v>
      </c>
      <c r="J15" s="358">
        <f t="shared" si="3"/>
        <v>-18</v>
      </c>
      <c r="K15" s="368"/>
      <c r="L15" s="404">
        <f t="shared" ref="L15:L17" si="5">S15/26*J15</f>
        <v>-4.1538461538461542</v>
      </c>
      <c r="M15" s="405">
        <f t="shared" ref="M15:M17" si="6">13/26*J15</f>
        <v>-9</v>
      </c>
      <c r="N15" s="405">
        <f t="shared" ref="N15:N17" si="7">J15-SUM(L15:M15)</f>
        <v>-4.8461538461538467</v>
      </c>
      <c r="O15" s="405"/>
      <c r="P15" s="882"/>
      <c r="Q15" s="405"/>
      <c r="R15" s="406"/>
      <c r="S15" s="368">
        <f t="shared" si="4"/>
        <v>6</v>
      </c>
      <c r="T15" s="368"/>
      <c r="U15" s="368"/>
      <c r="V15" s="368"/>
    </row>
    <row r="16" spans="8:22" x14ac:dyDescent="0.3">
      <c r="H16" s="395">
        <v>43974</v>
      </c>
      <c r="I16" s="47">
        <v>511</v>
      </c>
      <c r="J16" s="358">
        <f t="shared" si="3"/>
        <v>-2</v>
      </c>
      <c r="K16" s="368"/>
      <c r="L16" s="404">
        <f t="shared" si="5"/>
        <v>-0.38461538461538464</v>
      </c>
      <c r="M16" s="405">
        <f t="shared" si="6"/>
        <v>-1</v>
      </c>
      <c r="N16" s="405">
        <f t="shared" si="7"/>
        <v>-0.61538461538461542</v>
      </c>
      <c r="O16" s="405"/>
      <c r="P16" s="882"/>
      <c r="Q16" s="405"/>
      <c r="R16" s="406"/>
      <c r="S16" s="368">
        <f t="shared" si="4"/>
        <v>5</v>
      </c>
      <c r="T16" s="368"/>
      <c r="U16" s="368"/>
      <c r="V16" s="368"/>
    </row>
    <row r="17" spans="8:22" x14ac:dyDescent="0.3">
      <c r="H17" s="395">
        <v>43981</v>
      </c>
      <c r="I17" s="47">
        <v>510</v>
      </c>
      <c r="J17" s="358">
        <f t="shared" si="3"/>
        <v>-1</v>
      </c>
      <c r="K17" s="368"/>
      <c r="L17" s="404">
        <f t="shared" si="5"/>
        <v>-0.15384615384615385</v>
      </c>
      <c r="M17" s="405">
        <f t="shared" si="6"/>
        <v>-0.5</v>
      </c>
      <c r="N17" s="405">
        <f t="shared" si="7"/>
        <v>-0.34615384615384615</v>
      </c>
      <c r="O17" s="405"/>
      <c r="P17" s="882"/>
      <c r="Q17" s="405"/>
      <c r="R17" s="406"/>
      <c r="S17" s="368">
        <f t="shared" si="4"/>
        <v>4</v>
      </c>
      <c r="T17" s="368"/>
      <c r="U17" s="368"/>
      <c r="V17" s="368"/>
    </row>
    <row r="18" spans="8:22" x14ac:dyDescent="0.3">
      <c r="H18" s="395">
        <v>43988</v>
      </c>
      <c r="I18" s="47">
        <v>511</v>
      </c>
      <c r="J18" s="358">
        <f t="shared" si="3"/>
        <v>1</v>
      </c>
      <c r="K18" s="368"/>
      <c r="L18" s="404">
        <f t="shared" si="0"/>
        <v>0.11538461538461539</v>
      </c>
      <c r="M18" s="405">
        <f t="shared" si="1"/>
        <v>0.5</v>
      </c>
      <c r="N18" s="405">
        <f t="shared" si="2"/>
        <v>0.38461538461538458</v>
      </c>
      <c r="O18" s="405"/>
      <c r="P18" s="882"/>
      <c r="Q18" s="405"/>
      <c r="R18" s="406"/>
      <c r="S18" s="368">
        <f t="shared" si="4"/>
        <v>3</v>
      </c>
      <c r="T18" s="368"/>
      <c r="U18" s="368"/>
      <c r="V18" s="368"/>
    </row>
    <row r="19" spans="8:22" x14ac:dyDescent="0.3">
      <c r="H19" s="395">
        <v>43994</v>
      </c>
      <c r="I19" s="47">
        <v>512</v>
      </c>
      <c r="J19" s="358">
        <f t="shared" si="3"/>
        <v>1</v>
      </c>
      <c r="K19" s="368"/>
      <c r="L19" s="404">
        <f t="shared" si="0"/>
        <v>7.6923076923076927E-2</v>
      </c>
      <c r="M19" s="405">
        <f t="shared" si="1"/>
        <v>0.5</v>
      </c>
      <c r="N19" s="405">
        <f t="shared" si="2"/>
        <v>0.42307692307692313</v>
      </c>
      <c r="O19" s="405"/>
      <c r="P19" s="882"/>
      <c r="Q19" s="405"/>
      <c r="R19" s="406"/>
      <c r="S19" s="368">
        <f t="shared" si="4"/>
        <v>2</v>
      </c>
      <c r="T19" s="368"/>
      <c r="U19" s="368"/>
      <c r="V19" s="368"/>
    </row>
    <row r="20" spans="8:22" x14ac:dyDescent="0.3">
      <c r="H20" s="395">
        <v>44002</v>
      </c>
      <c r="I20" s="47">
        <v>515</v>
      </c>
      <c r="J20" s="358">
        <f t="shared" si="3"/>
        <v>3</v>
      </c>
      <c r="K20" s="368"/>
      <c r="L20" s="404">
        <f t="shared" si="0"/>
        <v>0.11538461538461539</v>
      </c>
      <c r="M20" s="405">
        <f t="shared" si="1"/>
        <v>1.5</v>
      </c>
      <c r="N20" s="405">
        <f t="shared" si="2"/>
        <v>1.3846153846153846</v>
      </c>
      <c r="O20" s="405"/>
      <c r="P20" s="882"/>
      <c r="Q20" s="405"/>
      <c r="R20" s="406"/>
      <c r="S20" s="368">
        <f t="shared" si="4"/>
        <v>1</v>
      </c>
      <c r="T20" s="368"/>
      <c r="U20" s="368"/>
      <c r="V20" s="368"/>
    </row>
    <row r="21" spans="8:22" x14ac:dyDescent="0.3">
      <c r="H21" s="395">
        <v>44009</v>
      </c>
      <c r="I21" s="47">
        <v>519</v>
      </c>
      <c r="J21" s="358">
        <f t="shared" si="3"/>
        <v>4</v>
      </c>
      <c r="K21" s="368"/>
      <c r="L21" s="404"/>
      <c r="M21" s="405">
        <f>S21/26*J21</f>
        <v>2</v>
      </c>
      <c r="N21" s="405">
        <f t="shared" si="2"/>
        <v>2</v>
      </c>
      <c r="O21" s="405"/>
      <c r="P21" s="882"/>
      <c r="Q21" s="405"/>
      <c r="R21" s="406"/>
      <c r="S21" s="368">
        <v>13</v>
      </c>
      <c r="T21" s="368"/>
      <c r="U21" s="368"/>
      <c r="V21" s="368"/>
    </row>
    <row r="22" spans="8:22" x14ac:dyDescent="0.3">
      <c r="H22" s="395">
        <v>44012</v>
      </c>
      <c r="I22" s="47">
        <v>521</v>
      </c>
      <c r="J22" s="358">
        <f t="shared" si="3"/>
        <v>2</v>
      </c>
      <c r="K22" s="368"/>
      <c r="L22" s="404"/>
      <c r="M22" s="405">
        <f t="shared" ref="M22:M26" si="8">S22/26*J22</f>
        <v>1</v>
      </c>
      <c r="N22" s="405">
        <f>J22-SUM(L22:M22)</f>
        <v>1</v>
      </c>
      <c r="O22" s="405"/>
      <c r="P22" s="882"/>
      <c r="Q22" s="405"/>
      <c r="R22" s="406"/>
      <c r="S22" s="368">
        <v>13</v>
      </c>
      <c r="T22" s="368"/>
      <c r="U22" s="368"/>
      <c r="V22" s="368"/>
    </row>
    <row r="23" spans="8:22" x14ac:dyDescent="0.3">
      <c r="H23" s="395">
        <v>44029</v>
      </c>
      <c r="I23" s="47">
        <v>518</v>
      </c>
      <c r="J23" s="358">
        <f t="shared" si="3"/>
        <v>-3</v>
      </c>
      <c r="K23" s="368"/>
      <c r="L23" s="404"/>
      <c r="M23" s="405">
        <f t="shared" ref="M23" si="9">S23/26*J23</f>
        <v>-1.153846153846154</v>
      </c>
      <c r="N23" s="405">
        <f t="shared" ref="N23" si="10">13/26*J23</f>
        <v>-1.5</v>
      </c>
      <c r="O23" s="405">
        <f t="shared" ref="O23" si="11">J23-N23-M23</f>
        <v>-0.34615384615384603</v>
      </c>
      <c r="P23" s="882"/>
      <c r="Q23" s="405"/>
      <c r="R23" s="406"/>
      <c r="S23" s="368">
        <f>S22-3</f>
        <v>10</v>
      </c>
      <c r="T23" s="368"/>
      <c r="U23" s="368"/>
      <c r="V23" s="368"/>
    </row>
    <row r="24" spans="8:22" x14ac:dyDescent="0.3">
      <c r="H24" s="395">
        <v>44036</v>
      </c>
      <c r="I24" s="47">
        <v>520</v>
      </c>
      <c r="J24" s="358">
        <f t="shared" si="3"/>
        <v>2</v>
      </c>
      <c r="K24" s="368"/>
      <c r="L24" s="404"/>
      <c r="M24" s="405">
        <f t="shared" si="8"/>
        <v>0.69230769230769229</v>
      </c>
      <c r="N24" s="405">
        <f t="shared" ref="N24:N26" si="12">13/26*J24</f>
        <v>1</v>
      </c>
      <c r="O24" s="405">
        <f t="shared" ref="O24:O26" si="13">J24-N24-M24</f>
        <v>0.30769230769230771</v>
      </c>
      <c r="P24" s="882"/>
      <c r="Q24" s="405"/>
      <c r="R24" s="406"/>
      <c r="S24" s="368">
        <f>S23-1</f>
        <v>9</v>
      </c>
      <c r="T24" s="368"/>
      <c r="U24" s="368"/>
      <c r="V24" s="368"/>
    </row>
    <row r="25" spans="8:22" x14ac:dyDescent="0.3">
      <c r="H25" s="395">
        <v>44043</v>
      </c>
      <c r="I25" s="47">
        <v>521</v>
      </c>
      <c r="J25" s="358">
        <f t="shared" si="3"/>
        <v>1</v>
      </c>
      <c r="K25" s="368"/>
      <c r="L25" s="404"/>
      <c r="M25" s="405">
        <f t="shared" si="8"/>
        <v>0.30769230769230771</v>
      </c>
      <c r="N25" s="405">
        <f t="shared" si="12"/>
        <v>0.5</v>
      </c>
      <c r="O25" s="405">
        <f t="shared" si="13"/>
        <v>0.19230769230769229</v>
      </c>
      <c r="P25" s="882"/>
      <c r="Q25" s="405"/>
      <c r="R25" s="406"/>
      <c r="S25" s="368">
        <f>S24-1</f>
        <v>8</v>
      </c>
      <c r="T25" s="368"/>
      <c r="U25" s="368"/>
      <c r="V25" s="368"/>
    </row>
    <row r="26" spans="8:22" x14ac:dyDescent="0.3">
      <c r="H26" s="395">
        <v>44051</v>
      </c>
      <c r="I26" s="47">
        <v>525</v>
      </c>
      <c r="J26" s="358">
        <f t="shared" si="3"/>
        <v>4</v>
      </c>
      <c r="K26" s="368"/>
      <c r="L26" s="404"/>
      <c r="M26" s="405">
        <f t="shared" si="8"/>
        <v>1.0769230769230769</v>
      </c>
      <c r="N26" s="405">
        <f t="shared" si="12"/>
        <v>2</v>
      </c>
      <c r="O26" s="405">
        <f t="shared" si="13"/>
        <v>0.92307692307692313</v>
      </c>
      <c r="P26" s="882"/>
      <c r="Q26" s="405"/>
      <c r="R26" s="406"/>
      <c r="S26" s="368">
        <f>S25-1</f>
        <v>7</v>
      </c>
      <c r="T26" s="368"/>
      <c r="U26" s="368"/>
      <c r="V26" s="368"/>
    </row>
    <row r="27" spans="8:22" x14ac:dyDescent="0.3">
      <c r="H27" s="395">
        <v>44220</v>
      </c>
      <c r="I27" s="47">
        <v>558</v>
      </c>
      <c r="J27" s="358">
        <f t="shared" si="3"/>
        <v>33</v>
      </c>
      <c r="K27" s="368"/>
      <c r="L27" s="404"/>
      <c r="M27" s="405"/>
      <c r="N27" s="405"/>
      <c r="O27" s="405">
        <f>S27/26*J27</f>
        <v>12.692307692307693</v>
      </c>
      <c r="P27" s="882">
        <f>J27/2</f>
        <v>16.5</v>
      </c>
      <c r="Q27" s="405">
        <f>J27-P27-O27</f>
        <v>3.8076923076923066</v>
      </c>
      <c r="R27" s="406"/>
      <c r="S27" s="368">
        <v>10</v>
      </c>
      <c r="T27" s="368">
        <v>10</v>
      </c>
      <c r="U27" s="368"/>
      <c r="V27" s="368"/>
    </row>
    <row r="28" spans="8:22" x14ac:dyDescent="0.3">
      <c r="H28" s="395">
        <v>44227</v>
      </c>
      <c r="I28" s="47">
        <v>596</v>
      </c>
      <c r="J28" s="358">
        <f t="shared" si="3"/>
        <v>38</v>
      </c>
      <c r="K28" s="368"/>
      <c r="L28" s="404"/>
      <c r="M28" s="405"/>
      <c r="N28" s="405"/>
      <c r="O28" s="405">
        <f t="shared" ref="O28:O36" si="14">S28/26*J28</f>
        <v>13.153846153846153</v>
      </c>
      <c r="P28" s="882">
        <f t="shared" ref="P28:P36" si="15">J28/2</f>
        <v>19</v>
      </c>
      <c r="Q28" s="405">
        <f t="shared" ref="Q28:Q36" si="16">J28-P28-O28</f>
        <v>5.8461538461538467</v>
      </c>
      <c r="R28" s="406"/>
      <c r="S28" s="368">
        <f>S27-1</f>
        <v>9</v>
      </c>
      <c r="T28" s="368">
        <f>T27-1</f>
        <v>9</v>
      </c>
      <c r="U28" s="368"/>
      <c r="V28" s="368"/>
    </row>
    <row r="29" spans="8:22" x14ac:dyDescent="0.3">
      <c r="H29" s="395">
        <v>44234</v>
      </c>
      <c r="I29" s="47">
        <v>623</v>
      </c>
      <c r="J29" s="358">
        <f t="shared" si="3"/>
        <v>27</v>
      </c>
      <c r="K29" s="368"/>
      <c r="L29" s="404"/>
      <c r="M29" s="405"/>
      <c r="N29" s="405"/>
      <c r="O29" s="405">
        <f t="shared" si="14"/>
        <v>8.3076923076923084</v>
      </c>
      <c r="P29" s="882">
        <f t="shared" si="15"/>
        <v>13.5</v>
      </c>
      <c r="Q29" s="405">
        <f t="shared" si="16"/>
        <v>5.1923076923076916</v>
      </c>
      <c r="R29" s="406"/>
      <c r="S29" s="368">
        <f t="shared" ref="S29:S36" si="17">S28-1</f>
        <v>8</v>
      </c>
      <c r="T29" s="368">
        <f t="shared" ref="T29:T36" si="18">T28-1</f>
        <v>8</v>
      </c>
      <c r="U29" s="368"/>
      <c r="V29" s="368"/>
    </row>
    <row r="30" spans="8:22" x14ac:dyDescent="0.3">
      <c r="H30" s="395">
        <v>44242</v>
      </c>
      <c r="I30" s="47">
        <v>648</v>
      </c>
      <c r="J30" s="358">
        <f t="shared" si="3"/>
        <v>25</v>
      </c>
      <c r="K30" s="368"/>
      <c r="L30" s="404"/>
      <c r="M30" s="405"/>
      <c r="N30" s="405"/>
      <c r="O30" s="405">
        <f t="shared" si="14"/>
        <v>6.7307692307692308</v>
      </c>
      <c r="P30" s="882">
        <f t="shared" si="15"/>
        <v>12.5</v>
      </c>
      <c r="Q30" s="405">
        <f t="shared" si="16"/>
        <v>5.7692307692307692</v>
      </c>
      <c r="R30" s="406"/>
      <c r="S30" s="368">
        <f t="shared" si="17"/>
        <v>7</v>
      </c>
      <c r="T30" s="368">
        <f t="shared" si="18"/>
        <v>7</v>
      </c>
      <c r="U30" s="368"/>
      <c r="V30" s="368"/>
    </row>
    <row r="31" spans="8:22" x14ac:dyDescent="0.3">
      <c r="H31" s="395">
        <v>44248</v>
      </c>
      <c r="I31" s="47">
        <v>663</v>
      </c>
      <c r="J31" s="358">
        <f t="shared" si="3"/>
        <v>15</v>
      </c>
      <c r="K31" s="368"/>
      <c r="L31" s="404"/>
      <c r="M31" s="405"/>
      <c r="N31" s="405"/>
      <c r="O31" s="405">
        <f t="shared" si="14"/>
        <v>3.4615384615384617</v>
      </c>
      <c r="P31" s="882">
        <f t="shared" si="15"/>
        <v>7.5</v>
      </c>
      <c r="Q31" s="405">
        <f t="shared" si="16"/>
        <v>4.0384615384615383</v>
      </c>
      <c r="R31" s="406"/>
      <c r="S31" s="368">
        <f t="shared" si="17"/>
        <v>6</v>
      </c>
      <c r="T31" s="368">
        <f t="shared" si="18"/>
        <v>6</v>
      </c>
      <c r="U31" s="368"/>
      <c r="V31" s="368"/>
    </row>
    <row r="32" spans="8:22" x14ac:dyDescent="0.3">
      <c r="H32" s="395">
        <v>44255</v>
      </c>
      <c r="I32" s="47">
        <v>679</v>
      </c>
      <c r="J32" s="358">
        <f t="shared" si="3"/>
        <v>16</v>
      </c>
      <c r="K32" s="368"/>
      <c r="L32" s="404"/>
      <c r="M32" s="405"/>
      <c r="N32" s="405"/>
      <c r="O32" s="405">
        <f t="shared" si="14"/>
        <v>3.0769230769230771</v>
      </c>
      <c r="P32" s="882">
        <f t="shared" si="15"/>
        <v>8</v>
      </c>
      <c r="Q32" s="405">
        <f t="shared" si="16"/>
        <v>4.9230769230769234</v>
      </c>
      <c r="R32" s="406"/>
      <c r="S32" s="368">
        <f t="shared" si="17"/>
        <v>5</v>
      </c>
      <c r="T32" s="368">
        <f t="shared" si="18"/>
        <v>5</v>
      </c>
      <c r="U32" s="368"/>
      <c r="V32" s="368"/>
    </row>
    <row r="33" spans="8:26" x14ac:dyDescent="0.3">
      <c r="H33" s="395">
        <v>44262</v>
      </c>
      <c r="I33" s="47">
        <v>687</v>
      </c>
      <c r="J33" s="358">
        <f t="shared" si="3"/>
        <v>8</v>
      </c>
      <c r="K33" s="368"/>
      <c r="L33" s="404"/>
      <c r="M33" s="405"/>
      <c r="N33" s="405"/>
      <c r="O33" s="405">
        <f t="shared" si="14"/>
        <v>1.2307692307692308</v>
      </c>
      <c r="P33" s="882">
        <f t="shared" si="15"/>
        <v>4</v>
      </c>
      <c r="Q33" s="405">
        <f t="shared" si="16"/>
        <v>2.7692307692307692</v>
      </c>
      <c r="R33" s="406"/>
      <c r="S33" s="368">
        <f t="shared" si="17"/>
        <v>4</v>
      </c>
      <c r="T33" s="368">
        <f t="shared" si="18"/>
        <v>4</v>
      </c>
      <c r="U33" s="368"/>
      <c r="V33" s="368"/>
    </row>
    <row r="34" spans="8:26" x14ac:dyDescent="0.3">
      <c r="H34" s="395">
        <v>44269</v>
      </c>
      <c r="I34" s="47">
        <v>704</v>
      </c>
      <c r="J34" s="358">
        <f t="shared" si="3"/>
        <v>17</v>
      </c>
      <c r="K34" s="368"/>
      <c r="L34" s="404"/>
      <c r="M34" s="405"/>
      <c r="N34" s="405"/>
      <c r="O34" s="405">
        <f t="shared" si="14"/>
        <v>1.9615384615384617</v>
      </c>
      <c r="P34" s="882">
        <f t="shared" si="15"/>
        <v>8.5</v>
      </c>
      <c r="Q34" s="405">
        <f t="shared" si="16"/>
        <v>6.5384615384615383</v>
      </c>
      <c r="R34" s="406"/>
      <c r="S34" s="368">
        <f t="shared" si="17"/>
        <v>3</v>
      </c>
      <c r="T34" s="368">
        <f t="shared" si="18"/>
        <v>3</v>
      </c>
      <c r="U34" s="368"/>
      <c r="V34" s="368"/>
    </row>
    <row r="35" spans="8:26" x14ac:dyDescent="0.3">
      <c r="H35" s="395">
        <v>44276</v>
      </c>
      <c r="I35" s="47">
        <v>718</v>
      </c>
      <c r="J35" s="358">
        <f t="shared" si="3"/>
        <v>14</v>
      </c>
      <c r="K35" s="368"/>
      <c r="L35" s="404"/>
      <c r="M35" s="405"/>
      <c r="N35" s="405"/>
      <c r="O35" s="405">
        <f t="shared" si="14"/>
        <v>1.0769230769230771</v>
      </c>
      <c r="P35" s="882">
        <f t="shared" si="15"/>
        <v>7</v>
      </c>
      <c r="Q35" s="405">
        <f t="shared" si="16"/>
        <v>5.9230769230769234</v>
      </c>
      <c r="R35" s="406"/>
      <c r="S35" s="368">
        <f t="shared" si="17"/>
        <v>2</v>
      </c>
      <c r="T35" s="368">
        <f t="shared" si="18"/>
        <v>2</v>
      </c>
      <c r="U35" s="368"/>
      <c r="V35" s="368"/>
    </row>
    <row r="36" spans="8:26" x14ac:dyDescent="0.3">
      <c r="H36" s="395">
        <v>44283</v>
      </c>
      <c r="I36" s="47">
        <v>734</v>
      </c>
      <c r="J36" s="358">
        <f t="shared" si="3"/>
        <v>16</v>
      </c>
      <c r="K36" s="368"/>
      <c r="L36" s="404"/>
      <c r="M36" s="405"/>
      <c r="N36" s="405"/>
      <c r="O36" s="405">
        <f t="shared" si="14"/>
        <v>0.61538461538461542</v>
      </c>
      <c r="P36" s="882">
        <f t="shared" si="15"/>
        <v>8</v>
      </c>
      <c r="Q36" s="405">
        <f t="shared" si="16"/>
        <v>7.384615384615385</v>
      </c>
      <c r="R36" s="406"/>
      <c r="S36" s="368">
        <f t="shared" si="17"/>
        <v>1</v>
      </c>
      <c r="T36" s="368">
        <f t="shared" si="18"/>
        <v>1</v>
      </c>
      <c r="U36" s="368"/>
      <c r="V36" s="368"/>
    </row>
    <row r="37" spans="8:26" x14ac:dyDescent="0.3">
      <c r="H37" s="395">
        <v>44290</v>
      </c>
      <c r="I37" s="47">
        <v>746</v>
      </c>
      <c r="J37" s="358">
        <f t="shared" si="3"/>
        <v>12</v>
      </c>
      <c r="K37" s="368"/>
      <c r="L37" s="404"/>
      <c r="M37" s="405"/>
      <c r="N37" s="405"/>
      <c r="O37" s="405"/>
      <c r="P37" s="882">
        <f>T37/26*J37</f>
        <v>6</v>
      </c>
      <c r="Q37" s="405">
        <f>J37/2</f>
        <v>6</v>
      </c>
      <c r="R37" s="406">
        <f>J37-Q37-P37</f>
        <v>0</v>
      </c>
      <c r="S37" s="368">
        <v>13</v>
      </c>
      <c r="T37" s="368">
        <v>13</v>
      </c>
      <c r="U37" s="368"/>
      <c r="V37" s="368"/>
    </row>
    <row r="38" spans="8:26" x14ac:dyDescent="0.3">
      <c r="H38" s="395">
        <v>44297</v>
      </c>
      <c r="I38" s="47">
        <v>755</v>
      </c>
      <c r="J38" s="358">
        <f t="shared" si="3"/>
        <v>9</v>
      </c>
      <c r="K38" s="368"/>
      <c r="L38" s="404"/>
      <c r="M38" s="405"/>
      <c r="N38" s="405"/>
      <c r="O38" s="405"/>
      <c r="P38" s="882">
        <f t="shared" ref="P38:P45" si="19">T38/26*J38</f>
        <v>4.1538461538461542</v>
      </c>
      <c r="Q38" s="405">
        <f t="shared" ref="Q38:Q45" si="20">J38/2</f>
        <v>4.5</v>
      </c>
      <c r="R38" s="406">
        <f t="shared" ref="R38:R45" si="21">J38-Q38-P38</f>
        <v>0.34615384615384581</v>
      </c>
      <c r="S38" s="368">
        <f>S37-1</f>
        <v>12</v>
      </c>
      <c r="T38" s="368">
        <f>T37-1</f>
        <v>12</v>
      </c>
      <c r="U38" s="368"/>
      <c r="V38" s="368"/>
    </row>
    <row r="39" spans="8:26" x14ac:dyDescent="0.3">
      <c r="H39" s="395">
        <v>44304</v>
      </c>
      <c r="I39" s="47">
        <v>762</v>
      </c>
      <c r="J39" s="358">
        <f t="shared" si="3"/>
        <v>7</v>
      </c>
      <c r="K39" s="368"/>
      <c r="L39" s="404"/>
      <c r="M39" s="405"/>
      <c r="N39" s="405"/>
      <c r="O39" s="405"/>
      <c r="P39" s="882">
        <f t="shared" si="19"/>
        <v>2.9615384615384617</v>
      </c>
      <c r="Q39" s="405">
        <f t="shared" si="20"/>
        <v>3.5</v>
      </c>
      <c r="R39" s="406">
        <f t="shared" si="21"/>
        <v>0.53846153846153832</v>
      </c>
      <c r="S39" s="368">
        <f t="shared" ref="S39:S45" si="22">S38-1</f>
        <v>11</v>
      </c>
      <c r="T39" s="368">
        <f t="shared" ref="T39:T45" si="23">T38-1</f>
        <v>11</v>
      </c>
      <c r="U39" s="368"/>
      <c r="V39" s="368"/>
    </row>
    <row r="40" spans="8:26" x14ac:dyDescent="0.3">
      <c r="H40" s="395">
        <v>44311</v>
      </c>
      <c r="I40" s="47">
        <v>771</v>
      </c>
      <c r="J40" s="358">
        <f t="shared" si="3"/>
        <v>9</v>
      </c>
      <c r="K40" s="368"/>
      <c r="L40" s="404"/>
      <c r="M40" s="405"/>
      <c r="N40" s="405"/>
      <c r="O40" s="405"/>
      <c r="P40" s="882">
        <f t="shared" si="19"/>
        <v>3.4615384615384617</v>
      </c>
      <c r="Q40" s="405">
        <f t="shared" si="20"/>
        <v>4.5</v>
      </c>
      <c r="R40" s="406">
        <f t="shared" si="21"/>
        <v>1.0384615384615383</v>
      </c>
      <c r="S40" s="368">
        <f t="shared" si="22"/>
        <v>10</v>
      </c>
      <c r="T40" s="368">
        <f t="shared" si="23"/>
        <v>10</v>
      </c>
      <c r="U40" s="368"/>
      <c r="V40" s="368"/>
    </row>
    <row r="41" spans="8:26" x14ac:dyDescent="0.3">
      <c r="H41" s="395">
        <v>44318</v>
      </c>
      <c r="I41" s="47">
        <v>780</v>
      </c>
      <c r="J41" s="358">
        <f t="shared" si="3"/>
        <v>9</v>
      </c>
      <c r="K41" s="368"/>
      <c r="L41" s="404"/>
      <c r="M41" s="405"/>
      <c r="N41" s="405"/>
      <c r="O41" s="405"/>
      <c r="P41" s="882">
        <f t="shared" si="19"/>
        <v>3.1153846153846154</v>
      </c>
      <c r="Q41" s="405">
        <f t="shared" si="20"/>
        <v>4.5</v>
      </c>
      <c r="R41" s="406">
        <f t="shared" si="21"/>
        <v>1.3846153846153846</v>
      </c>
      <c r="S41" s="368">
        <f t="shared" si="22"/>
        <v>9</v>
      </c>
      <c r="T41" s="368">
        <f t="shared" si="23"/>
        <v>9</v>
      </c>
      <c r="U41" s="368"/>
      <c r="V41" s="368"/>
    </row>
    <row r="42" spans="8:26" x14ac:dyDescent="0.3">
      <c r="H42" s="395">
        <v>44325</v>
      </c>
      <c r="I42" s="47">
        <v>782</v>
      </c>
      <c r="J42" s="358">
        <f t="shared" si="3"/>
        <v>2</v>
      </c>
      <c r="K42" s="368"/>
      <c r="L42" s="404"/>
      <c r="M42" s="405"/>
      <c r="N42" s="405"/>
      <c r="O42" s="405"/>
      <c r="P42" s="882">
        <f t="shared" si="19"/>
        <v>0.61538461538461542</v>
      </c>
      <c r="Q42" s="405">
        <f t="shared" si="20"/>
        <v>1</v>
      </c>
      <c r="R42" s="406">
        <f t="shared" si="21"/>
        <v>0.38461538461538458</v>
      </c>
      <c r="S42" s="368">
        <f t="shared" si="22"/>
        <v>8</v>
      </c>
      <c r="T42" s="368">
        <f t="shared" si="23"/>
        <v>8</v>
      </c>
      <c r="U42" s="368"/>
      <c r="V42" s="368"/>
    </row>
    <row r="43" spans="8:26" x14ac:dyDescent="0.3">
      <c r="H43" s="395">
        <v>44332</v>
      </c>
      <c r="I43" s="47">
        <v>788</v>
      </c>
      <c r="J43" s="358">
        <f t="shared" si="3"/>
        <v>6</v>
      </c>
      <c r="K43" s="368"/>
      <c r="L43" s="404"/>
      <c r="M43" s="405"/>
      <c r="N43" s="405"/>
      <c r="O43" s="405"/>
      <c r="P43" s="882">
        <f t="shared" si="19"/>
        <v>1.6153846153846154</v>
      </c>
      <c r="Q43" s="405">
        <f t="shared" si="20"/>
        <v>3</v>
      </c>
      <c r="R43" s="406">
        <f t="shared" si="21"/>
        <v>1.3846153846153846</v>
      </c>
      <c r="S43" s="368">
        <f t="shared" si="22"/>
        <v>7</v>
      </c>
      <c r="T43" s="368">
        <f t="shared" si="23"/>
        <v>7</v>
      </c>
      <c r="U43" s="368"/>
      <c r="V43" s="368"/>
    </row>
    <row r="44" spans="8:26" x14ac:dyDescent="0.3">
      <c r="H44" s="395">
        <v>44339</v>
      </c>
      <c r="I44" s="47">
        <v>796</v>
      </c>
      <c r="J44" s="358">
        <f t="shared" si="3"/>
        <v>8</v>
      </c>
      <c r="K44" s="368"/>
      <c r="L44" s="404"/>
      <c r="M44" s="405"/>
      <c r="N44" s="405"/>
      <c r="O44" s="405"/>
      <c r="P44" s="882">
        <f t="shared" si="19"/>
        <v>1.8461538461538463</v>
      </c>
      <c r="Q44" s="405">
        <f t="shared" si="20"/>
        <v>4</v>
      </c>
      <c r="R44" s="406">
        <f t="shared" si="21"/>
        <v>2.1538461538461537</v>
      </c>
      <c r="S44" s="368">
        <f t="shared" si="22"/>
        <v>6</v>
      </c>
      <c r="T44" s="368">
        <f t="shared" si="23"/>
        <v>6</v>
      </c>
      <c r="U44" s="368"/>
      <c r="V44" s="368"/>
    </row>
    <row r="45" spans="8:26" x14ac:dyDescent="0.3">
      <c r="H45" s="396">
        <v>44347</v>
      </c>
      <c r="I45" s="186">
        <v>800</v>
      </c>
      <c r="J45" s="221">
        <f t="shared" si="3"/>
        <v>4</v>
      </c>
      <c r="K45" s="368"/>
      <c r="L45" s="404"/>
      <c r="M45" s="405"/>
      <c r="N45" s="405"/>
      <c r="O45" s="405"/>
      <c r="P45" s="882">
        <f t="shared" si="19"/>
        <v>0.76923076923076927</v>
      </c>
      <c r="Q45" s="405">
        <f t="shared" si="20"/>
        <v>2</v>
      </c>
      <c r="R45" s="406">
        <f t="shared" si="21"/>
        <v>1.2307692307692308</v>
      </c>
      <c r="S45" s="368">
        <f t="shared" si="22"/>
        <v>5</v>
      </c>
      <c r="T45" s="368">
        <f t="shared" si="23"/>
        <v>5</v>
      </c>
      <c r="U45" s="368"/>
      <c r="V45" s="368"/>
    </row>
    <row r="46" spans="8:26" x14ac:dyDescent="0.3">
      <c r="H46" s="368"/>
      <c r="I46" s="368"/>
      <c r="J46" s="368"/>
      <c r="K46" s="368"/>
      <c r="L46" s="404">
        <f>SUM(L11:L45)</f>
        <v>184.80769230769229</v>
      </c>
      <c r="M46" s="405">
        <f t="shared" ref="M46:R46" si="24">SUM(M11:M45)</f>
        <v>261.42307692307696</v>
      </c>
      <c r="N46" s="405">
        <f t="shared" si="24"/>
        <v>77.692307692307693</v>
      </c>
      <c r="O46" s="405">
        <f t="shared" si="24"/>
        <v>53.384615384615394</v>
      </c>
      <c r="P46" s="882">
        <f t="shared" si="24"/>
        <v>129.03846153846155</v>
      </c>
      <c r="Q46" s="405">
        <f t="shared" si="24"/>
        <v>85.192307692307693</v>
      </c>
      <c r="R46" s="406">
        <f t="shared" si="24"/>
        <v>8.4615384615384599</v>
      </c>
      <c r="S46" s="368"/>
      <c r="T46" s="368"/>
      <c r="U46" s="368"/>
      <c r="V46" s="368"/>
    </row>
    <row r="47" spans="8:26" x14ac:dyDescent="0.3">
      <c r="H47" s="368"/>
      <c r="I47" s="368"/>
      <c r="J47" s="368"/>
      <c r="K47" s="368"/>
      <c r="L47" s="407">
        <f>L46*4</f>
        <v>739.23076923076917</v>
      </c>
      <c r="M47" s="408">
        <f t="shared" ref="M47:R47" si="25">M46*4</f>
        <v>1045.6923076923078</v>
      </c>
      <c r="N47" s="408">
        <f t="shared" si="25"/>
        <v>310.76923076923077</v>
      </c>
      <c r="O47" s="408">
        <f t="shared" si="25"/>
        <v>213.53846153846158</v>
      </c>
      <c r="P47" s="883">
        <f t="shared" si="25"/>
        <v>516.15384615384619</v>
      </c>
      <c r="Q47" s="408">
        <f t="shared" si="25"/>
        <v>340.76923076923077</v>
      </c>
      <c r="R47" s="409">
        <f t="shared" si="25"/>
        <v>33.84615384615384</v>
      </c>
      <c r="S47" s="368" t="s">
        <v>492</v>
      </c>
      <c r="T47" s="368"/>
      <c r="U47" s="368"/>
      <c r="V47" s="368"/>
    </row>
    <row r="48" spans="8:26" x14ac:dyDescent="0.3">
      <c r="J48" s="286" t="s">
        <v>1234</v>
      </c>
      <c r="M48" s="1171">
        <f>K55</f>
        <v>900.7</v>
      </c>
      <c r="N48" s="1171">
        <f t="shared" ref="N48:P48" si="26">L55</f>
        <v>270.7</v>
      </c>
      <c r="O48" s="1171">
        <f t="shared" si="26"/>
        <v>195.4</v>
      </c>
      <c r="P48" s="1171">
        <f t="shared" si="26"/>
        <v>451.9</v>
      </c>
      <c r="Q48" s="1171">
        <f>P48/P47*Q47</f>
        <v>298.34828614008939</v>
      </c>
      <c r="R48" s="1171">
        <f>Q48/Q47*R47</f>
        <v>29.632786885245892</v>
      </c>
      <c r="S48" s="115"/>
      <c r="T48" s="115"/>
      <c r="U48" s="115"/>
      <c r="V48" s="115"/>
      <c r="W48" s="115"/>
      <c r="X48" s="115"/>
      <c r="Y48" s="115"/>
      <c r="Z48" s="115"/>
    </row>
    <row r="49" spans="7:26" x14ac:dyDescent="0.3">
      <c r="Q49" s="115"/>
      <c r="R49" s="115"/>
      <c r="S49" s="115"/>
      <c r="T49" s="115"/>
      <c r="U49" s="115"/>
      <c r="V49" s="115"/>
      <c r="W49" s="115"/>
      <c r="X49" s="115"/>
      <c r="Y49" s="115"/>
      <c r="Z49" s="115"/>
    </row>
    <row r="50" spans="7:26" x14ac:dyDescent="0.3">
      <c r="H50" s="1371" t="s">
        <v>599</v>
      </c>
      <c r="I50" s="1372"/>
      <c r="J50" s="1346" t="s">
        <v>261</v>
      </c>
      <c r="K50" s="1347"/>
      <c r="L50" s="1347"/>
      <c r="M50" s="1347"/>
      <c r="N50" s="1347"/>
      <c r="O50" s="1347"/>
      <c r="P50" s="1219"/>
      <c r="Q50" s="386"/>
      <c r="R50" s="386"/>
      <c r="S50" s="386"/>
      <c r="T50" s="386"/>
      <c r="U50" s="386"/>
      <c r="V50" s="386"/>
      <c r="W50" s="386"/>
      <c r="X50" s="386"/>
      <c r="Y50" s="386"/>
      <c r="Z50" s="115"/>
    </row>
    <row r="51" spans="7:26" x14ac:dyDescent="0.3">
      <c r="H51" s="1373"/>
      <c r="I51" s="1374"/>
      <c r="J51" s="1335">
        <v>2020</v>
      </c>
      <c r="K51" s="1342"/>
      <c r="L51" s="1342"/>
      <c r="M51" s="1335">
        <v>2021</v>
      </c>
      <c r="N51" s="1336"/>
      <c r="O51" s="1336"/>
      <c r="P51" s="1220"/>
      <c r="Q51" s="1377"/>
      <c r="R51" s="1377"/>
      <c r="S51" s="1377"/>
      <c r="T51" s="1377"/>
      <c r="U51" s="1368"/>
      <c r="V51" s="1368"/>
      <c r="W51" s="1368"/>
      <c r="X51" s="1368"/>
      <c r="Y51" s="115"/>
      <c r="Z51" s="115"/>
    </row>
    <row r="52" spans="7:26" x14ac:dyDescent="0.3">
      <c r="H52" s="1375"/>
      <c r="I52" s="1376"/>
      <c r="J52" s="205" t="s">
        <v>136</v>
      </c>
      <c r="K52" s="190" t="s">
        <v>137</v>
      </c>
      <c r="L52" s="190" t="s">
        <v>138</v>
      </c>
      <c r="M52" s="39" t="s">
        <v>135</v>
      </c>
      <c r="N52" s="40" t="s">
        <v>136</v>
      </c>
      <c r="O52" s="40" t="s">
        <v>137</v>
      </c>
      <c r="P52" s="66" t="s">
        <v>138</v>
      </c>
      <c r="Q52" s="360"/>
      <c r="R52" s="37"/>
      <c r="S52" s="115"/>
      <c r="T52" s="115"/>
      <c r="U52" s="360"/>
      <c r="V52" s="37"/>
      <c r="W52" s="115"/>
      <c r="X52" s="115"/>
      <c r="Y52" s="115"/>
      <c r="Z52" s="115"/>
    </row>
    <row r="53" spans="7:26" ht="32.5" customHeight="1" x14ac:dyDescent="0.3">
      <c r="H53" s="71" t="s">
        <v>989</v>
      </c>
      <c r="I53" s="360" t="s">
        <v>243</v>
      </c>
      <c r="J53" s="1217">
        <f>'Haver Pivoted'!GU47</f>
        <v>57.2</v>
      </c>
      <c r="K53" s="1218">
        <f>'Haver Pivoted'!GV47</f>
        <v>81.2</v>
      </c>
      <c r="L53" s="1218">
        <f>'Haver Pivoted'!GW47</f>
        <v>24.4</v>
      </c>
      <c r="M53" s="376">
        <f>'Haver Pivoted'!GX47</f>
        <v>10.8</v>
      </c>
      <c r="N53" s="376">
        <f>'Haver Pivoted'!GY47</f>
        <v>24.7</v>
      </c>
      <c r="O53" s="1192">
        <f>'Haver Pivoted'!GZ47</f>
        <v>0</v>
      </c>
      <c r="P53" s="336" t="e">
        <f>O56*R47</f>
        <v>#DIV/0!</v>
      </c>
      <c r="Q53" s="376"/>
      <c r="R53" s="376"/>
      <c r="S53" s="115"/>
      <c r="T53" s="115"/>
      <c r="U53" s="115"/>
      <c r="V53" s="115"/>
      <c r="W53" s="115"/>
      <c r="X53" s="115"/>
      <c r="Y53" s="115"/>
      <c r="Z53" s="115"/>
    </row>
    <row r="54" spans="7:26" ht="33.5" customHeight="1" x14ac:dyDescent="0.3">
      <c r="H54" s="60" t="s">
        <v>990</v>
      </c>
      <c r="I54" s="68" t="s">
        <v>245</v>
      </c>
      <c r="J54" s="798">
        <f>'Haver Pivoted'!GU49</f>
        <v>576.9</v>
      </c>
      <c r="K54" s="376">
        <f>'Haver Pivoted'!GV49</f>
        <v>819.5</v>
      </c>
      <c r="L54" s="376">
        <f>'Haver Pivoted'!GW49</f>
        <v>246.3</v>
      </c>
      <c r="M54" s="376">
        <f>'Haver Pivoted'!GX49</f>
        <v>184.6</v>
      </c>
      <c r="N54" s="376">
        <f>'Haver Pivoted'!GY49</f>
        <v>427.2</v>
      </c>
      <c r="O54" s="1192">
        <f>'Haver Pivoted'!GZ49</f>
        <v>0</v>
      </c>
      <c r="P54" s="379" t="e">
        <f>R47-P53</f>
        <v>#DIV/0!</v>
      </c>
      <c r="Q54" s="376"/>
      <c r="R54" s="376"/>
      <c r="S54" s="115"/>
      <c r="T54" s="115"/>
      <c r="U54" s="115"/>
      <c r="V54" s="115"/>
      <c r="W54" s="115"/>
      <c r="X54" s="115"/>
      <c r="Y54" s="115"/>
      <c r="Z54" s="115"/>
    </row>
    <row r="55" spans="7:26" x14ac:dyDescent="0.3">
      <c r="H55" s="45" t="s">
        <v>5</v>
      </c>
      <c r="I55" s="47"/>
      <c r="J55" s="798">
        <f>J54+J53</f>
        <v>634.1</v>
      </c>
      <c r="K55" s="376">
        <f t="shared" ref="K55:M55" si="27">K54+K53</f>
        <v>900.7</v>
      </c>
      <c r="L55" s="376">
        <f t="shared" si="27"/>
        <v>270.7</v>
      </c>
      <c r="M55" s="376">
        <f t="shared" si="27"/>
        <v>195.4</v>
      </c>
      <c r="N55" s="376">
        <f t="shared" ref="N55:O55" si="28">N54+N53</f>
        <v>451.9</v>
      </c>
      <c r="O55" s="1192">
        <f t="shared" si="28"/>
        <v>0</v>
      </c>
      <c r="P55" s="379" t="e">
        <f t="shared" ref="P55" si="29">P54+P53</f>
        <v>#DIV/0!</v>
      </c>
      <c r="Q55" s="376"/>
      <c r="R55" s="376"/>
    </row>
    <row r="56" spans="7:26" x14ac:dyDescent="0.3">
      <c r="H56" s="215" t="s">
        <v>569</v>
      </c>
      <c r="I56" s="186"/>
      <c r="J56" s="799">
        <f t="shared" ref="J56:O56" si="30">J53/J55</f>
        <v>9.0206592020186091E-2</v>
      </c>
      <c r="K56" s="800">
        <f t="shared" si="30"/>
        <v>9.015210391917397E-2</v>
      </c>
      <c r="L56" s="800">
        <f t="shared" si="30"/>
        <v>9.0136682674547469E-2</v>
      </c>
      <c r="M56" s="800">
        <f t="shared" si="30"/>
        <v>5.527123848515865E-2</v>
      </c>
      <c r="N56" s="800">
        <f t="shared" si="30"/>
        <v>5.4658110201371984E-2</v>
      </c>
      <c r="O56" s="801" t="e">
        <f t="shared" si="30"/>
        <v>#DIV/0!</v>
      </c>
      <c r="P56" s="383" t="e">
        <f t="shared" ref="P56" si="31">O56</f>
        <v>#DIV/0!</v>
      </c>
      <c r="Q56" s="384" t="s">
        <v>601</v>
      </c>
      <c r="R56" s="385"/>
    </row>
    <row r="57" spans="7:26" x14ac:dyDescent="0.3">
      <c r="S57" s="37"/>
      <c r="T57" s="37"/>
    </row>
    <row r="58" spans="7:26" x14ac:dyDescent="0.3">
      <c r="L58" s="37"/>
      <c r="M58" s="37"/>
      <c r="N58" s="37"/>
      <c r="O58" s="37"/>
      <c r="P58" s="37"/>
      <c r="Q58" s="37"/>
      <c r="R58" s="37"/>
      <c r="S58" s="37"/>
      <c r="T58" s="37"/>
      <c r="U58" s="37"/>
    </row>
    <row r="59" spans="7:26" x14ac:dyDescent="0.3">
      <c r="G59" s="37"/>
      <c r="H59" s="132"/>
      <c r="I59" s="910"/>
      <c r="J59" s="376"/>
      <c r="K59" s="376"/>
      <c r="L59" s="376" t="s">
        <v>1240</v>
      </c>
      <c r="M59" s="376"/>
      <c r="N59" s="376"/>
      <c r="O59" s="376"/>
      <c r="P59" s="376"/>
      <c r="Q59" s="376"/>
      <c r="R59" s="376"/>
      <c r="S59" s="376"/>
      <c r="T59" s="37"/>
      <c r="U59" s="37"/>
    </row>
    <row r="60" spans="7:26" x14ac:dyDescent="0.3">
      <c r="G60" s="37"/>
      <c r="H60" s="132"/>
      <c r="I60" s="72"/>
      <c r="J60" s="376"/>
      <c r="K60" s="376"/>
      <c r="L60" s="376"/>
      <c r="M60" s="376" t="s">
        <v>704</v>
      </c>
      <c r="N60" s="376" t="s">
        <v>705</v>
      </c>
      <c r="O60" s="376" t="s">
        <v>706</v>
      </c>
      <c r="P60" s="376"/>
      <c r="Q60" s="376"/>
      <c r="R60" s="376"/>
      <c r="S60" s="376"/>
      <c r="T60" s="37"/>
      <c r="U60" s="37"/>
    </row>
    <row r="61" spans="7:26" x14ac:dyDescent="0.3">
      <c r="G61" s="37"/>
      <c r="H61" s="37"/>
      <c r="I61" s="910"/>
      <c r="J61" s="376"/>
      <c r="K61" s="376"/>
      <c r="L61" s="376"/>
      <c r="M61" s="376"/>
      <c r="N61" s="376"/>
      <c r="O61" s="376"/>
      <c r="P61" s="376"/>
      <c r="Q61" s="376"/>
      <c r="R61" s="376"/>
      <c r="S61" s="376"/>
      <c r="T61" s="37"/>
      <c r="U61" s="37"/>
    </row>
    <row r="62" spans="7:26" x14ac:dyDescent="0.3">
      <c r="G62" s="37"/>
      <c r="H62" s="37"/>
      <c r="I62" s="910"/>
      <c r="J62" s="385"/>
      <c r="K62" s="385"/>
      <c r="L62" s="385"/>
      <c r="M62" s="385"/>
      <c r="N62" s="385"/>
      <c r="O62" s="385"/>
      <c r="P62" s="385"/>
      <c r="Q62" s="384"/>
      <c r="R62" s="385"/>
      <c r="S62" s="384"/>
      <c r="T62" s="37"/>
      <c r="U62" s="37"/>
    </row>
    <row r="63" spans="7:26" x14ac:dyDescent="0.3">
      <c r="G63" s="37"/>
      <c r="H63" s="37"/>
      <c r="I63" s="37"/>
      <c r="J63" s="37"/>
      <c r="K63" s="37"/>
      <c r="L63" s="37" t="s">
        <v>1235</v>
      </c>
      <c r="M63" s="37">
        <v>4.8999999999999995</v>
      </c>
      <c r="N63" s="37">
        <v>11.333333333333334</v>
      </c>
      <c r="O63" s="37">
        <f>'Monthly Personal Income'!M18</f>
        <v>7.7</v>
      </c>
      <c r="P63" s="37">
        <f>O63/N63-1</f>
        <v>-0.32058823529411762</v>
      </c>
      <c r="Q63" s="37"/>
      <c r="R63" s="37"/>
      <c r="S63" s="37"/>
      <c r="T63" s="37"/>
      <c r="U63" s="37"/>
    </row>
    <row r="64" spans="7:26" x14ac:dyDescent="0.3">
      <c r="L64" s="286" t="s">
        <v>1236</v>
      </c>
      <c r="M64" s="286">
        <v>76.733333333333334</v>
      </c>
      <c r="N64" s="286">
        <v>177.63333333333333</v>
      </c>
      <c r="O64" s="286">
        <f>'Monthly Personal Income'!M21</f>
        <v>116.36666666666667</v>
      </c>
      <c r="P64" s="37">
        <f t="shared" ref="P64:P67" si="32">O64/N64-1</f>
        <v>-0.34490523550384677</v>
      </c>
    </row>
    <row r="65" spans="12:16" x14ac:dyDescent="0.3">
      <c r="L65" s="286" t="s">
        <v>1237</v>
      </c>
      <c r="M65" s="286">
        <f>M64+M63</f>
        <v>81.63333333333334</v>
      </c>
      <c r="N65" s="286">
        <f>N64+N63</f>
        <v>188.96666666666667</v>
      </c>
      <c r="O65" s="286">
        <f>O64+O63</f>
        <v>124.06666666666668</v>
      </c>
      <c r="P65" s="37">
        <f t="shared" si="32"/>
        <v>-0.34344681601693416</v>
      </c>
    </row>
    <row r="66" spans="12:16" x14ac:dyDescent="0.3">
      <c r="L66" s="286" t="s">
        <v>1238</v>
      </c>
      <c r="M66" s="286">
        <f>AVERAGE('Monthly Personal Income'!D45:F45)</f>
        <v>10.833333333333334</v>
      </c>
      <c r="N66" s="286">
        <f>AVERAGE('Monthly Personal Income'!G45:I45)</f>
        <v>24.733333333333334</v>
      </c>
      <c r="O66" s="286">
        <f>'Monthly Personal Income'!M45</f>
        <v>15.066666666666668</v>
      </c>
      <c r="P66" s="37">
        <f t="shared" si="32"/>
        <v>-0.39083557951482473</v>
      </c>
    </row>
    <row r="67" spans="12:16" x14ac:dyDescent="0.3">
      <c r="L67" s="286" t="s">
        <v>1239</v>
      </c>
      <c r="M67" s="1171">
        <f>M68-M66-M65</f>
        <v>102.93333333333332</v>
      </c>
      <c r="N67" s="1171">
        <f>N68-N66-N65</f>
        <v>238.19999999999996</v>
      </c>
      <c r="O67" s="286">
        <f>N67/(N66+N65)*(O65+O66)</f>
        <v>155.08451099672439</v>
      </c>
      <c r="P67" s="37">
        <f t="shared" si="32"/>
        <v>-0.34893152394322247</v>
      </c>
    </row>
    <row r="68" spans="12:16" x14ac:dyDescent="0.3">
      <c r="L68" s="286" t="s">
        <v>5</v>
      </c>
      <c r="M68" s="1171">
        <f>M55</f>
        <v>195.4</v>
      </c>
      <c r="N68" s="1171">
        <f>N55</f>
        <v>451.9</v>
      </c>
      <c r="O68" s="286">
        <f>O67+O66+O65</f>
        <v>294.21784433005774</v>
      </c>
    </row>
    <row r="69" spans="12:16" x14ac:dyDescent="0.3">
      <c r="M69" s="286">
        <f>M67/M68</f>
        <v>0.52678266803138851</v>
      </c>
      <c r="N69" s="286">
        <f>N67/N68</f>
        <v>0.52710776720513386</v>
      </c>
      <c r="O69" s="1171">
        <f>O55-O68</f>
        <v>-294.21784433005774</v>
      </c>
    </row>
  </sheetData>
  <mergeCells count="9">
    <mergeCell ref="U51:X51"/>
    <mergeCell ref="H2:S5"/>
    <mergeCell ref="H1:S1"/>
    <mergeCell ref="L9:N9"/>
    <mergeCell ref="H50:I52"/>
    <mergeCell ref="J51:L51"/>
    <mergeCell ref="Q51:T51"/>
    <mergeCell ref="J50:O50"/>
    <mergeCell ref="M51:O51"/>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79" zoomScale="63" zoomScaleNormal="80" workbookViewId="0">
      <selection activeCell="D90" sqref="D90:AC92"/>
    </sheetView>
  </sheetViews>
  <sheetFormatPr defaultColWidth="8.6328125" defaultRowHeight="14" x14ac:dyDescent="0.3"/>
  <cols>
    <col min="1" max="1" width="8.6328125" style="115" customWidth="1"/>
    <col min="2" max="2" width="40.453125" style="36" customWidth="1"/>
    <col min="3" max="3" width="7.1796875" style="36" customWidth="1"/>
    <col min="4" max="4" width="11.1796875" style="286" customWidth="1"/>
    <col min="5" max="5" width="12.36328125" style="286" customWidth="1"/>
    <col min="6" max="7" width="7.1796875" style="286" customWidth="1"/>
    <col min="8" max="8" width="10.36328125" style="36" customWidth="1"/>
    <col min="9" max="9" width="11.36328125" style="36" customWidth="1"/>
    <col min="10" max="13" width="7.6328125" style="36" customWidth="1"/>
    <col min="14" max="25" width="8.1796875" style="36" customWidth="1"/>
    <col min="26" max="29" width="8.1796875" style="286" customWidth="1"/>
    <col min="30" max="30" width="29.6328125" style="286" customWidth="1"/>
    <col min="31" max="31" width="31.1796875" style="286" customWidth="1"/>
    <col min="32" max="32" width="114.81640625" style="36" customWidth="1"/>
    <col min="33" max="16384" width="8.6328125" style="36"/>
  </cols>
  <sheetData>
    <row r="1" spans="1:88" x14ac:dyDescent="0.3">
      <c r="B1" s="1333" t="s">
        <v>0</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735"/>
      <c r="AA1" s="775"/>
      <c r="AB1" s="775"/>
      <c r="AC1" s="775"/>
      <c r="AD1" s="613"/>
      <c r="AE1" s="613"/>
    </row>
    <row r="2" spans="1:88" ht="14" customHeight="1" x14ac:dyDescent="0.3">
      <c r="B2" s="1334" t="s">
        <v>987</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289"/>
      <c r="AE2" s="289"/>
    </row>
    <row r="3" spans="1:88" ht="50.5" customHeight="1"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289"/>
      <c r="AE3" s="289"/>
    </row>
    <row r="4" spans="1:88" ht="5" customHeight="1"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289"/>
      <c r="AE4" s="289"/>
    </row>
    <row r="5" spans="1:88" x14ac:dyDescent="0.3">
      <c r="B5" s="170" t="s">
        <v>397</v>
      </c>
    </row>
    <row r="6" spans="1:88" ht="14.5" customHeight="1" x14ac:dyDescent="0.3">
      <c r="B6" s="1338" t="s">
        <v>355</v>
      </c>
      <c r="C6" s="1339"/>
      <c r="D6" s="1346" t="s">
        <v>261</v>
      </c>
      <c r="E6" s="1347"/>
      <c r="F6" s="1347"/>
      <c r="G6" s="1347"/>
      <c r="H6" s="1347"/>
      <c r="I6" s="1347"/>
      <c r="J6" s="1347"/>
      <c r="K6" s="1347"/>
      <c r="L6" s="1347"/>
      <c r="M6" s="1392"/>
      <c r="N6" s="1393"/>
      <c r="O6" s="1349" t="s">
        <v>143</v>
      </c>
      <c r="P6" s="1350"/>
      <c r="Q6" s="1350"/>
      <c r="R6" s="1350"/>
      <c r="S6" s="1350"/>
      <c r="T6" s="1350"/>
      <c r="U6" s="1350"/>
      <c r="V6" s="1350"/>
      <c r="W6" s="1350"/>
      <c r="X6" s="1350"/>
      <c r="Y6" s="1350"/>
      <c r="Z6" s="1350"/>
      <c r="AA6" s="1350"/>
      <c r="AB6" s="1350"/>
      <c r="AC6" s="1351"/>
      <c r="AD6" s="1386" t="s">
        <v>985</v>
      </c>
      <c r="AE6" s="1389" t="s">
        <v>984</v>
      </c>
    </row>
    <row r="7" spans="1:88" ht="24" customHeight="1" x14ac:dyDescent="0.3">
      <c r="B7" s="1340"/>
      <c r="C7" s="1341"/>
      <c r="D7" s="736">
        <v>2018</v>
      </c>
      <c r="E7" s="1335">
        <v>2019</v>
      </c>
      <c r="F7" s="1342"/>
      <c r="G7" s="1342"/>
      <c r="H7" s="1337"/>
      <c r="I7" s="1335">
        <v>2020</v>
      </c>
      <c r="J7" s="1342"/>
      <c r="K7" s="1342"/>
      <c r="L7" s="1336"/>
      <c r="M7" s="1335">
        <v>2021</v>
      </c>
      <c r="N7" s="1336"/>
      <c r="O7" s="1337"/>
      <c r="P7" s="803">
        <v>2021</v>
      </c>
      <c r="Q7" s="1343">
        <v>2022</v>
      </c>
      <c r="R7" s="1385"/>
      <c r="S7" s="1385"/>
      <c r="T7" s="1345"/>
      <c r="U7" s="1343">
        <v>2023</v>
      </c>
      <c r="V7" s="1385"/>
      <c r="W7" s="1385"/>
      <c r="X7" s="1344"/>
      <c r="Y7" s="1343">
        <v>2024</v>
      </c>
      <c r="Z7" s="1344"/>
      <c r="AA7" s="1344"/>
      <c r="AB7" s="1345"/>
      <c r="AC7" s="439">
        <v>2025</v>
      </c>
      <c r="AD7" s="1387"/>
      <c r="AE7" s="1390"/>
    </row>
    <row r="8" spans="1:88" ht="14" customHeight="1" x14ac:dyDescent="0.3">
      <c r="B8" s="1383"/>
      <c r="C8" s="1384"/>
      <c r="D8" s="211" t="s">
        <v>138</v>
      </c>
      <c r="E8" s="211" t="s">
        <v>135</v>
      </c>
      <c r="F8" s="189" t="s">
        <v>136</v>
      </c>
      <c r="G8" s="189" t="s">
        <v>137</v>
      </c>
      <c r="H8" s="197" t="s">
        <v>138</v>
      </c>
      <c r="I8" s="190" t="s">
        <v>135</v>
      </c>
      <c r="J8" s="190" t="s">
        <v>136</v>
      </c>
      <c r="K8" s="190" t="s">
        <v>137</v>
      </c>
      <c r="L8" s="190" t="s">
        <v>138</v>
      </c>
      <c r="M8" s="39" t="s">
        <v>135</v>
      </c>
      <c r="N8" s="40" t="s">
        <v>136</v>
      </c>
      <c r="O8" s="41" t="s">
        <v>137</v>
      </c>
      <c r="P8" s="1184" t="s">
        <v>138</v>
      </c>
      <c r="Q8" s="737" t="s">
        <v>135</v>
      </c>
      <c r="R8" s="738" t="s">
        <v>136</v>
      </c>
      <c r="S8" s="738" t="s">
        <v>137</v>
      </c>
      <c r="T8" s="738" t="s">
        <v>138</v>
      </c>
      <c r="U8" s="737" t="s">
        <v>135</v>
      </c>
      <c r="V8" s="738" t="s">
        <v>136</v>
      </c>
      <c r="W8" s="738" t="s">
        <v>137</v>
      </c>
      <c r="X8" s="738" t="s">
        <v>138</v>
      </c>
      <c r="Y8" s="776" t="s">
        <v>135</v>
      </c>
      <c r="Z8" s="533" t="s">
        <v>136</v>
      </c>
      <c r="AA8" s="777" t="s">
        <v>137</v>
      </c>
      <c r="AB8" s="778" t="s">
        <v>138</v>
      </c>
      <c r="AC8" s="80" t="s">
        <v>135</v>
      </c>
      <c r="AD8" s="1388"/>
      <c r="AE8" s="1391"/>
    </row>
    <row r="9" spans="1:88" ht="23.5" customHeight="1" x14ac:dyDescent="0.3">
      <c r="B9" s="337" t="s">
        <v>556</v>
      </c>
      <c r="C9" s="873" t="s">
        <v>228</v>
      </c>
      <c r="D9" s="874"/>
      <c r="E9" s="1227"/>
      <c r="F9" s="1227"/>
      <c r="G9" s="1227"/>
      <c r="H9" s="1058">
        <f>'Haver Pivoted'!GS32</f>
        <v>622.4</v>
      </c>
      <c r="I9" s="1058">
        <f>'Haver Pivoted'!GT32</f>
        <v>640.6</v>
      </c>
      <c r="J9" s="1058">
        <f>'Haver Pivoted'!GU32</f>
        <v>1400</v>
      </c>
      <c r="K9" s="1058">
        <f>'Haver Pivoted'!GV32</f>
        <v>738.5</v>
      </c>
      <c r="L9" s="1058">
        <f>'Haver Pivoted'!GW32</f>
        <v>743</v>
      </c>
      <c r="M9" s="596">
        <f>'Haver Pivoted'!GX32</f>
        <v>781.5</v>
      </c>
      <c r="N9" s="596">
        <f>'Haver Pivoted'!GY32</f>
        <v>1632.2</v>
      </c>
      <c r="O9" s="1078">
        <f>'Haver Pivoted'!GZ32</f>
        <v>0</v>
      </c>
      <c r="P9" s="335" t="e">
        <f t="shared" ref="P9:AC9" si="0">P10+P11</f>
        <v>#DIV/0!</v>
      </c>
      <c r="Q9" s="335" t="e">
        <f t="shared" si="0"/>
        <v>#DIV/0!</v>
      </c>
      <c r="R9" s="335" t="e">
        <f t="shared" si="0"/>
        <v>#DIV/0!</v>
      </c>
      <c r="S9" s="335" t="e">
        <f t="shared" si="0"/>
        <v>#DIV/0!</v>
      </c>
      <c r="T9" s="335" t="e">
        <f t="shared" si="0"/>
        <v>#DIV/0!</v>
      </c>
      <c r="U9" s="335" t="e">
        <f t="shared" si="0"/>
        <v>#DIV/0!</v>
      </c>
      <c r="V9" s="335" t="e">
        <f t="shared" si="0"/>
        <v>#DIV/0!</v>
      </c>
      <c r="W9" s="335" t="e">
        <f t="shared" si="0"/>
        <v>#DIV/0!</v>
      </c>
      <c r="X9" s="335" t="e">
        <f t="shared" si="0"/>
        <v>#DIV/0!</v>
      </c>
      <c r="Y9" s="335" t="e">
        <f t="shared" si="0"/>
        <v>#DIV/0!</v>
      </c>
      <c r="Z9" s="335" t="e">
        <f t="shared" si="0"/>
        <v>#DIV/0!</v>
      </c>
      <c r="AA9" s="335" t="e">
        <f t="shared" si="0"/>
        <v>#DIV/0!</v>
      </c>
      <c r="AB9" s="335" t="e">
        <f t="shared" si="0"/>
        <v>#DIV/0!</v>
      </c>
      <c r="AC9" s="517" t="e">
        <f t="shared" si="0"/>
        <v>#DIV/0!</v>
      </c>
      <c r="AD9" s="802"/>
      <c r="AE9" s="623"/>
    </row>
    <row r="10" spans="1:88" s="90" customFormat="1" ht="28" x14ac:dyDescent="0.3">
      <c r="A10" s="131"/>
      <c r="B10" s="161" t="s">
        <v>180</v>
      </c>
      <c r="C10" s="742" t="s">
        <v>236</v>
      </c>
      <c r="D10" s="156"/>
      <c r="E10" s="171"/>
      <c r="F10" s="171"/>
      <c r="G10" s="171"/>
      <c r="H10" s="787">
        <f>'Haver Pivoted'!GS40</f>
        <v>413.80599999999998</v>
      </c>
      <c r="I10" s="787">
        <f>'Haver Pivoted'!GT40</f>
        <v>428.11799999999999</v>
      </c>
      <c r="J10" s="787">
        <f>'Haver Pivoted'!GU40</f>
        <v>502.49</v>
      </c>
      <c r="K10" s="787">
        <f>'Haver Pivoted'!GV40</f>
        <v>481.71699999999998</v>
      </c>
      <c r="L10" s="787">
        <f>'Haver Pivoted'!GW40</f>
        <v>507.83699999999999</v>
      </c>
      <c r="M10" s="787">
        <f>'Haver Pivoted'!GX40</f>
        <v>511.34500000000003</v>
      </c>
      <c r="N10" s="787">
        <f>'Haver Pivoted'!GY40</f>
        <v>520.72900000000004</v>
      </c>
      <c r="O10" s="1228">
        <f>'Haver Pivoted'!GZ40</f>
        <v>0</v>
      </c>
      <c r="P10" s="539" t="e">
        <f>Medicaid!L26</f>
        <v>#DIV/0!</v>
      </c>
      <c r="Q10" s="539" t="e">
        <f>Medicaid!M26</f>
        <v>#DIV/0!</v>
      </c>
      <c r="R10" s="539" t="e">
        <f>Medicaid!N26</f>
        <v>#DIV/0!</v>
      </c>
      <c r="S10" s="539" t="e">
        <f>Medicaid!O26</f>
        <v>#DIV/0!</v>
      </c>
      <c r="T10" s="539" t="e">
        <f>Medicaid!P26</f>
        <v>#DIV/0!</v>
      </c>
      <c r="U10" s="539" t="e">
        <f>Medicaid!Q26</f>
        <v>#DIV/0!</v>
      </c>
      <c r="V10" s="539" t="e">
        <f>Medicaid!R26</f>
        <v>#DIV/0!</v>
      </c>
      <c r="W10" s="539" t="e">
        <f>Medicaid!S26</f>
        <v>#DIV/0!</v>
      </c>
      <c r="X10" s="539" t="e">
        <f>Medicaid!T26</f>
        <v>#DIV/0!</v>
      </c>
      <c r="Y10" s="539" t="e">
        <f>Medicaid!U26</f>
        <v>#DIV/0!</v>
      </c>
      <c r="Z10" s="539" t="e">
        <f>Medicaid!V26</f>
        <v>#DIV/0!</v>
      </c>
      <c r="AA10" s="539" t="e">
        <f>Medicaid!W26</f>
        <v>#DIV/0!</v>
      </c>
      <c r="AB10" s="539" t="e">
        <f>Medicaid!X26</f>
        <v>#DIV/0!</v>
      </c>
      <c r="AC10" s="540" t="e">
        <f>Medicaid!Y26</f>
        <v>#DIV/0!</v>
      </c>
      <c r="AD10" s="875"/>
      <c r="AE10" s="624"/>
    </row>
    <row r="11" spans="1:88" s="90" customFormat="1" ht="17" customHeight="1" x14ac:dyDescent="0.3">
      <c r="A11" s="131"/>
      <c r="B11" s="53" t="s">
        <v>348</v>
      </c>
      <c r="C11" s="742"/>
      <c r="D11" s="156"/>
      <c r="E11" s="171"/>
      <c r="F11" s="171"/>
      <c r="G11" s="171"/>
      <c r="H11" s="787">
        <f>H9-H10</f>
        <v>208.59399999999999</v>
      </c>
      <c r="I11" s="787">
        <f t="shared" ref="I11:O11" si="1">I9-I10</f>
        <v>212.48200000000003</v>
      </c>
      <c r="J11" s="787">
        <f t="shared" si="1"/>
        <v>897.51</v>
      </c>
      <c r="K11" s="787">
        <f t="shared" si="1"/>
        <v>256.78300000000002</v>
      </c>
      <c r="L11" s="787">
        <f t="shared" si="1"/>
        <v>235.16300000000001</v>
      </c>
      <c r="M11" s="787">
        <f t="shared" si="1"/>
        <v>270.15499999999997</v>
      </c>
      <c r="N11" s="787">
        <f t="shared" si="1"/>
        <v>1111.471</v>
      </c>
      <c r="O11" s="1228">
        <f t="shared" si="1"/>
        <v>0</v>
      </c>
      <c r="P11" s="539" t="e">
        <f t="shared" ref="P11:AC11" si="2">SUM(P12:P20)</f>
        <v>#DIV/0!</v>
      </c>
      <c r="Q11" s="539" t="e">
        <f t="shared" si="2"/>
        <v>#DIV/0!</v>
      </c>
      <c r="R11" s="539" t="e">
        <f t="shared" si="2"/>
        <v>#DIV/0!</v>
      </c>
      <c r="S11" s="539" t="e">
        <f t="shared" si="2"/>
        <v>#DIV/0!</v>
      </c>
      <c r="T11" s="539">
        <f t="shared" si="2"/>
        <v>-40.308913365947774</v>
      </c>
      <c r="U11" s="539">
        <f t="shared" si="2"/>
        <v>-46.193749900585686</v>
      </c>
      <c r="V11" s="539">
        <f t="shared" si="2"/>
        <v>-52.313979896609112</v>
      </c>
      <c r="W11" s="539">
        <f t="shared" si="2"/>
        <v>-58.679019092473482</v>
      </c>
      <c r="X11" s="539">
        <f t="shared" si="2"/>
        <v>-86.556659856172416</v>
      </c>
      <c r="Y11" s="539">
        <f t="shared" si="2"/>
        <v>-118.44108625041929</v>
      </c>
      <c r="Z11" s="539">
        <f t="shared" si="2"/>
        <v>-144.60088970043606</v>
      </c>
      <c r="AA11" s="539">
        <f t="shared" si="2"/>
        <v>-152.0470852884535</v>
      </c>
      <c r="AB11" s="539">
        <f t="shared" si="2"/>
        <v>-173.66712869999165</v>
      </c>
      <c r="AC11" s="540">
        <f t="shared" si="2"/>
        <v>-181.72093384799132</v>
      </c>
      <c r="AD11" s="875"/>
      <c r="AE11" s="624"/>
    </row>
    <row r="12" spans="1:88" s="90" customFormat="1" ht="16" customHeight="1" x14ac:dyDescent="0.3">
      <c r="A12" s="131"/>
      <c r="B12" s="91" t="s">
        <v>287</v>
      </c>
      <c r="C12" s="343" t="s">
        <v>1</v>
      </c>
      <c r="D12" s="811"/>
      <c r="E12" s="788"/>
      <c r="F12" s="788"/>
      <c r="G12" s="788"/>
      <c r="H12" s="347"/>
      <c r="I12" s="347"/>
      <c r="J12" s="347">
        <f>'Haver Pivoted'!GU56</f>
        <v>597.9</v>
      </c>
      <c r="K12" s="347"/>
      <c r="L12" s="347"/>
      <c r="M12" s="347"/>
      <c r="N12" s="347"/>
      <c r="O12" s="1229">
        <v>0</v>
      </c>
      <c r="P12" s="539">
        <v>0</v>
      </c>
      <c r="Q12" s="539">
        <v>0</v>
      </c>
      <c r="R12" s="539">
        <v>0</v>
      </c>
      <c r="S12" s="539">
        <v>0</v>
      </c>
      <c r="T12" s="539">
        <v>0</v>
      </c>
      <c r="U12" s="539">
        <v>0</v>
      </c>
      <c r="V12" s="539">
        <v>0</v>
      </c>
      <c r="W12" s="539">
        <v>0</v>
      </c>
      <c r="X12" s="539">
        <v>0</v>
      </c>
      <c r="Y12" s="539">
        <v>0</v>
      </c>
      <c r="Z12" s="539">
        <v>0</v>
      </c>
      <c r="AA12" s="539">
        <v>0</v>
      </c>
      <c r="AB12" s="539">
        <v>0</v>
      </c>
      <c r="AC12" s="540">
        <v>0</v>
      </c>
      <c r="AD12" s="875">
        <f>SUM(I12:Y12)/4</f>
        <v>149.47499999999999</v>
      </c>
      <c r="AE12" s="624">
        <f>AD25</f>
        <v>150</v>
      </c>
    </row>
    <row r="13" spans="1:88" s="90" customFormat="1" x14ac:dyDescent="0.3">
      <c r="A13" s="131"/>
      <c r="B13" s="91" t="s">
        <v>288</v>
      </c>
      <c r="C13" s="343" t="s">
        <v>2</v>
      </c>
      <c r="D13" s="811"/>
      <c r="E13" s="788"/>
      <c r="F13" s="788"/>
      <c r="G13" s="788"/>
      <c r="H13" s="347"/>
      <c r="I13" s="347"/>
      <c r="J13" s="347">
        <f>'Haver Pivoted'!GU57</f>
        <v>28.4</v>
      </c>
      <c r="K13" s="347">
        <f>'Haver Pivoted'!GV57</f>
        <v>15.8</v>
      </c>
      <c r="L13" s="347">
        <f>'Haver Pivoted'!GW57</f>
        <v>15.2</v>
      </c>
      <c r="M13" s="347">
        <f>'Haver Pivoted'!GX57</f>
        <v>28.9</v>
      </c>
      <c r="N13" s="347">
        <f>'Haver Pivoted'!GY57</f>
        <v>67.599999999999994</v>
      </c>
      <c r="O13" s="1230">
        <f>'Haver Pivoted'!GZ57</f>
        <v>0</v>
      </c>
      <c r="P13" s="539">
        <f t="shared" ref="P13:AC13" si="3">P26+P30+P36</f>
        <v>74.123333333333335</v>
      </c>
      <c r="Q13" s="539">
        <f t="shared" si="3"/>
        <v>69.123333333333306</v>
      </c>
      <c r="R13" s="539">
        <f t="shared" si="3"/>
        <v>69.123333333333306</v>
      </c>
      <c r="S13" s="539">
        <f t="shared" si="3"/>
        <v>69.123333333333306</v>
      </c>
      <c r="T13" s="539">
        <f t="shared" si="3"/>
        <v>60.929333333333297</v>
      </c>
      <c r="U13" s="539">
        <f t="shared" si="3"/>
        <v>60.929333333333297</v>
      </c>
      <c r="V13" s="539">
        <f t="shared" si="3"/>
        <v>60.929333333333297</v>
      </c>
      <c r="W13" s="539">
        <f t="shared" si="3"/>
        <v>60.929333333333297</v>
      </c>
      <c r="X13" s="539">
        <f t="shared" si="3"/>
        <v>54.244333333333302</v>
      </c>
      <c r="Y13" s="539">
        <f t="shared" si="3"/>
        <v>50.911000000000001</v>
      </c>
      <c r="Z13" s="539">
        <f t="shared" si="3"/>
        <v>31.911000000000001</v>
      </c>
      <c r="AA13" s="539">
        <f t="shared" si="3"/>
        <v>31.911000000000001</v>
      </c>
      <c r="AB13" s="539">
        <f t="shared" si="3"/>
        <v>23.099</v>
      </c>
      <c r="AC13" s="540">
        <f t="shared" si="3"/>
        <v>23.099</v>
      </c>
      <c r="AD13" s="875">
        <f t="shared" ref="AD13:AD19" si="4">SUM(I13:Y13)/4</f>
        <v>196.56649999999996</v>
      </c>
      <c r="AE13" s="624">
        <f>AD26+AD30+AD36</f>
        <v>218.26349999999994</v>
      </c>
    </row>
    <row r="14" spans="1:88" s="90" customFormat="1" x14ac:dyDescent="0.3">
      <c r="A14" s="131"/>
      <c r="B14" s="92" t="s">
        <v>289</v>
      </c>
      <c r="C14" s="112" t="s">
        <v>3</v>
      </c>
      <c r="D14" s="810"/>
      <c r="E14" s="786"/>
      <c r="F14" s="786"/>
      <c r="G14" s="786"/>
      <c r="H14" s="347"/>
      <c r="I14" s="347"/>
      <c r="J14" s="347">
        <f>'Haver Pivoted'!GU58</f>
        <v>64.400000000000006</v>
      </c>
      <c r="K14" s="347">
        <f>'Haver Pivoted'!GV58</f>
        <v>23.4</v>
      </c>
      <c r="L14" s="347">
        <f>'Haver Pivoted'!GW58</f>
        <v>13.8</v>
      </c>
      <c r="M14" s="347">
        <f>'Haver Pivoted'!GX58</f>
        <v>17.100000000000001</v>
      </c>
      <c r="N14" s="347">
        <f>'Haver Pivoted'!GY58</f>
        <v>10.6</v>
      </c>
      <c r="O14" s="1230">
        <f>'Haver Pivoted'!GZ58</f>
        <v>0</v>
      </c>
      <c r="P14" s="539" t="e">
        <f>'Provider Relief'!P12</f>
        <v>#DIV/0!</v>
      </c>
      <c r="Q14" s="539" t="e">
        <f>'Provider Relief'!Q12</f>
        <v>#DIV/0!</v>
      </c>
      <c r="R14" s="539" t="e">
        <f>'Provider Relief'!R12</f>
        <v>#DIV/0!</v>
      </c>
      <c r="S14" s="539" t="e">
        <f>'Provider Relief'!S12</f>
        <v>#DIV/0!</v>
      </c>
      <c r="T14" s="539">
        <f>'Provider Relief'!T12</f>
        <v>0</v>
      </c>
      <c r="U14" s="539">
        <f>'Provider Relief'!U12</f>
        <v>0</v>
      </c>
      <c r="V14" s="539">
        <f>'Provider Relief'!V12</f>
        <v>0</v>
      </c>
      <c r="W14" s="539">
        <f>'Provider Relief'!W12</f>
        <v>0</v>
      </c>
      <c r="X14" s="539">
        <f>'Provider Relief'!X12</f>
        <v>0</v>
      </c>
      <c r="Y14" s="539">
        <f>'Provider Relief'!Y12</f>
        <v>0</v>
      </c>
      <c r="Z14" s="539">
        <f>'Provider Relief'!Z12</f>
        <v>0</v>
      </c>
      <c r="AA14" s="539">
        <f>'Provider Relief'!AA12</f>
        <v>0</v>
      </c>
      <c r="AB14" s="539">
        <f>'Provider Relief'!AB12</f>
        <v>0</v>
      </c>
      <c r="AC14" s="540">
        <f>'Provider Relief'!AC12</f>
        <v>0</v>
      </c>
      <c r="AD14" s="875" t="e">
        <f t="shared" si="4"/>
        <v>#DIV/0!</v>
      </c>
      <c r="AE14" s="624">
        <f>AD27+AD31+AD37</f>
        <v>34.125000000000007</v>
      </c>
    </row>
    <row r="15" spans="1:88" s="90" customFormat="1" ht="15.5" customHeight="1" x14ac:dyDescent="0.3">
      <c r="A15" s="131"/>
      <c r="B15" s="92" t="s">
        <v>286</v>
      </c>
      <c r="C15" s="112"/>
      <c r="D15" s="810"/>
      <c r="E15" s="786"/>
      <c r="F15" s="786"/>
      <c r="G15" s="786"/>
      <c r="H15" s="347"/>
      <c r="I15" s="347"/>
      <c r="J15" s="347"/>
      <c r="K15" s="347"/>
      <c r="L15" s="347"/>
      <c r="M15" s="347">
        <f>M29</f>
        <v>9.6666666666666661</v>
      </c>
      <c r="N15" s="130">
        <f t="shared" ref="N15:AC15" si="5">N29</f>
        <v>9.6666666666666661</v>
      </c>
      <c r="O15" s="1229">
        <f t="shared" si="5"/>
        <v>9.6666666666666661</v>
      </c>
      <c r="P15" s="539">
        <f t="shared" si="5"/>
        <v>9.6666666666666661</v>
      </c>
      <c r="Q15" s="539">
        <f t="shared" si="5"/>
        <v>9.6666666666666661</v>
      </c>
      <c r="R15" s="539">
        <f t="shared" si="5"/>
        <v>9.6666666666666661</v>
      </c>
      <c r="S15" s="539">
        <f t="shared" si="5"/>
        <v>9.6666666666666661</v>
      </c>
      <c r="T15" s="539">
        <f t="shared" si="5"/>
        <v>9.6666666666666661</v>
      </c>
      <c r="U15" s="539">
        <f t="shared" si="5"/>
        <v>9.6666666666666661</v>
      </c>
      <c r="V15" s="539">
        <f t="shared" si="5"/>
        <v>9.6666666666666661</v>
      </c>
      <c r="W15" s="539">
        <f t="shared" si="5"/>
        <v>9.6666666666666661</v>
      </c>
      <c r="X15" s="539">
        <f t="shared" si="5"/>
        <v>9.6666666666666661</v>
      </c>
      <c r="Y15" s="539">
        <f t="shared" si="5"/>
        <v>0</v>
      </c>
      <c r="Z15" s="539">
        <f t="shared" si="5"/>
        <v>0</v>
      </c>
      <c r="AA15" s="539">
        <f t="shared" si="5"/>
        <v>0</v>
      </c>
      <c r="AB15" s="539">
        <f t="shared" si="5"/>
        <v>0</v>
      </c>
      <c r="AC15" s="540">
        <f t="shared" si="5"/>
        <v>0</v>
      </c>
      <c r="AD15" s="875">
        <f t="shared" si="4"/>
        <v>29.000000000000004</v>
      </c>
      <c r="AE15" s="625">
        <f>AD29</f>
        <v>29.000000000000004</v>
      </c>
      <c r="AF15" s="133" t="s">
        <v>396</v>
      </c>
      <c r="AG15" s="133"/>
      <c r="AH15" s="133"/>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row>
    <row r="16" spans="1:88" s="90" customFormat="1" ht="31" customHeight="1" x14ac:dyDescent="0.3">
      <c r="A16" s="131"/>
      <c r="B16" s="92" t="s">
        <v>711</v>
      </c>
      <c r="C16" s="112"/>
      <c r="D16" s="810"/>
      <c r="E16" s="786"/>
      <c r="F16" s="786"/>
      <c r="G16" s="786"/>
      <c r="H16" s="347"/>
      <c r="I16" s="347"/>
      <c r="J16" s="347"/>
      <c r="K16" s="347"/>
      <c r="L16" s="347"/>
      <c r="M16" s="347">
        <f>M33+M32</f>
        <v>12</v>
      </c>
      <c r="N16" s="130">
        <f>N33+N32</f>
        <v>12</v>
      </c>
      <c r="O16" s="1229">
        <f t="shared" ref="O16:AC16" si="6">O33+O32</f>
        <v>12</v>
      </c>
      <c r="P16" s="539">
        <f t="shared" si="6"/>
        <v>12</v>
      </c>
      <c r="Q16" s="539">
        <f t="shared" si="6"/>
        <v>12</v>
      </c>
      <c r="R16" s="539">
        <f t="shared" si="6"/>
        <v>12</v>
      </c>
      <c r="S16" s="539">
        <f t="shared" si="6"/>
        <v>12</v>
      </c>
      <c r="T16" s="539">
        <f t="shared" si="6"/>
        <v>12</v>
      </c>
      <c r="U16" s="539">
        <f t="shared" si="6"/>
        <v>12</v>
      </c>
      <c r="V16" s="539">
        <f t="shared" si="6"/>
        <v>12</v>
      </c>
      <c r="W16" s="539">
        <f t="shared" si="6"/>
        <v>12</v>
      </c>
      <c r="X16" s="539">
        <f t="shared" si="6"/>
        <v>12</v>
      </c>
      <c r="Y16" s="539">
        <f t="shared" si="6"/>
        <v>0</v>
      </c>
      <c r="Z16" s="539">
        <f t="shared" si="6"/>
        <v>0</v>
      </c>
      <c r="AA16" s="539">
        <f t="shared" si="6"/>
        <v>0</v>
      </c>
      <c r="AB16" s="539">
        <f t="shared" si="6"/>
        <v>0</v>
      </c>
      <c r="AC16" s="540">
        <f t="shared" si="6"/>
        <v>0</v>
      </c>
      <c r="AD16" s="875">
        <f t="shared" si="4"/>
        <v>36</v>
      </c>
      <c r="AE16" s="624">
        <f>SUM(AD32:AD33)+AD38</f>
        <v>130.3365</v>
      </c>
      <c r="AF16" s="133" t="s">
        <v>395</v>
      </c>
      <c r="AG16" s="133"/>
      <c r="AH16" s="133"/>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row>
    <row r="17" spans="1:88" s="558" customFormat="1" x14ac:dyDescent="0.3">
      <c r="A17" s="131"/>
      <c r="B17" s="92" t="s">
        <v>713</v>
      </c>
      <c r="C17" s="112"/>
      <c r="D17" s="810"/>
      <c r="E17" s="786"/>
      <c r="F17" s="786"/>
      <c r="G17" s="786"/>
      <c r="H17" s="347"/>
      <c r="I17" s="347"/>
      <c r="J17" s="347"/>
      <c r="K17" s="347"/>
      <c r="L17" s="347"/>
      <c r="M17" s="347"/>
      <c r="N17" s="130">
        <f>N38</f>
        <v>59.256</v>
      </c>
      <c r="O17" s="1229">
        <f t="shared" ref="O17:AC17" si="7">O38</f>
        <v>59.256</v>
      </c>
      <c r="P17" s="539">
        <f t="shared" si="7"/>
        <v>35.671000000000006</v>
      </c>
      <c r="Q17" s="539">
        <f t="shared" si="7"/>
        <v>35.671000000000006</v>
      </c>
      <c r="R17" s="539">
        <f t="shared" si="7"/>
        <v>35.671000000000006</v>
      </c>
      <c r="S17" s="539">
        <f t="shared" si="7"/>
        <v>35.671000000000006</v>
      </c>
      <c r="T17" s="539">
        <f t="shared" si="7"/>
        <v>24.216000000000001</v>
      </c>
      <c r="U17" s="539">
        <f t="shared" si="7"/>
        <v>24.216000000000001</v>
      </c>
      <c r="V17" s="539">
        <f t="shared" si="7"/>
        <v>24.216000000000001</v>
      </c>
      <c r="W17" s="539">
        <f t="shared" si="7"/>
        <v>24.216000000000001</v>
      </c>
      <c r="X17" s="539">
        <f t="shared" si="7"/>
        <v>9.6430000000000007</v>
      </c>
      <c r="Y17" s="539">
        <f t="shared" si="7"/>
        <v>9.6430000000000007</v>
      </c>
      <c r="Z17" s="539">
        <f t="shared" si="7"/>
        <v>9.6430000000000007</v>
      </c>
      <c r="AA17" s="539">
        <f t="shared" si="7"/>
        <v>9.6430000000000007</v>
      </c>
      <c r="AB17" s="539">
        <f t="shared" si="7"/>
        <v>4.5789999999999997</v>
      </c>
      <c r="AC17" s="540">
        <f t="shared" si="7"/>
        <v>4.5789999999999997</v>
      </c>
      <c r="AD17" s="875">
        <f t="shared" si="4"/>
        <v>94.336500000000001</v>
      </c>
      <c r="AE17" s="624"/>
      <c r="AF17" s="133"/>
      <c r="AG17" s="133"/>
      <c r="AH17" s="133"/>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row>
    <row r="18" spans="1:88" s="558" customFormat="1" ht="28" x14ac:dyDescent="0.3">
      <c r="A18" s="131"/>
      <c r="B18" s="913" t="s">
        <v>1140</v>
      </c>
      <c r="C18" s="112"/>
      <c r="D18" s="810"/>
      <c r="E18" s="786"/>
      <c r="F18" s="786"/>
      <c r="G18" s="786"/>
      <c r="H18" s="347"/>
      <c r="I18" s="347"/>
      <c r="J18" s="347"/>
      <c r="K18" s="347"/>
      <c r="L18" s="347"/>
      <c r="M18" s="347"/>
      <c r="N18" s="130">
        <v>-40</v>
      </c>
      <c r="O18" s="1231">
        <v>40</v>
      </c>
      <c r="P18" s="539"/>
      <c r="Q18" s="539"/>
      <c r="R18" s="539"/>
      <c r="S18" s="539"/>
      <c r="T18" s="539"/>
      <c r="U18" s="539"/>
      <c r="V18" s="539"/>
      <c r="W18" s="539"/>
      <c r="X18" s="539"/>
      <c r="Y18" s="539"/>
      <c r="Z18" s="539"/>
      <c r="AA18" s="539"/>
      <c r="AB18" s="539"/>
      <c r="AC18" s="540"/>
      <c r="AD18" s="875"/>
      <c r="AE18" s="624"/>
      <c r="AF18" s="133"/>
      <c r="AG18" s="133"/>
      <c r="AH18" s="133"/>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row>
    <row r="19" spans="1:88" s="90" customFormat="1" ht="15.5" customHeight="1" x14ac:dyDescent="0.3">
      <c r="A19" s="131"/>
      <c r="B19" s="91" t="s">
        <v>365</v>
      </c>
      <c r="C19" s="343" t="s">
        <v>1139</v>
      </c>
      <c r="D19" s="810"/>
      <c r="E19" s="786"/>
      <c r="F19" s="786"/>
      <c r="G19" s="786"/>
      <c r="H19" s="347"/>
      <c r="I19" s="347"/>
      <c r="J19" s="347"/>
      <c r="K19" s="347">
        <f>'Haver Pivoted'!GV56</f>
        <v>0</v>
      </c>
      <c r="L19" s="347">
        <f>'Haver Pivoted'!GW56</f>
        <v>0</v>
      </c>
      <c r="M19" s="347">
        <f>'Haver Pivoted'!GX56</f>
        <v>0</v>
      </c>
      <c r="N19" s="347">
        <f>'Haver Pivoted'!GY56</f>
        <v>785.9</v>
      </c>
      <c r="O19" s="1230">
        <f>'Haver Pivoted'!GZ56</f>
        <v>0</v>
      </c>
      <c r="P19" s="84">
        <f t="shared" ref="P19:AC19" si="8">P35</f>
        <v>0</v>
      </c>
      <c r="Q19" s="84">
        <f>4*AE19-N19</f>
        <v>662.29999999999984</v>
      </c>
      <c r="R19" s="84">
        <f t="shared" si="8"/>
        <v>0</v>
      </c>
      <c r="S19" s="84">
        <f t="shared" si="8"/>
        <v>0</v>
      </c>
      <c r="T19" s="84">
        <f t="shared" si="8"/>
        <v>0</v>
      </c>
      <c r="U19" s="84">
        <f t="shared" si="8"/>
        <v>0</v>
      </c>
      <c r="V19" s="84">
        <f t="shared" si="8"/>
        <v>0</v>
      </c>
      <c r="W19" s="84">
        <f t="shared" si="8"/>
        <v>0</v>
      </c>
      <c r="X19" s="84">
        <f t="shared" si="8"/>
        <v>0</v>
      </c>
      <c r="Y19" s="84">
        <f t="shared" si="8"/>
        <v>0</v>
      </c>
      <c r="Z19" s="84">
        <f t="shared" si="8"/>
        <v>0</v>
      </c>
      <c r="AA19" s="84">
        <f t="shared" si="8"/>
        <v>0</v>
      </c>
      <c r="AB19" s="84">
        <f t="shared" si="8"/>
        <v>0</v>
      </c>
      <c r="AC19" s="85">
        <f t="shared" si="8"/>
        <v>0</v>
      </c>
      <c r="AD19" s="875">
        <f t="shared" si="4"/>
        <v>362.04999999999995</v>
      </c>
      <c r="AE19" s="624">
        <f>AD35</f>
        <v>362.04999999999995</v>
      </c>
      <c r="AF19" s="164"/>
      <c r="AH19" s="133"/>
      <c r="AI19" s="95"/>
      <c r="AJ19" s="95"/>
      <c r="AK19" s="95"/>
      <c r="AL19" s="95"/>
      <c r="AM19" s="95"/>
      <c r="AN19" s="95"/>
      <c r="AO19" s="95"/>
      <c r="AP19" s="95"/>
      <c r="AQ19" s="95"/>
      <c r="AR19" s="95"/>
      <c r="AS19" s="95"/>
      <c r="AT19" s="95"/>
      <c r="AU19" s="95"/>
      <c r="AV19" s="95"/>
      <c r="AW19" s="95"/>
      <c r="AX19" s="95"/>
      <c r="AY19" s="95"/>
      <c r="AZ19" s="95"/>
      <c r="BA19" s="95"/>
      <c r="BB19" s="95"/>
      <c r="BC19" s="95"/>
      <c r="BD19" s="95"/>
      <c r="BE19" s="95"/>
      <c r="BF19" s="95"/>
      <c r="BG19" s="95"/>
      <c r="BH19" s="95"/>
      <c r="BI19" s="95"/>
      <c r="BJ19" s="95"/>
      <c r="BK19" s="95"/>
      <c r="BL19" s="95"/>
      <c r="BM19" s="95"/>
      <c r="BN19" s="95"/>
      <c r="BO19" s="95"/>
      <c r="BP19" s="95"/>
      <c r="BQ19" s="95"/>
      <c r="BR19" s="95"/>
      <c r="BS19" s="95"/>
      <c r="BT19" s="95"/>
      <c r="BU19" s="95"/>
      <c r="BV19" s="95"/>
      <c r="BW19" s="95"/>
      <c r="BX19" s="95"/>
      <c r="BY19" s="95"/>
      <c r="BZ19" s="95"/>
      <c r="CA19" s="95"/>
      <c r="CB19" s="95"/>
      <c r="CC19" s="95"/>
      <c r="CD19" s="95"/>
      <c r="CE19" s="95"/>
      <c r="CF19" s="95"/>
      <c r="CG19" s="95"/>
      <c r="CH19" s="95"/>
      <c r="CI19" s="95"/>
      <c r="CJ19" s="95"/>
    </row>
    <row r="20" spans="1:88" s="90" customFormat="1" ht="15.5" customHeight="1" x14ac:dyDescent="0.3">
      <c r="A20" s="139"/>
      <c r="B20" s="134" t="s">
        <v>555</v>
      </c>
      <c r="C20" s="346"/>
      <c r="D20" s="812"/>
      <c r="E20" s="813"/>
      <c r="F20" s="813"/>
      <c r="G20" s="813"/>
      <c r="H20" s="876">
        <f>H11-SUM(H12:H19)</f>
        <v>208.59399999999999</v>
      </c>
      <c r="I20" s="876">
        <f t="shared" ref="I20:M20" si="9">I11-SUM(I12:I19)</f>
        <v>212.48200000000003</v>
      </c>
      <c r="J20" s="876">
        <f t="shared" si="9"/>
        <v>206.81000000000006</v>
      </c>
      <c r="K20" s="876">
        <f t="shared" si="9"/>
        <v>217.58300000000003</v>
      </c>
      <c r="L20" s="876">
        <f t="shared" si="9"/>
        <v>206.16300000000001</v>
      </c>
      <c r="M20" s="876">
        <f t="shared" si="9"/>
        <v>202.48833333333332</v>
      </c>
      <c r="N20" s="876">
        <f>N11-SUM(N12:N19)</f>
        <v>206.44833333333338</v>
      </c>
      <c r="O20" s="1232">
        <f>O11-SUM(O12:O19)</f>
        <v>-120.92266666666666</v>
      </c>
      <c r="P20" s="541">
        <f t="shared" ref="P20:Y20" si="10">O20*1.04</f>
        <v>-125.75957333333332</v>
      </c>
      <c r="Q20" s="541">
        <f t="shared" si="10"/>
        <v>-130.78995626666665</v>
      </c>
      <c r="R20" s="541">
        <f t="shared" si="10"/>
        <v>-136.02155451733333</v>
      </c>
      <c r="S20" s="541">
        <f t="shared" si="10"/>
        <v>-141.46241669802666</v>
      </c>
      <c r="T20" s="541">
        <f t="shared" si="10"/>
        <v>-147.12091336594773</v>
      </c>
      <c r="U20" s="541">
        <f t="shared" si="10"/>
        <v>-153.00574990058564</v>
      </c>
      <c r="V20" s="541">
        <f t="shared" si="10"/>
        <v>-159.12597989660907</v>
      </c>
      <c r="W20" s="541">
        <f t="shared" si="10"/>
        <v>-165.49101909247344</v>
      </c>
      <c r="X20" s="541">
        <f t="shared" si="10"/>
        <v>-172.11065985617239</v>
      </c>
      <c r="Y20" s="541">
        <f t="shared" si="10"/>
        <v>-178.99508625041929</v>
      </c>
      <c r="Z20" s="541">
        <f t="shared" ref="Z20" si="11">Y20*1.04</f>
        <v>-186.15488970043606</v>
      </c>
      <c r="AA20" s="541">
        <f t="shared" ref="AA20" si="12">Z20*1.04</f>
        <v>-193.6010852884535</v>
      </c>
      <c r="AB20" s="541">
        <f t="shared" ref="AB20" si="13">AA20*1.04</f>
        <v>-201.34512869999165</v>
      </c>
      <c r="AC20" s="542">
        <f t="shared" ref="AC20" si="14">AB20*1.04</f>
        <v>-209.39893384799132</v>
      </c>
      <c r="AD20" s="877"/>
      <c r="AE20" s="626"/>
      <c r="AF20" s="133" t="s">
        <v>394</v>
      </c>
      <c r="AG20" s="133"/>
      <c r="AH20" s="133"/>
      <c r="AI20" s="95"/>
      <c r="AJ20" s="95"/>
      <c r="AK20" s="95"/>
      <c r="AL20" s="95"/>
      <c r="AM20" s="95"/>
      <c r="AN20" s="95"/>
      <c r="AO20" s="95"/>
      <c r="AP20" s="95"/>
      <c r="AQ20" s="95"/>
      <c r="AR20" s="95"/>
      <c r="AS20" s="95"/>
      <c r="AT20" s="95"/>
      <c r="AU20" s="95"/>
      <c r="AV20" s="95"/>
      <c r="AW20" s="95"/>
      <c r="AX20" s="95"/>
      <c r="AY20" s="95"/>
      <c r="AZ20" s="95"/>
      <c r="BA20" s="95"/>
      <c r="BB20" s="95"/>
      <c r="BC20" s="95"/>
      <c r="BD20" s="95"/>
      <c r="BE20" s="95"/>
      <c r="BF20" s="95"/>
      <c r="BG20" s="95"/>
      <c r="BH20" s="95"/>
      <c r="BI20" s="95"/>
      <c r="BJ20" s="95"/>
      <c r="BK20" s="95"/>
      <c r="BL20" s="95"/>
      <c r="BM20" s="95"/>
      <c r="BN20" s="95"/>
      <c r="BO20" s="95"/>
      <c r="BP20" s="95"/>
      <c r="BQ20" s="95"/>
      <c r="BR20" s="95"/>
      <c r="BS20" s="95"/>
      <c r="BT20" s="95"/>
      <c r="BU20" s="95"/>
      <c r="BV20" s="95"/>
      <c r="BW20" s="95"/>
      <c r="BX20" s="95"/>
      <c r="BY20" s="95"/>
      <c r="BZ20" s="95"/>
      <c r="CA20" s="95"/>
      <c r="CB20" s="95"/>
      <c r="CC20" s="95"/>
      <c r="CD20" s="95"/>
      <c r="CE20" s="95"/>
      <c r="CF20" s="95"/>
      <c r="CG20" s="95"/>
      <c r="CH20" s="95"/>
      <c r="CI20" s="95"/>
      <c r="CJ20" s="95"/>
    </row>
    <row r="21" spans="1:88" s="95" customFormat="1" x14ac:dyDescent="0.35">
      <c r="A21" s="138"/>
      <c r="C21" s="112"/>
      <c r="D21" s="112"/>
      <c r="E21" s="112"/>
      <c r="F21" s="112"/>
      <c r="G21" s="112"/>
      <c r="H21" s="125"/>
      <c r="I21" s="125"/>
      <c r="J21" s="125"/>
      <c r="K21" s="125"/>
      <c r="L21" s="125"/>
      <c r="M21" s="125"/>
      <c r="N21" s="135"/>
      <c r="O21" s="135"/>
      <c r="P21" s="135"/>
      <c r="Q21" s="135"/>
      <c r="R21" s="135"/>
      <c r="S21" s="135"/>
      <c r="T21" s="135"/>
      <c r="U21" s="135"/>
      <c r="V21" s="135"/>
      <c r="W21" s="135"/>
      <c r="X21" s="135"/>
      <c r="Y21" s="135"/>
      <c r="Z21" s="135"/>
      <c r="AA21" s="135"/>
      <c r="AB21" s="135"/>
      <c r="AC21" s="135"/>
      <c r="AD21" s="135"/>
      <c r="AE21" s="135"/>
    </row>
    <row r="22" spans="1:88" s="95" customFormat="1" x14ac:dyDescent="0.35">
      <c r="A22" s="138"/>
      <c r="B22" s="338" t="s">
        <v>398</v>
      </c>
      <c r="C22" s="112"/>
      <c r="D22" s="112"/>
      <c r="E22" s="112"/>
      <c r="F22" s="112"/>
      <c r="G22" s="112"/>
      <c r="H22" s="125"/>
      <c r="I22" s="125"/>
      <c r="J22" s="125"/>
      <c r="K22" s="125"/>
      <c r="L22" s="125"/>
      <c r="M22" s="125"/>
      <c r="N22" s="135"/>
      <c r="O22" s="135"/>
      <c r="P22" s="135"/>
      <c r="Q22" s="135"/>
      <c r="R22" s="135"/>
      <c r="S22" s="135"/>
      <c r="T22" s="135"/>
      <c r="U22" s="135"/>
      <c r="V22" s="135"/>
      <c r="W22" s="135"/>
      <c r="X22" s="135"/>
      <c r="Y22" s="135"/>
      <c r="Z22" s="135"/>
      <c r="AA22" s="135"/>
      <c r="AB22" s="135"/>
      <c r="AC22" s="135"/>
      <c r="AD22" s="135"/>
      <c r="AE22" s="135"/>
    </row>
    <row r="23" spans="1:88" s="95" customFormat="1" ht="27" customHeight="1" x14ac:dyDescent="0.35">
      <c r="A23" s="138"/>
      <c r="B23" s="1394" t="s">
        <v>560</v>
      </c>
      <c r="C23" s="1395"/>
      <c r="D23" s="1396"/>
      <c r="E23" s="1396"/>
      <c r="F23" s="1396"/>
      <c r="G23" s="1396"/>
      <c r="H23" s="1396"/>
      <c r="I23" s="1396"/>
      <c r="J23" s="1396"/>
      <c r="K23" s="1396"/>
      <c r="L23" s="1396"/>
      <c r="M23" s="1396"/>
      <c r="N23" s="1396"/>
      <c r="O23" s="1396"/>
      <c r="P23" s="1396"/>
      <c r="Q23" s="1396"/>
      <c r="R23" s="1396"/>
      <c r="S23" s="1396"/>
      <c r="T23" s="1396"/>
      <c r="U23" s="1396"/>
      <c r="V23" s="1396"/>
      <c r="W23" s="1396"/>
      <c r="X23" s="1396"/>
      <c r="Y23" s="1396"/>
      <c r="Z23" s="1396"/>
      <c r="AA23" s="1396"/>
      <c r="AB23" s="1396"/>
      <c r="AC23" s="1397"/>
      <c r="AD23" s="628" t="s">
        <v>985</v>
      </c>
      <c r="AE23" s="627"/>
    </row>
    <row r="24" spans="1:88" s="95" customFormat="1" ht="17.5" customHeight="1" x14ac:dyDescent="0.3">
      <c r="A24" s="138"/>
      <c r="B24" s="83" t="s">
        <v>291</v>
      </c>
      <c r="C24" s="112"/>
      <c r="D24" s="1221"/>
      <c r="E24" s="1222"/>
      <c r="F24" s="1222"/>
      <c r="G24" s="1222"/>
      <c r="H24" s="915"/>
      <c r="I24" s="915"/>
      <c r="J24" s="1223">
        <f>SUM(J25:J27)</f>
        <v>692.8</v>
      </c>
      <c r="K24" s="1223">
        <f t="shared" ref="K24:P24" si="15">SUM(K25:K27)</f>
        <v>39.200000000000003</v>
      </c>
      <c r="L24" s="1223">
        <f t="shared" si="15"/>
        <v>29</v>
      </c>
      <c r="M24" s="1223">
        <f t="shared" si="15"/>
        <v>27</v>
      </c>
      <c r="N24" s="1223">
        <f t="shared" si="15"/>
        <v>18</v>
      </c>
      <c r="O24" s="1224">
        <f t="shared" si="15"/>
        <v>0</v>
      </c>
      <c r="P24" s="891">
        <f t="shared" si="15"/>
        <v>0</v>
      </c>
      <c r="Q24" s="891"/>
      <c r="R24" s="891"/>
      <c r="S24" s="891"/>
      <c r="T24" s="891"/>
      <c r="U24" s="891"/>
      <c r="V24" s="891"/>
      <c r="W24" s="891"/>
      <c r="X24" s="891"/>
      <c r="Y24" s="891"/>
      <c r="Z24" s="891"/>
      <c r="AA24" s="891"/>
      <c r="AB24" s="891"/>
      <c r="AC24" s="174"/>
      <c r="AD24" s="875">
        <f t="shared" ref="AD24:AD38" si="16">SUM(I24:Y24)/4</f>
        <v>201.5</v>
      </c>
      <c r="AE24" s="1381" t="s">
        <v>402</v>
      </c>
      <c r="AF24" s="1382"/>
    </row>
    <row r="25" spans="1:88" s="95" customFormat="1" x14ac:dyDescent="0.3">
      <c r="A25" s="138"/>
      <c r="B25" s="140" t="s">
        <v>287</v>
      </c>
      <c r="C25" s="112"/>
      <c r="D25" s="810"/>
      <c r="E25" s="786"/>
      <c r="F25" s="786"/>
      <c r="G25" s="786"/>
      <c r="H25" s="130"/>
      <c r="I25" s="130"/>
      <c r="J25" s="168">
        <f>C45*4</f>
        <v>600</v>
      </c>
      <c r="K25" s="168"/>
      <c r="L25" s="168"/>
      <c r="M25" s="168"/>
      <c r="N25" s="168"/>
      <c r="O25" s="1225"/>
      <c r="P25" s="84"/>
      <c r="Q25" s="84"/>
      <c r="R25" s="84"/>
      <c r="S25" s="84"/>
      <c r="T25" s="84"/>
      <c r="U25" s="84"/>
      <c r="V25" s="84"/>
      <c r="W25" s="84"/>
      <c r="X25" s="84"/>
      <c r="Y25" s="84"/>
      <c r="Z25" s="84"/>
      <c r="AA25" s="84"/>
      <c r="AB25" s="84"/>
      <c r="AC25" s="85"/>
      <c r="AD25" s="875">
        <f t="shared" si="16"/>
        <v>150</v>
      </c>
      <c r="AE25" s="168"/>
    </row>
    <row r="26" spans="1:88" s="95" customFormat="1" ht="15" customHeight="1" x14ac:dyDescent="0.3">
      <c r="A26" s="138"/>
      <c r="B26" s="140" t="s">
        <v>288</v>
      </c>
      <c r="C26" s="112"/>
      <c r="D26" s="810"/>
      <c r="E26" s="786"/>
      <c r="F26" s="786"/>
      <c r="G26" s="786"/>
      <c r="H26" s="130"/>
      <c r="I26" s="130"/>
      <c r="J26" s="168">
        <v>28.4</v>
      </c>
      <c r="K26" s="168">
        <v>15.8</v>
      </c>
      <c r="L26" s="168">
        <v>15.2</v>
      </c>
      <c r="M26" s="168">
        <v>10.9</v>
      </c>
      <c r="N26" s="168">
        <v>18</v>
      </c>
      <c r="O26" s="1225"/>
      <c r="P26" s="84"/>
      <c r="Q26" s="84"/>
      <c r="R26" s="84"/>
      <c r="S26" s="84"/>
      <c r="T26" s="84"/>
      <c r="U26" s="84"/>
      <c r="V26" s="84"/>
      <c r="W26" s="84"/>
      <c r="X26" s="84"/>
      <c r="Y26" s="84"/>
      <c r="Z26" s="84"/>
      <c r="AA26" s="84"/>
      <c r="AB26" s="84"/>
      <c r="AC26" s="85"/>
      <c r="AD26" s="875">
        <f t="shared" si="16"/>
        <v>22.075000000000003</v>
      </c>
      <c r="AE26" s="168"/>
    </row>
    <row r="27" spans="1:88" s="95" customFormat="1" x14ac:dyDescent="0.3">
      <c r="A27" s="138"/>
      <c r="B27" s="162" t="s">
        <v>289</v>
      </c>
      <c r="C27" s="112"/>
      <c r="D27" s="810"/>
      <c r="E27" s="786"/>
      <c r="F27" s="786"/>
      <c r="G27" s="786"/>
      <c r="H27" s="130"/>
      <c r="I27" s="130"/>
      <c r="J27" s="171">
        <v>64.400000000000006</v>
      </c>
      <c r="K27" s="171">
        <v>23.4</v>
      </c>
      <c r="L27" s="171">
        <v>13.8</v>
      </c>
      <c r="M27" s="171">
        <v>16.100000000000001</v>
      </c>
      <c r="N27" s="168"/>
      <c r="O27" s="1225"/>
      <c r="P27" s="84"/>
      <c r="Q27" s="84"/>
      <c r="R27" s="84"/>
      <c r="S27" s="84"/>
      <c r="T27" s="84"/>
      <c r="U27" s="84"/>
      <c r="V27" s="84"/>
      <c r="W27" s="84"/>
      <c r="X27" s="84"/>
      <c r="Y27" s="84"/>
      <c r="Z27" s="84"/>
      <c r="AA27" s="84"/>
      <c r="AB27" s="84"/>
      <c r="AC27" s="85"/>
      <c r="AD27" s="875">
        <f t="shared" si="16"/>
        <v>29.425000000000004</v>
      </c>
      <c r="AE27" s="168"/>
    </row>
    <row r="28" spans="1:88" s="95" customFormat="1" ht="16.5" customHeight="1" x14ac:dyDescent="0.3">
      <c r="A28" s="138"/>
      <c r="B28" s="163" t="s">
        <v>292</v>
      </c>
      <c r="C28" s="112"/>
      <c r="D28" s="810"/>
      <c r="E28" s="786"/>
      <c r="F28" s="786"/>
      <c r="G28" s="786"/>
      <c r="H28" s="130"/>
      <c r="I28" s="130"/>
      <c r="J28" s="130"/>
      <c r="K28" s="130"/>
      <c r="L28" s="130"/>
      <c r="M28" s="168">
        <f>SUM(M29:M33)</f>
        <v>43</v>
      </c>
      <c r="N28" s="168">
        <f t="shared" ref="N28:AC28" si="17">SUM(N29:N33)</f>
        <v>70</v>
      </c>
      <c r="O28" s="1225">
        <f t="shared" si="17"/>
        <v>59.999999999999964</v>
      </c>
      <c r="P28" s="84">
        <f t="shared" si="17"/>
        <v>50</v>
      </c>
      <c r="Q28" s="84">
        <f t="shared" si="17"/>
        <v>44.999999999999964</v>
      </c>
      <c r="R28" s="84">
        <f t="shared" si="17"/>
        <v>44.999999999999964</v>
      </c>
      <c r="S28" s="84">
        <f t="shared" si="17"/>
        <v>44.999999999999964</v>
      </c>
      <c r="T28" s="84">
        <f t="shared" si="17"/>
        <v>44.999999999999964</v>
      </c>
      <c r="U28" s="84">
        <f t="shared" si="17"/>
        <v>44.999999999999964</v>
      </c>
      <c r="V28" s="84">
        <f t="shared" si="17"/>
        <v>44.999999999999964</v>
      </c>
      <c r="W28" s="84">
        <f t="shared" si="17"/>
        <v>44.999999999999964</v>
      </c>
      <c r="X28" s="84">
        <f t="shared" si="17"/>
        <v>44.999999999999964</v>
      </c>
      <c r="Y28" s="84">
        <f t="shared" si="17"/>
        <v>19</v>
      </c>
      <c r="Z28" s="84">
        <f t="shared" si="17"/>
        <v>0</v>
      </c>
      <c r="AA28" s="84">
        <f t="shared" si="17"/>
        <v>0</v>
      </c>
      <c r="AB28" s="84">
        <f t="shared" si="17"/>
        <v>0</v>
      </c>
      <c r="AC28" s="85">
        <f t="shared" si="17"/>
        <v>0</v>
      </c>
      <c r="AD28" s="875">
        <f t="shared" si="16"/>
        <v>150.49999999999991</v>
      </c>
      <c r="AE28" s="1381" t="s">
        <v>401</v>
      </c>
      <c r="AF28" s="1382"/>
    </row>
    <row r="29" spans="1:88" s="95" customFormat="1" x14ac:dyDescent="0.3">
      <c r="A29" s="138"/>
      <c r="B29" s="162" t="s">
        <v>286</v>
      </c>
      <c r="C29" s="112"/>
      <c r="D29" s="810"/>
      <c r="E29" s="786"/>
      <c r="F29" s="786"/>
      <c r="G29" s="786"/>
      <c r="H29" s="130"/>
      <c r="I29" s="130"/>
      <c r="J29" s="130"/>
      <c r="K29" s="130"/>
      <c r="L29" s="130"/>
      <c r="M29" s="168">
        <f>C48/12*4</f>
        <v>9.6666666666666661</v>
      </c>
      <c r="N29" s="168">
        <f>M29</f>
        <v>9.6666666666666661</v>
      </c>
      <c r="O29" s="1225">
        <f t="shared" ref="O29:X29" si="18">N29</f>
        <v>9.6666666666666661</v>
      </c>
      <c r="P29" s="84">
        <f t="shared" si="18"/>
        <v>9.6666666666666661</v>
      </c>
      <c r="Q29" s="84">
        <f t="shared" si="18"/>
        <v>9.6666666666666661</v>
      </c>
      <c r="R29" s="84">
        <f t="shared" si="18"/>
        <v>9.6666666666666661</v>
      </c>
      <c r="S29" s="84">
        <f t="shared" si="18"/>
        <v>9.6666666666666661</v>
      </c>
      <c r="T29" s="84">
        <f t="shared" si="18"/>
        <v>9.6666666666666661</v>
      </c>
      <c r="U29" s="84">
        <f t="shared" si="18"/>
        <v>9.6666666666666661</v>
      </c>
      <c r="V29" s="84">
        <f t="shared" si="18"/>
        <v>9.6666666666666661</v>
      </c>
      <c r="W29" s="84">
        <f t="shared" si="18"/>
        <v>9.6666666666666661</v>
      </c>
      <c r="X29" s="84">
        <f t="shared" si="18"/>
        <v>9.6666666666666661</v>
      </c>
      <c r="Y29" s="526"/>
      <c r="Z29" s="526"/>
      <c r="AA29" s="526"/>
      <c r="AB29" s="526"/>
      <c r="AC29" s="87"/>
      <c r="AD29" s="875">
        <f t="shared" si="16"/>
        <v>29.000000000000004</v>
      </c>
      <c r="AE29" s="1381"/>
      <c r="AF29" s="1382"/>
    </row>
    <row r="30" spans="1:88" s="95" customFormat="1" ht="42" x14ac:dyDescent="0.3">
      <c r="A30" s="138"/>
      <c r="B30" s="140" t="s">
        <v>288</v>
      </c>
      <c r="C30" s="112"/>
      <c r="D30" s="810"/>
      <c r="E30" s="786"/>
      <c r="F30" s="786"/>
      <c r="G30" s="786"/>
      <c r="H30" s="130"/>
      <c r="I30" s="130"/>
      <c r="J30" s="130"/>
      <c r="K30" s="130"/>
      <c r="L30" s="130"/>
      <c r="M30" s="869">
        <f>C59/12*4 - 7</f>
        <v>20.333333333333332</v>
      </c>
      <c r="N30" s="869">
        <f>C59/12*4 + 20</f>
        <v>47.333333333333329</v>
      </c>
      <c r="O30" s="1226">
        <v>37.3333333333333</v>
      </c>
      <c r="P30" s="88">
        <v>27.333333333333332</v>
      </c>
      <c r="Q30" s="88">
        <v>22.3333333333333</v>
      </c>
      <c r="R30" s="88">
        <v>22.3333333333333</v>
      </c>
      <c r="S30" s="88">
        <v>22.3333333333333</v>
      </c>
      <c r="T30" s="88">
        <v>22.3333333333333</v>
      </c>
      <c r="U30" s="88">
        <v>22.3333333333333</v>
      </c>
      <c r="V30" s="88">
        <v>22.3333333333333</v>
      </c>
      <c r="W30" s="88">
        <v>22.3333333333333</v>
      </c>
      <c r="X30" s="88">
        <v>22.3333333333333</v>
      </c>
      <c r="Y30" s="88">
        <v>19</v>
      </c>
      <c r="Z30" s="88"/>
      <c r="AA30" s="88"/>
      <c r="AB30" s="88"/>
      <c r="AC30" s="89"/>
      <c r="AD30" s="875">
        <f>SUM(I30:Y30)/4</f>
        <v>82.499999999999943</v>
      </c>
      <c r="AE30" s="629" t="s">
        <v>1141</v>
      </c>
    </row>
    <row r="31" spans="1:88" s="95" customFormat="1" x14ac:dyDescent="0.3">
      <c r="A31" s="138"/>
      <c r="B31" s="140" t="s">
        <v>289</v>
      </c>
      <c r="C31" s="112"/>
      <c r="D31" s="810"/>
      <c r="E31" s="786"/>
      <c r="F31" s="786"/>
      <c r="G31" s="786"/>
      <c r="H31" s="130"/>
      <c r="I31" s="130"/>
      <c r="J31" s="130"/>
      <c r="K31" s="130"/>
      <c r="L31" s="130"/>
      <c r="M31" s="168">
        <f>C60/12*4</f>
        <v>1</v>
      </c>
      <c r="N31" s="168">
        <f>C60/12*4</f>
        <v>1</v>
      </c>
      <c r="O31" s="1225">
        <f t="shared" ref="O31:X31" si="19">$C$60/12*4</f>
        <v>1</v>
      </c>
      <c r="P31" s="84">
        <f t="shared" si="19"/>
        <v>1</v>
      </c>
      <c r="Q31" s="84">
        <f t="shared" si="19"/>
        <v>1</v>
      </c>
      <c r="R31" s="84">
        <f t="shared" si="19"/>
        <v>1</v>
      </c>
      <c r="S31" s="84">
        <f t="shared" si="19"/>
        <v>1</v>
      </c>
      <c r="T31" s="84">
        <f t="shared" si="19"/>
        <v>1</v>
      </c>
      <c r="U31" s="84">
        <f t="shared" si="19"/>
        <v>1</v>
      </c>
      <c r="V31" s="84">
        <f t="shared" si="19"/>
        <v>1</v>
      </c>
      <c r="W31" s="84">
        <f t="shared" si="19"/>
        <v>1</v>
      </c>
      <c r="X31" s="84">
        <f t="shared" si="19"/>
        <v>1</v>
      </c>
      <c r="Y31" s="526"/>
      <c r="Z31" s="526"/>
      <c r="AA31" s="526"/>
      <c r="AB31" s="526"/>
      <c r="AC31" s="87"/>
      <c r="AD31" s="875">
        <f t="shared" si="16"/>
        <v>3</v>
      </c>
      <c r="AE31" s="130"/>
    </row>
    <row r="32" spans="1:88" s="95" customFormat="1" ht="13" customHeight="1" x14ac:dyDescent="0.3">
      <c r="A32" s="138"/>
      <c r="B32" s="140" t="s">
        <v>390</v>
      </c>
      <c r="C32" s="112"/>
      <c r="D32" s="810"/>
      <c r="E32" s="786"/>
      <c r="F32" s="786"/>
      <c r="G32" s="786"/>
      <c r="H32" s="130"/>
      <c r="I32" s="130"/>
      <c r="J32" s="130"/>
      <c r="K32" s="130"/>
      <c r="L32" s="130"/>
      <c r="M32" s="168">
        <f t="shared" ref="M32:X32" si="20">$C$61/12*4</f>
        <v>11.333333333333334</v>
      </c>
      <c r="N32" s="168">
        <f t="shared" si="20"/>
        <v>11.333333333333334</v>
      </c>
      <c r="O32" s="1225">
        <f t="shared" si="20"/>
        <v>11.333333333333334</v>
      </c>
      <c r="P32" s="84">
        <f t="shared" si="20"/>
        <v>11.333333333333334</v>
      </c>
      <c r="Q32" s="84">
        <f t="shared" si="20"/>
        <v>11.333333333333334</v>
      </c>
      <c r="R32" s="84">
        <f t="shared" si="20"/>
        <v>11.333333333333334</v>
      </c>
      <c r="S32" s="84">
        <f t="shared" si="20"/>
        <v>11.333333333333334</v>
      </c>
      <c r="T32" s="84">
        <f t="shared" si="20"/>
        <v>11.333333333333334</v>
      </c>
      <c r="U32" s="84">
        <f t="shared" si="20"/>
        <v>11.333333333333334</v>
      </c>
      <c r="V32" s="84">
        <f t="shared" si="20"/>
        <v>11.333333333333334</v>
      </c>
      <c r="W32" s="84">
        <f t="shared" si="20"/>
        <v>11.333333333333334</v>
      </c>
      <c r="X32" s="84">
        <f t="shared" si="20"/>
        <v>11.333333333333334</v>
      </c>
      <c r="Y32" s="526"/>
      <c r="Z32" s="526"/>
      <c r="AA32" s="526"/>
      <c r="AB32" s="526"/>
      <c r="AC32" s="87"/>
      <c r="AD32" s="875">
        <f t="shared" si="16"/>
        <v>33.999999999999993</v>
      </c>
      <c r="AE32" s="130"/>
    </row>
    <row r="33" spans="1:88" s="95" customFormat="1" x14ac:dyDescent="0.3">
      <c r="A33" s="138"/>
      <c r="B33" s="140" t="s">
        <v>387</v>
      </c>
      <c r="C33" s="112"/>
      <c r="D33" s="810"/>
      <c r="E33" s="786"/>
      <c r="F33" s="786"/>
      <c r="G33" s="786"/>
      <c r="H33" s="130"/>
      <c r="I33" s="130"/>
      <c r="J33" s="130"/>
      <c r="K33" s="130"/>
      <c r="L33" s="130"/>
      <c r="M33" s="168">
        <f t="shared" ref="M33:X33" si="21">$C$62/12*4</f>
        <v>0.66666666666666663</v>
      </c>
      <c r="N33" s="168">
        <f t="shared" si="21"/>
        <v>0.66666666666666663</v>
      </c>
      <c r="O33" s="1225">
        <f t="shared" si="21"/>
        <v>0.66666666666666663</v>
      </c>
      <c r="P33" s="84">
        <f t="shared" si="21"/>
        <v>0.66666666666666663</v>
      </c>
      <c r="Q33" s="84">
        <f t="shared" si="21"/>
        <v>0.66666666666666663</v>
      </c>
      <c r="R33" s="84">
        <f t="shared" si="21"/>
        <v>0.66666666666666663</v>
      </c>
      <c r="S33" s="84">
        <f t="shared" si="21"/>
        <v>0.66666666666666663</v>
      </c>
      <c r="T33" s="84">
        <f t="shared" si="21"/>
        <v>0.66666666666666663</v>
      </c>
      <c r="U33" s="84">
        <f t="shared" si="21"/>
        <v>0.66666666666666663</v>
      </c>
      <c r="V33" s="84">
        <f t="shared" si="21"/>
        <v>0.66666666666666663</v>
      </c>
      <c r="W33" s="84">
        <f t="shared" si="21"/>
        <v>0.66666666666666663</v>
      </c>
      <c r="X33" s="84">
        <f t="shared" si="21"/>
        <v>0.66666666666666663</v>
      </c>
      <c r="Y33" s="526"/>
      <c r="Z33" s="526"/>
      <c r="AA33" s="526"/>
      <c r="AB33" s="526"/>
      <c r="AC33" s="87"/>
      <c r="AD33" s="875">
        <f t="shared" si="16"/>
        <v>2</v>
      </c>
      <c r="AE33" s="130"/>
    </row>
    <row r="34" spans="1:88" s="95" customFormat="1" ht="44" customHeight="1" x14ac:dyDescent="0.3">
      <c r="A34" s="138"/>
      <c r="B34" s="83" t="s">
        <v>345</v>
      </c>
      <c r="C34" s="112"/>
      <c r="D34" s="810"/>
      <c r="E34" s="786"/>
      <c r="F34" s="786"/>
      <c r="G34" s="786"/>
      <c r="H34" s="130"/>
      <c r="I34" s="130"/>
      <c r="J34" s="130"/>
      <c r="K34" s="130"/>
      <c r="L34" s="130"/>
      <c r="M34" s="168"/>
      <c r="N34" s="168">
        <f t="shared" ref="N34:AC34" si="22">SUM(N35:N39)</f>
        <v>953.63159999999982</v>
      </c>
      <c r="O34" s="1225">
        <f t="shared" si="22"/>
        <v>85.9084</v>
      </c>
      <c r="P34" s="84">
        <f t="shared" si="22"/>
        <v>83.481000000000009</v>
      </c>
      <c r="Q34" s="84">
        <f t="shared" si="22"/>
        <v>662.76099999999997</v>
      </c>
      <c r="R34" s="84">
        <f t="shared" si="22"/>
        <v>83.481000000000009</v>
      </c>
      <c r="S34" s="84">
        <f t="shared" si="22"/>
        <v>83.481000000000009</v>
      </c>
      <c r="T34" s="84">
        <f t="shared" si="22"/>
        <v>62.811999999999998</v>
      </c>
      <c r="U34" s="84">
        <f t="shared" si="22"/>
        <v>62.811999999999998</v>
      </c>
      <c r="V34" s="84">
        <f t="shared" si="22"/>
        <v>62.811999999999998</v>
      </c>
      <c r="W34" s="84">
        <f t="shared" si="22"/>
        <v>62.811999999999998</v>
      </c>
      <c r="X34" s="84">
        <f t="shared" si="22"/>
        <v>41.554000000000002</v>
      </c>
      <c r="Y34" s="84">
        <f t="shared" si="22"/>
        <v>41.554000000000002</v>
      </c>
      <c r="Z34" s="84">
        <f t="shared" si="22"/>
        <v>41.554000000000002</v>
      </c>
      <c r="AA34" s="84">
        <f t="shared" si="22"/>
        <v>41.554000000000002</v>
      </c>
      <c r="AB34" s="84">
        <f t="shared" si="22"/>
        <v>27.678000000000001</v>
      </c>
      <c r="AC34" s="85">
        <f t="shared" si="22"/>
        <v>27.678000000000001</v>
      </c>
      <c r="AD34" s="875">
        <f t="shared" si="16"/>
        <v>571.77499999999986</v>
      </c>
      <c r="AE34" s="1381" t="s">
        <v>986</v>
      </c>
      <c r="AF34" s="1382"/>
    </row>
    <row r="35" spans="1:88" s="95" customFormat="1" ht="17.5" customHeight="1" x14ac:dyDescent="0.3">
      <c r="A35" s="138"/>
      <c r="B35" s="140" t="s">
        <v>365</v>
      </c>
      <c r="C35" s="786"/>
      <c r="D35" s="810"/>
      <c r="E35" s="786"/>
      <c r="F35" s="786"/>
      <c r="G35" s="786"/>
      <c r="H35" s="130"/>
      <c r="I35" s="130"/>
      <c r="J35" s="130"/>
      <c r="K35" s="130"/>
      <c r="L35" s="130"/>
      <c r="M35" s="168"/>
      <c r="N35" s="168">
        <f>0.6*C64*4</f>
        <v>868.91999999999985</v>
      </c>
      <c r="O35" s="1225"/>
      <c r="P35" s="84"/>
      <c r="Q35" s="84">
        <f>0.4*C64*4</f>
        <v>579.28</v>
      </c>
      <c r="R35" s="84"/>
      <c r="S35" s="84"/>
      <c r="T35" s="84"/>
      <c r="U35" s="84"/>
      <c r="V35" s="84"/>
      <c r="W35" s="84"/>
      <c r="X35" s="84"/>
      <c r="Y35" s="84"/>
      <c r="Z35" s="84"/>
      <c r="AA35" s="84"/>
      <c r="AB35" s="84"/>
      <c r="AC35" s="85"/>
      <c r="AD35" s="875">
        <f t="shared" si="16"/>
        <v>362.04999999999995</v>
      </c>
      <c r="AE35" s="164" t="s">
        <v>393</v>
      </c>
      <c r="AF35" s="164"/>
    </row>
    <row r="36" spans="1:88" s="95" customFormat="1" x14ac:dyDescent="0.3">
      <c r="A36" s="138"/>
      <c r="B36" s="140" t="s">
        <v>288</v>
      </c>
      <c r="C36" s="786"/>
      <c r="D36" s="810"/>
      <c r="E36" s="786"/>
      <c r="F36" s="786"/>
      <c r="G36" s="786"/>
      <c r="H36" s="130"/>
      <c r="I36" s="130"/>
      <c r="J36" s="130"/>
      <c r="K36" s="130"/>
      <c r="L36" s="130"/>
      <c r="M36" s="168"/>
      <c r="N36" s="168">
        <f>'ARP Quarterly'!D9</f>
        <v>24.693999999999999</v>
      </c>
      <c r="O36" s="1225">
        <f>'ARP Quarterly'!E9</f>
        <v>24.693999999999999</v>
      </c>
      <c r="P36" s="84">
        <f>'ARP Quarterly'!F9</f>
        <v>46.79</v>
      </c>
      <c r="Q36" s="84">
        <f>'ARP Quarterly'!G9</f>
        <v>46.79</v>
      </c>
      <c r="R36" s="84">
        <f>'ARP Quarterly'!H9</f>
        <v>46.79</v>
      </c>
      <c r="S36" s="84">
        <f>'ARP Quarterly'!I9</f>
        <v>46.79</v>
      </c>
      <c r="T36" s="84">
        <f>'ARP Quarterly'!J9</f>
        <v>38.595999999999997</v>
      </c>
      <c r="U36" s="84">
        <f>'ARP Quarterly'!K9</f>
        <v>38.595999999999997</v>
      </c>
      <c r="V36" s="84">
        <f>'ARP Quarterly'!L9</f>
        <v>38.595999999999997</v>
      </c>
      <c r="W36" s="84">
        <f>'ARP Quarterly'!M9</f>
        <v>38.595999999999997</v>
      </c>
      <c r="X36" s="84">
        <f>'ARP Quarterly'!N9</f>
        <v>31.911000000000001</v>
      </c>
      <c r="Y36" s="84">
        <f>'ARP Quarterly'!O9</f>
        <v>31.911000000000001</v>
      </c>
      <c r="Z36" s="84">
        <f>'ARP Quarterly'!P9</f>
        <v>31.911000000000001</v>
      </c>
      <c r="AA36" s="84">
        <f>'ARP Quarterly'!Q9</f>
        <v>31.911000000000001</v>
      </c>
      <c r="AB36" s="84">
        <f>'ARP Quarterly'!R9</f>
        <v>23.099</v>
      </c>
      <c r="AC36" s="85">
        <f>'ARP Quarterly'!S9</f>
        <v>23.099</v>
      </c>
      <c r="AD36" s="875">
        <f t="shared" si="16"/>
        <v>113.68849999999999</v>
      </c>
      <c r="AE36" s="168"/>
    </row>
    <row r="37" spans="1:88" s="95" customFormat="1" x14ac:dyDescent="0.3">
      <c r="A37" s="138"/>
      <c r="B37" s="140" t="s">
        <v>289</v>
      </c>
      <c r="C37" s="786"/>
      <c r="D37" s="810"/>
      <c r="E37" s="786"/>
      <c r="F37" s="786"/>
      <c r="G37" s="786"/>
      <c r="H37" s="130"/>
      <c r="I37" s="130"/>
      <c r="J37" s="130"/>
      <c r="K37" s="130"/>
      <c r="L37" s="130"/>
      <c r="M37" s="168"/>
      <c r="N37" s="168">
        <f>'ARP Quarterly'!D14</f>
        <v>0.76160000000000005</v>
      </c>
      <c r="O37" s="1225">
        <f>'ARP Quarterly'!E14</f>
        <v>1.9584000000000001</v>
      </c>
      <c r="P37" s="84">
        <f>'ARP Quarterly'!F14</f>
        <v>1.02</v>
      </c>
      <c r="Q37" s="84">
        <f>'ARP Quarterly'!G14</f>
        <v>1.02</v>
      </c>
      <c r="R37" s="84">
        <f>'ARP Quarterly'!H14</f>
        <v>1.02</v>
      </c>
      <c r="S37" s="84">
        <f>'ARP Quarterly'!I14</f>
        <v>1.02</v>
      </c>
      <c r="T37" s="84">
        <f>'ARP Quarterly'!J14</f>
        <v>0</v>
      </c>
      <c r="U37" s="84">
        <f>'ARP Quarterly'!K14</f>
        <v>0</v>
      </c>
      <c r="V37" s="84">
        <f>'ARP Quarterly'!L14</f>
        <v>0</v>
      </c>
      <c r="W37" s="84">
        <f>'ARP Quarterly'!M14</f>
        <v>0</v>
      </c>
      <c r="X37" s="84">
        <f>'ARP Quarterly'!N14</f>
        <v>0</v>
      </c>
      <c r="Y37" s="84">
        <f>'ARP Quarterly'!O14</f>
        <v>0</v>
      </c>
      <c r="Z37" s="84">
        <f>'ARP Quarterly'!P14</f>
        <v>0</v>
      </c>
      <c r="AA37" s="84">
        <f>'ARP Quarterly'!Q14</f>
        <v>0</v>
      </c>
      <c r="AB37" s="84">
        <f>'ARP Quarterly'!R14</f>
        <v>0</v>
      </c>
      <c r="AC37" s="85">
        <f>'ARP Quarterly'!S14</f>
        <v>0</v>
      </c>
      <c r="AD37" s="875">
        <f t="shared" si="16"/>
        <v>1.6999999999999997</v>
      </c>
      <c r="AE37" s="168"/>
    </row>
    <row r="38" spans="1:88" s="95" customFormat="1" x14ac:dyDescent="0.3">
      <c r="A38" s="138"/>
      <c r="B38" s="140" t="s">
        <v>392</v>
      </c>
      <c r="C38" s="786"/>
      <c r="D38" s="810"/>
      <c r="E38" s="786"/>
      <c r="F38" s="786"/>
      <c r="G38" s="786"/>
      <c r="H38" s="130"/>
      <c r="I38" s="130"/>
      <c r="J38" s="130"/>
      <c r="K38" s="130"/>
      <c r="L38" s="130"/>
      <c r="M38" s="168"/>
      <c r="N38" s="168">
        <f>'ARP Quarterly'!D10</f>
        <v>59.256</v>
      </c>
      <c r="O38" s="1225">
        <f>'ARP Quarterly'!E10</f>
        <v>59.256</v>
      </c>
      <c r="P38" s="84">
        <f>'ARP Quarterly'!F10</f>
        <v>35.671000000000006</v>
      </c>
      <c r="Q38" s="84">
        <f>'ARP Quarterly'!G10</f>
        <v>35.671000000000006</v>
      </c>
      <c r="R38" s="84">
        <f>'ARP Quarterly'!H10</f>
        <v>35.671000000000006</v>
      </c>
      <c r="S38" s="84">
        <f>'ARP Quarterly'!I10</f>
        <v>35.671000000000006</v>
      </c>
      <c r="T38" s="84">
        <f>'ARP Quarterly'!J10</f>
        <v>24.216000000000001</v>
      </c>
      <c r="U38" s="84">
        <f>'ARP Quarterly'!K10</f>
        <v>24.216000000000001</v>
      </c>
      <c r="V38" s="84">
        <f>'ARP Quarterly'!L10</f>
        <v>24.216000000000001</v>
      </c>
      <c r="W38" s="84">
        <f>'ARP Quarterly'!M10</f>
        <v>24.216000000000001</v>
      </c>
      <c r="X38" s="84">
        <f>'ARP Quarterly'!N10</f>
        <v>9.6430000000000007</v>
      </c>
      <c r="Y38" s="84">
        <f>'ARP Quarterly'!O10</f>
        <v>9.6430000000000007</v>
      </c>
      <c r="Z38" s="84">
        <f>'ARP Quarterly'!P10</f>
        <v>9.6430000000000007</v>
      </c>
      <c r="AA38" s="84">
        <f>'ARP Quarterly'!Q10</f>
        <v>9.6430000000000007</v>
      </c>
      <c r="AB38" s="84">
        <f>'ARP Quarterly'!R10</f>
        <v>4.5789999999999997</v>
      </c>
      <c r="AC38" s="85">
        <f>'ARP Quarterly'!S10</f>
        <v>4.5789999999999997</v>
      </c>
      <c r="AD38" s="875">
        <f t="shared" si="16"/>
        <v>94.336500000000001</v>
      </c>
      <c r="AE38" s="168"/>
    </row>
    <row r="39" spans="1:88" s="136" customFormat="1" x14ac:dyDescent="0.3">
      <c r="A39" s="138"/>
      <c r="B39" s="154"/>
      <c r="C39" s="346"/>
      <c r="D39" s="812"/>
      <c r="E39" s="813"/>
      <c r="F39" s="813"/>
      <c r="G39" s="813"/>
      <c r="H39" s="870"/>
      <c r="I39" s="870"/>
      <c r="J39" s="870"/>
      <c r="K39" s="870"/>
      <c r="L39" s="870"/>
      <c r="M39" s="872"/>
      <c r="N39" s="872"/>
      <c r="O39" s="871"/>
      <c r="P39" s="166"/>
      <c r="Q39" s="166"/>
      <c r="R39" s="166"/>
      <c r="S39" s="166"/>
      <c r="T39" s="166"/>
      <c r="U39" s="166"/>
      <c r="V39" s="166"/>
      <c r="W39" s="166"/>
      <c r="X39" s="166"/>
      <c r="Y39" s="166"/>
      <c r="Z39" s="166"/>
      <c r="AA39" s="166"/>
      <c r="AB39" s="166"/>
      <c r="AC39" s="167"/>
      <c r="AD39" s="871"/>
      <c r="AE39" s="168"/>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row>
    <row r="40" spans="1:88" s="95" customFormat="1" x14ac:dyDescent="0.35">
      <c r="A40" s="138"/>
      <c r="B40" s="137"/>
      <c r="C40" s="112"/>
      <c r="D40" s="112"/>
      <c r="E40" s="112"/>
      <c r="F40" s="112"/>
      <c r="G40" s="112"/>
      <c r="H40" s="125"/>
      <c r="I40" s="125"/>
      <c r="J40" s="125"/>
      <c r="K40" s="125"/>
      <c r="L40" s="125"/>
      <c r="M40" s="125"/>
      <c r="N40" s="135"/>
      <c r="O40" s="135"/>
      <c r="P40" s="135"/>
      <c r="Q40" s="135"/>
      <c r="R40" s="135"/>
      <c r="S40" s="135"/>
      <c r="T40" s="135"/>
      <c r="U40" s="135"/>
      <c r="V40" s="135"/>
      <c r="W40" s="135"/>
      <c r="X40" s="135"/>
      <c r="Y40" s="135"/>
      <c r="Z40" s="135"/>
      <c r="AA40" s="135"/>
      <c r="AB40" s="135"/>
      <c r="AC40" s="135"/>
      <c r="AD40" s="135"/>
      <c r="AE40" s="135"/>
    </row>
    <row r="41" spans="1:88" s="95" customFormat="1" x14ac:dyDescent="0.35">
      <c r="A41" s="138"/>
      <c r="B41" s="137"/>
      <c r="C41" s="112"/>
      <c r="D41" s="112"/>
      <c r="E41" s="112"/>
      <c r="F41" s="112"/>
      <c r="G41" s="112"/>
      <c r="H41" s="125"/>
      <c r="I41" s="125"/>
      <c r="J41" s="125"/>
      <c r="K41" s="125"/>
      <c r="L41" s="125"/>
      <c r="M41" s="125"/>
      <c r="N41" s="135"/>
      <c r="O41" s="135"/>
      <c r="P41" s="135"/>
      <c r="Q41" s="135"/>
      <c r="R41" s="135"/>
      <c r="S41" s="135"/>
      <c r="T41" s="135"/>
      <c r="U41" s="135"/>
      <c r="V41" s="135"/>
      <c r="W41" s="135"/>
      <c r="X41" s="135"/>
      <c r="Y41" s="135"/>
      <c r="Z41" s="135"/>
      <c r="AA41" s="135"/>
      <c r="AB41" s="135"/>
      <c r="AC41" s="135"/>
      <c r="AD41" s="135"/>
      <c r="AE41" s="135"/>
    </row>
    <row r="42" spans="1:88" s="82" customFormat="1" ht="17.5" customHeight="1" x14ac:dyDescent="0.3">
      <c r="A42" s="132"/>
      <c r="B42" s="169" t="s">
        <v>399</v>
      </c>
      <c r="H42" s="86"/>
      <c r="I42" s="86"/>
      <c r="J42" s="86"/>
      <c r="K42" s="86"/>
      <c r="L42" s="86"/>
      <c r="M42" s="86"/>
      <c r="N42" s="130"/>
      <c r="O42" s="130"/>
      <c r="P42" s="130"/>
      <c r="Q42" s="130"/>
      <c r="R42" s="130"/>
      <c r="S42" s="130"/>
      <c r="T42" s="130"/>
      <c r="U42" s="130"/>
      <c r="V42" s="130"/>
      <c r="W42" s="130"/>
      <c r="X42" s="130"/>
      <c r="Y42" s="130"/>
      <c r="Z42" s="130"/>
      <c r="AA42" s="130"/>
      <c r="AB42" s="130"/>
      <c r="AC42" s="130"/>
      <c r="AD42" s="130"/>
      <c r="AE42" s="130"/>
    </row>
    <row r="43" spans="1:88" s="43" customFormat="1" ht="29.5" customHeight="1" x14ac:dyDescent="0.3">
      <c r="A43" s="126"/>
      <c r="B43" s="141" t="s">
        <v>357</v>
      </c>
      <c r="C43" s="142" t="s">
        <v>346</v>
      </c>
      <c r="D43" s="172" t="s">
        <v>359</v>
      </c>
      <c r="E43" s="604" t="s">
        <v>358</v>
      </c>
      <c r="F43" s="86"/>
      <c r="G43" s="86"/>
      <c r="H43" s="86"/>
      <c r="I43" s="86"/>
      <c r="J43" s="130"/>
      <c r="K43" s="130"/>
      <c r="L43" s="130"/>
      <c r="M43" s="130"/>
      <c r="N43" s="130"/>
      <c r="O43" s="130"/>
      <c r="P43" s="130"/>
      <c r="Q43" s="130"/>
      <c r="R43" s="130"/>
      <c r="S43" s="130"/>
      <c r="T43" s="130"/>
      <c r="U43" s="130"/>
      <c r="V43" s="130"/>
      <c r="W43" s="130"/>
      <c r="X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2"/>
      <c r="BS43" s="82"/>
      <c r="BT43" s="82"/>
      <c r="BU43" s="82"/>
      <c r="BV43" s="82"/>
      <c r="BW43" s="82"/>
      <c r="BX43" s="82"/>
      <c r="BY43" s="82"/>
      <c r="BZ43" s="82"/>
      <c r="CA43" s="82"/>
      <c r="CB43" s="82"/>
      <c r="CC43" s="82"/>
      <c r="CD43" s="82"/>
      <c r="CE43" s="82"/>
      <c r="CF43" s="82"/>
    </row>
    <row r="44" spans="1:88" s="43" customFormat="1" ht="18.5" customHeight="1" x14ac:dyDescent="0.3">
      <c r="A44" s="126"/>
      <c r="B44" s="113" t="s">
        <v>385</v>
      </c>
      <c r="C44" s="159">
        <f>SUM(C45:C50)</f>
        <v>898.11599999999999</v>
      </c>
      <c r="D44" s="86">
        <f>SUM(D45:D49)</f>
        <v>203.64166666666668</v>
      </c>
      <c r="E44" s="52">
        <f>SUM(E45:E49)</f>
        <v>649.07733333333329</v>
      </c>
      <c r="F44" s="86"/>
      <c r="G44" s="86"/>
      <c r="H44" s="86"/>
      <c r="I44" s="128"/>
      <c r="J44" s="130"/>
      <c r="K44" s="130"/>
      <c r="L44" s="130"/>
      <c r="M44" s="130"/>
      <c r="N44" s="130"/>
      <c r="O44" s="130"/>
      <c r="P44" s="130"/>
      <c r="Q44" s="130"/>
      <c r="R44" s="130"/>
      <c r="S44" s="130"/>
      <c r="T44" s="130"/>
      <c r="U44" s="130"/>
      <c r="V44" s="130"/>
      <c r="W44" s="130"/>
      <c r="X44" s="132"/>
      <c r="Y44" s="132"/>
      <c r="Z44" s="132"/>
      <c r="AA44" s="132"/>
      <c r="AB44" s="132"/>
      <c r="AC44" s="132"/>
      <c r="AD44" s="132"/>
      <c r="AE44" s="132"/>
      <c r="AF44" s="132"/>
      <c r="AG44" s="132"/>
      <c r="AH44" s="13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2"/>
      <c r="BS44" s="82"/>
      <c r="BT44" s="82"/>
      <c r="BU44" s="82"/>
      <c r="BV44" s="82"/>
      <c r="BW44" s="82"/>
      <c r="BX44" s="82"/>
      <c r="BY44" s="82"/>
      <c r="BZ44" s="82"/>
      <c r="CA44" s="82"/>
      <c r="CB44" s="82"/>
      <c r="CC44" s="82"/>
      <c r="CD44" s="82"/>
      <c r="CE44" s="82"/>
      <c r="CF44" s="82"/>
    </row>
    <row r="45" spans="1:88" s="43" customFormat="1" x14ac:dyDescent="0.3">
      <c r="A45" s="126"/>
      <c r="B45" s="110" t="s">
        <v>287</v>
      </c>
      <c r="C45" s="159">
        <f>C54</f>
        <v>150</v>
      </c>
      <c r="D45" s="86">
        <f>SUM(H12:M12)/4</f>
        <v>149.47499999999999</v>
      </c>
      <c r="E45" s="145">
        <f>C45-D45</f>
        <v>0.52500000000000568</v>
      </c>
      <c r="F45" s="86"/>
      <c r="G45" s="86"/>
      <c r="H45" s="86"/>
      <c r="I45" s="175"/>
      <c r="J45" s="175"/>
      <c r="K45" s="175"/>
      <c r="L45" s="175"/>
      <c r="M45" s="175"/>
      <c r="N45" s="175"/>
      <c r="O45" s="175"/>
      <c r="P45" s="175"/>
      <c r="Q45" s="130"/>
      <c r="R45" s="130"/>
      <c r="S45" s="130"/>
      <c r="T45" s="130"/>
      <c r="U45" s="130"/>
      <c r="V45" s="130"/>
      <c r="W45" s="130"/>
      <c r="X45" s="132"/>
      <c r="Y45" s="132"/>
      <c r="Z45" s="132"/>
      <c r="AA45" s="132"/>
      <c r="AB45" s="132"/>
      <c r="AC45" s="132"/>
      <c r="AD45" s="132"/>
      <c r="AE45" s="132"/>
      <c r="AF45" s="132"/>
      <c r="AG45" s="132"/>
      <c r="AH45" s="132"/>
    </row>
    <row r="46" spans="1:88" s="43" customFormat="1" x14ac:dyDescent="0.3">
      <c r="A46" s="126"/>
      <c r="B46" s="110" t="s">
        <v>288</v>
      </c>
      <c r="C46" s="129">
        <f>C55+C59+C65</f>
        <v>273.16899999999998</v>
      </c>
      <c r="D46" s="86">
        <f>SUM(H13:M13)/4</f>
        <v>22.075000000000003</v>
      </c>
      <c r="E46" s="145">
        <f>C46-D46</f>
        <v>251.09399999999999</v>
      </c>
      <c r="F46" s="86"/>
      <c r="G46" s="86"/>
      <c r="H46" s="86"/>
      <c r="I46" s="175"/>
      <c r="J46" s="175"/>
      <c r="K46" s="175"/>
      <c r="L46" s="175"/>
      <c r="M46" s="175"/>
      <c r="N46" s="175"/>
      <c r="O46" s="175"/>
      <c r="P46" s="175"/>
      <c r="Q46" s="130"/>
      <c r="R46" s="130"/>
      <c r="S46" s="130"/>
      <c r="T46" s="130"/>
      <c r="U46" s="130"/>
      <c r="V46" s="130"/>
      <c r="W46" s="130"/>
      <c r="X46" s="132"/>
      <c r="Y46" s="132"/>
      <c r="Z46" s="132"/>
      <c r="AA46" s="132"/>
      <c r="AB46" s="132"/>
      <c r="AC46" s="132"/>
      <c r="AD46" s="132"/>
      <c r="AE46" s="132"/>
      <c r="AF46" s="132"/>
      <c r="AG46" s="132"/>
      <c r="AH46" s="132"/>
    </row>
    <row r="47" spans="1:88" s="43" customFormat="1" x14ac:dyDescent="0.3">
      <c r="A47" s="126"/>
      <c r="B47" s="161" t="s">
        <v>289</v>
      </c>
      <c r="C47" s="156">
        <f>C56+C66+C60</f>
        <v>38.5</v>
      </c>
      <c r="D47" s="86">
        <f>SUM(H14:M14)/4</f>
        <v>29.675000000000004</v>
      </c>
      <c r="E47" s="145">
        <f>C47-D47</f>
        <v>8.8249999999999957</v>
      </c>
      <c r="F47" s="86"/>
      <c r="G47" s="86"/>
      <c r="H47" s="86"/>
      <c r="I47" s="175"/>
      <c r="J47" s="175"/>
      <c r="K47" s="175"/>
      <c r="L47" s="175"/>
      <c r="M47" s="175"/>
      <c r="N47" s="175"/>
      <c r="O47" s="175"/>
      <c r="P47" s="175"/>
      <c r="Q47" s="1399"/>
      <c r="R47" s="1399"/>
      <c r="S47" s="1399"/>
      <c r="T47" s="1399"/>
      <c r="U47" s="1399"/>
      <c r="V47" s="1399"/>
      <c r="W47" s="1399"/>
      <c r="X47" s="1399"/>
      <c r="Y47" s="1399"/>
      <c r="Z47" s="1399"/>
      <c r="AA47" s="1399"/>
      <c r="AB47" s="1399"/>
      <c r="AC47" s="1399"/>
      <c r="AD47" s="1399"/>
      <c r="AE47" s="1399"/>
      <c r="AF47" s="1399"/>
      <c r="AG47" s="1399"/>
      <c r="AH47" s="1399"/>
    </row>
    <row r="48" spans="1:88" s="43" customFormat="1" ht="17" customHeight="1" x14ac:dyDescent="0.3">
      <c r="A48" s="126"/>
      <c r="B48" s="161" t="s">
        <v>356</v>
      </c>
      <c r="C48" s="156">
        <f>C58</f>
        <v>29</v>
      </c>
      <c r="D48" s="86">
        <f>SUM(H15:M15)/4</f>
        <v>2.4166666666666665</v>
      </c>
      <c r="E48" s="145">
        <f>C48-D48</f>
        <v>26.583333333333332</v>
      </c>
      <c r="F48" s="86"/>
      <c r="G48" s="86"/>
      <c r="H48" s="86"/>
      <c r="I48" s="175"/>
      <c r="J48" s="175"/>
      <c r="K48" s="175"/>
      <c r="L48" s="175"/>
      <c r="M48" s="175"/>
      <c r="N48" s="175"/>
      <c r="O48" s="175"/>
      <c r="P48" s="175"/>
      <c r="Q48" s="1377"/>
      <c r="R48" s="1377"/>
      <c r="S48" s="1377"/>
      <c r="T48" s="1377"/>
      <c r="U48" s="1377"/>
      <c r="V48" s="1377"/>
      <c r="W48" s="1377"/>
      <c r="X48" s="1377"/>
      <c r="Y48" s="1377"/>
      <c r="Z48" s="740"/>
      <c r="AA48" s="774"/>
      <c r="AB48" s="774"/>
      <c r="AC48" s="774"/>
      <c r="AD48" s="1377"/>
      <c r="AE48" s="1377"/>
      <c r="AF48" s="1377"/>
      <c r="AG48" s="1377"/>
      <c r="AH48" s="93"/>
    </row>
    <row r="49" spans="1:34" s="43" customFormat="1" ht="15.5" customHeight="1" x14ac:dyDescent="0.3">
      <c r="A49" s="126"/>
      <c r="B49" s="161" t="s">
        <v>365</v>
      </c>
      <c r="C49" s="156">
        <f>C64</f>
        <v>362.04999999999995</v>
      </c>
      <c r="D49" s="86">
        <v>0</v>
      </c>
      <c r="E49" s="145">
        <f>C49-D49</f>
        <v>362.04999999999995</v>
      </c>
      <c r="F49" s="86"/>
      <c r="G49" s="86"/>
      <c r="H49" s="86"/>
      <c r="I49" s="175"/>
      <c r="J49" s="175"/>
      <c r="K49" s="175"/>
      <c r="L49" s="175"/>
      <c r="M49" s="175"/>
      <c r="N49" s="175"/>
      <c r="O49" s="175"/>
      <c r="P49" s="175"/>
      <c r="Q49" s="93"/>
      <c r="R49" s="93"/>
      <c r="S49" s="93"/>
      <c r="T49" s="93"/>
      <c r="U49" s="93"/>
      <c r="V49" s="288"/>
      <c r="W49" s="288"/>
      <c r="X49" s="93"/>
      <c r="Y49" s="93"/>
      <c r="Z49" s="740"/>
      <c r="AA49" s="774"/>
      <c r="AB49" s="774"/>
      <c r="AC49" s="774"/>
      <c r="AD49" s="93"/>
      <c r="AE49" s="93"/>
      <c r="AF49" s="93"/>
      <c r="AG49" s="93"/>
      <c r="AH49" s="93"/>
    </row>
    <row r="50" spans="1:34" s="43" customFormat="1" ht="15" customHeight="1" x14ac:dyDescent="0.3">
      <c r="A50" s="126"/>
      <c r="B50" s="107" t="s">
        <v>391</v>
      </c>
      <c r="C50" s="159">
        <f>C67+C68+C61+C62</f>
        <v>45.396999999999998</v>
      </c>
      <c r="D50" s="86"/>
      <c r="E50" s="145"/>
      <c r="F50" s="86"/>
      <c r="G50" s="86"/>
      <c r="H50" s="86"/>
      <c r="I50" s="175"/>
      <c r="J50" s="175"/>
      <c r="K50" s="175"/>
      <c r="L50" s="175"/>
      <c r="M50" s="175"/>
      <c r="N50" s="175"/>
      <c r="O50" s="175"/>
      <c r="P50" s="175"/>
      <c r="Q50" s="130"/>
      <c r="R50" s="130"/>
      <c r="S50" s="130"/>
      <c r="T50" s="130"/>
      <c r="U50" s="130"/>
      <c r="V50" s="130"/>
      <c r="W50" s="130"/>
      <c r="X50" s="132"/>
      <c r="Y50" s="132"/>
      <c r="Z50" s="132"/>
      <c r="AA50" s="132"/>
      <c r="AB50" s="132"/>
      <c r="AC50" s="132"/>
      <c r="AD50" s="132"/>
      <c r="AE50" s="132"/>
      <c r="AF50" s="132"/>
      <c r="AG50" s="132"/>
      <c r="AH50" s="132"/>
    </row>
    <row r="51" spans="1:34" s="43" customFormat="1" ht="5" customHeight="1" x14ac:dyDescent="0.3">
      <c r="A51" s="126"/>
      <c r="B51" s="107"/>
      <c r="C51" s="159"/>
      <c r="D51" s="86"/>
      <c r="E51" s="145"/>
      <c r="F51" s="86"/>
      <c r="G51" s="86"/>
      <c r="H51" s="86"/>
      <c r="I51" s="175"/>
      <c r="J51" s="175"/>
      <c r="K51" s="175"/>
      <c r="L51" s="175"/>
      <c r="M51" s="175"/>
      <c r="N51" s="175"/>
      <c r="O51" s="175"/>
      <c r="P51" s="175"/>
      <c r="Q51" s="130"/>
      <c r="R51" s="130"/>
      <c r="S51" s="130"/>
      <c r="T51" s="130"/>
      <c r="U51" s="130"/>
      <c r="V51" s="130"/>
      <c r="W51" s="130"/>
      <c r="X51" s="132"/>
      <c r="Y51" s="132"/>
      <c r="Z51" s="132"/>
      <c r="AA51" s="132"/>
      <c r="AB51" s="132"/>
      <c r="AC51" s="132"/>
      <c r="AD51" s="132"/>
      <c r="AE51" s="132"/>
      <c r="AF51" s="132"/>
      <c r="AG51" s="132"/>
      <c r="AH51" s="132"/>
    </row>
    <row r="52" spans="1:34" s="43" customFormat="1" ht="18.5" customHeight="1" x14ac:dyDescent="0.3">
      <c r="A52" s="126"/>
      <c r="B52" s="113" t="s">
        <v>384</v>
      </c>
      <c r="C52" s="156">
        <f>C53+C57+C63</f>
        <v>898.11599999999999</v>
      </c>
      <c r="D52" s="86"/>
      <c r="E52" s="145"/>
      <c r="F52" s="86"/>
      <c r="G52" s="86"/>
      <c r="H52" s="86"/>
      <c r="I52" s="175"/>
      <c r="J52" s="175"/>
      <c r="K52" s="175"/>
      <c r="L52" s="175"/>
      <c r="M52" s="175"/>
      <c r="N52" s="175"/>
      <c r="O52" s="175"/>
      <c r="P52" s="175"/>
      <c r="Q52" s="130"/>
      <c r="R52" s="130"/>
      <c r="S52" s="130"/>
      <c r="T52" s="130"/>
      <c r="U52" s="130"/>
      <c r="V52" s="130"/>
      <c r="W52" s="130"/>
      <c r="X52" s="82"/>
    </row>
    <row r="53" spans="1:34" s="43" customFormat="1" ht="16" customHeight="1" x14ac:dyDescent="0.3">
      <c r="A53" s="126"/>
      <c r="B53" s="83" t="s">
        <v>291</v>
      </c>
      <c r="C53" s="156">
        <f>SUM(C54:C56)</f>
        <v>199</v>
      </c>
      <c r="D53" s="86"/>
      <c r="E53" s="145"/>
      <c r="F53" s="86"/>
      <c r="G53" s="86"/>
      <c r="H53" s="86"/>
      <c r="I53" s="175"/>
      <c r="J53" s="175"/>
      <c r="K53" s="175"/>
      <c r="L53" s="175"/>
      <c r="M53" s="175"/>
      <c r="N53" s="175"/>
      <c r="O53" s="175"/>
      <c r="P53" s="175"/>
      <c r="Q53" s="130"/>
      <c r="R53" s="130"/>
      <c r="S53" s="130"/>
      <c r="T53" s="130"/>
      <c r="U53" s="130"/>
      <c r="V53" s="130"/>
      <c r="W53" s="130"/>
      <c r="X53" s="82"/>
    </row>
    <row r="54" spans="1:34" s="43" customFormat="1" ht="20.5" customHeight="1" x14ac:dyDescent="0.3">
      <c r="A54" s="126"/>
      <c r="B54" s="140" t="s">
        <v>287</v>
      </c>
      <c r="C54" s="156">
        <v>150</v>
      </c>
      <c r="D54" s="86"/>
      <c r="E54" s="145"/>
      <c r="F54" s="86"/>
      <c r="G54" s="86"/>
      <c r="H54" s="86"/>
      <c r="I54" s="175"/>
      <c r="J54" s="175"/>
      <c r="K54" s="175"/>
      <c r="L54" s="175"/>
      <c r="M54" s="175"/>
      <c r="N54" s="175"/>
      <c r="O54" s="175"/>
      <c r="P54" s="175"/>
      <c r="Q54" s="130"/>
      <c r="R54" s="130"/>
      <c r="S54" s="130"/>
      <c r="T54" s="130"/>
      <c r="U54" s="130"/>
      <c r="V54" s="130"/>
      <c r="W54" s="130"/>
      <c r="X54" s="82"/>
    </row>
    <row r="55" spans="1:34" s="43" customFormat="1" ht="16.5" customHeight="1" x14ac:dyDescent="0.3">
      <c r="A55" s="126"/>
      <c r="B55" s="140" t="s">
        <v>288</v>
      </c>
      <c r="C55" s="127">
        <v>22</v>
      </c>
      <c r="D55" s="103"/>
      <c r="E55" s="145"/>
      <c r="F55" s="86"/>
      <c r="G55" s="86"/>
      <c r="H55" s="86"/>
      <c r="I55" s="175"/>
      <c r="J55" s="175"/>
      <c r="K55" s="175"/>
      <c r="L55" s="175"/>
      <c r="M55" s="175"/>
      <c r="N55" s="175"/>
      <c r="O55" s="175"/>
      <c r="P55" s="175"/>
      <c r="Q55" s="130"/>
      <c r="R55" s="130"/>
      <c r="S55" s="130"/>
      <c r="T55" s="130"/>
      <c r="U55" s="130"/>
      <c r="V55" s="130"/>
      <c r="W55" s="130"/>
      <c r="X55" s="82"/>
    </row>
    <row r="56" spans="1:34" s="126" customFormat="1" x14ac:dyDescent="0.3">
      <c r="B56" s="162" t="s">
        <v>289</v>
      </c>
      <c r="C56" s="156">
        <v>27</v>
      </c>
      <c r="D56" s="86"/>
      <c r="E56" s="145"/>
      <c r="F56" s="112"/>
      <c r="G56" s="86"/>
      <c r="H56" s="86"/>
      <c r="I56" s="175"/>
      <c r="J56" s="175"/>
      <c r="K56" s="175"/>
      <c r="L56" s="175"/>
      <c r="M56" s="175"/>
      <c r="N56" s="175"/>
      <c r="O56" s="175"/>
      <c r="P56" s="175"/>
      <c r="Q56" s="130"/>
      <c r="R56" s="130"/>
      <c r="S56" s="130"/>
      <c r="T56" s="130"/>
      <c r="U56" s="130"/>
      <c r="V56" s="130"/>
      <c r="W56" s="130"/>
      <c r="X56" s="132"/>
    </row>
    <row r="57" spans="1:34" s="126" customFormat="1" ht="15" customHeight="1" x14ac:dyDescent="0.3">
      <c r="B57" s="163" t="s">
        <v>292</v>
      </c>
      <c r="C57" s="156">
        <f>SUM(C58:C62)</f>
        <v>150</v>
      </c>
      <c r="D57" s="86"/>
      <c r="E57" s="145"/>
      <c r="F57" s="86"/>
      <c r="G57" s="86"/>
      <c r="H57" s="86"/>
      <c r="I57" s="86"/>
      <c r="J57" s="130"/>
      <c r="K57" s="130"/>
      <c r="L57" s="130"/>
      <c r="M57" s="130"/>
      <c r="N57" s="130"/>
      <c r="O57" s="130"/>
      <c r="P57" s="130"/>
      <c r="Q57" s="130"/>
      <c r="R57" s="130"/>
      <c r="S57" s="130"/>
      <c r="T57" s="130"/>
      <c r="U57" s="130"/>
      <c r="V57" s="130"/>
      <c r="W57" s="130"/>
      <c r="X57" s="132"/>
    </row>
    <row r="58" spans="1:34" s="126" customFormat="1" ht="17" customHeight="1" x14ac:dyDescent="0.3">
      <c r="A58" s="132"/>
      <c r="B58" s="162" t="s">
        <v>286</v>
      </c>
      <c r="C58" s="156">
        <f>'Response and Relief Act Score'!F7</f>
        <v>29</v>
      </c>
      <c r="D58" s="86"/>
      <c r="E58" s="145"/>
      <c r="F58" s="86"/>
      <c r="G58" s="86"/>
      <c r="H58" s="86"/>
      <c r="I58" s="86"/>
      <c r="J58" s="132"/>
      <c r="K58" s="132"/>
      <c r="L58" s="132"/>
      <c r="M58" s="132"/>
      <c r="N58" s="132"/>
      <c r="O58" s="132"/>
      <c r="P58" s="132"/>
      <c r="Q58" s="132"/>
      <c r="R58" s="132"/>
    </row>
    <row r="59" spans="1:34" s="126" customFormat="1" x14ac:dyDescent="0.3">
      <c r="A59" s="132"/>
      <c r="B59" s="140" t="s">
        <v>288</v>
      </c>
      <c r="C59" s="156">
        <f>'Response and Relief Act Score'!F5</f>
        <v>82</v>
      </c>
      <c r="D59" s="86"/>
      <c r="E59" s="145"/>
      <c r="F59" s="86"/>
      <c r="G59" s="86"/>
      <c r="H59" s="86"/>
      <c r="I59" s="128"/>
      <c r="J59" s="130"/>
      <c r="K59" s="130"/>
      <c r="L59" s="130"/>
      <c r="M59" s="130"/>
      <c r="N59" s="130"/>
      <c r="O59" s="130"/>
      <c r="P59" s="130"/>
      <c r="Q59" s="130"/>
      <c r="R59" s="130"/>
      <c r="S59" s="130"/>
      <c r="T59" s="130"/>
      <c r="U59" s="130"/>
      <c r="V59" s="130"/>
      <c r="W59" s="130"/>
      <c r="X59" s="132"/>
    </row>
    <row r="60" spans="1:34" s="126" customFormat="1" x14ac:dyDescent="0.3">
      <c r="A60" s="132"/>
      <c r="B60" s="140" t="s">
        <v>289</v>
      </c>
      <c r="C60" s="156">
        <f>'Response and Relief Act Score'!F6</f>
        <v>3</v>
      </c>
      <c r="D60" s="86"/>
      <c r="E60" s="145"/>
      <c r="F60" s="86"/>
      <c r="G60" s="86"/>
      <c r="H60" s="86"/>
      <c r="I60" s="128"/>
      <c r="J60" s="130"/>
      <c r="K60" s="130"/>
      <c r="L60" s="130"/>
      <c r="M60" s="130"/>
      <c r="N60" s="130"/>
      <c r="O60" s="130"/>
      <c r="P60" s="130"/>
      <c r="Q60" s="130"/>
      <c r="R60" s="130"/>
      <c r="S60" s="130"/>
      <c r="T60" s="130"/>
      <c r="U60" s="130"/>
      <c r="V60" s="130"/>
      <c r="W60" s="130"/>
      <c r="X60" s="132"/>
    </row>
    <row r="61" spans="1:34" s="126" customFormat="1" x14ac:dyDescent="0.3">
      <c r="A61" s="132"/>
      <c r="B61" s="140" t="s">
        <v>390</v>
      </c>
      <c r="C61" s="156">
        <f>'Response and Relief Act Score'!F9</f>
        <v>34</v>
      </c>
      <c r="D61" s="86"/>
      <c r="E61" s="145"/>
      <c r="F61" s="86"/>
      <c r="G61" s="86"/>
      <c r="H61" s="86"/>
      <c r="I61" s="173"/>
      <c r="J61" s="130"/>
      <c r="K61" s="130"/>
      <c r="L61" s="130"/>
      <c r="M61" s="130"/>
      <c r="N61" s="130"/>
      <c r="O61" s="130"/>
      <c r="P61" s="130"/>
      <c r="Q61" s="130"/>
      <c r="R61" s="130"/>
      <c r="S61" s="130"/>
      <c r="T61" s="130"/>
      <c r="U61" s="130"/>
      <c r="V61" s="130"/>
      <c r="W61" s="130"/>
      <c r="X61" s="132"/>
    </row>
    <row r="62" spans="1:34" s="126" customFormat="1" ht="12.5" customHeight="1" x14ac:dyDescent="0.3">
      <c r="A62" s="132"/>
      <c r="B62" s="140" t="s">
        <v>387</v>
      </c>
      <c r="C62" s="156">
        <f>'Response and Relief Act Score'!F8</f>
        <v>2</v>
      </c>
      <c r="D62" s="128"/>
      <c r="E62" s="146"/>
      <c r="F62" s="128"/>
      <c r="G62" s="128"/>
      <c r="H62" s="128"/>
      <c r="I62" s="128"/>
      <c r="J62" s="130"/>
      <c r="K62" s="130"/>
      <c r="L62" s="130"/>
      <c r="M62" s="130"/>
      <c r="N62" s="130"/>
      <c r="O62" s="130"/>
      <c r="P62" s="130"/>
      <c r="Q62" s="130"/>
      <c r="R62" s="130"/>
      <c r="S62" s="130"/>
      <c r="T62" s="130"/>
      <c r="U62" s="130"/>
      <c r="V62" s="130"/>
      <c r="W62" s="130"/>
      <c r="X62" s="132"/>
    </row>
    <row r="63" spans="1:34" s="126" customFormat="1" x14ac:dyDescent="0.3">
      <c r="A63" s="152"/>
      <c r="B63" s="150" t="s">
        <v>345</v>
      </c>
      <c r="C63" s="159">
        <f>SUM(C64:C68)</f>
        <v>549.11599999999999</v>
      </c>
      <c r="D63" s="128"/>
      <c r="E63" s="146"/>
      <c r="F63" s="128"/>
      <c r="G63" s="128"/>
      <c r="H63" s="128"/>
      <c r="I63" s="128"/>
      <c r="J63" s="130"/>
      <c r="K63" s="130"/>
      <c r="L63" s="130"/>
      <c r="M63" s="130"/>
      <c r="N63" s="130"/>
      <c r="O63" s="130"/>
      <c r="P63" s="130"/>
      <c r="Q63" s="130"/>
      <c r="R63" s="130"/>
      <c r="S63" s="130"/>
      <c r="T63" s="130"/>
      <c r="U63" s="130"/>
      <c r="V63" s="130"/>
      <c r="W63" s="130"/>
      <c r="X63" s="132"/>
    </row>
    <row r="64" spans="1:34" s="126" customFormat="1" ht="16" customHeight="1" x14ac:dyDescent="0.3">
      <c r="A64" s="152"/>
      <c r="B64" s="151" t="s">
        <v>365</v>
      </c>
      <c r="C64" s="159">
        <f>'ARP Score'!AJ16</f>
        <v>362.04999999999995</v>
      </c>
      <c r="D64" s="128"/>
      <c r="E64" s="146"/>
      <c r="F64" s="128"/>
      <c r="G64" s="128"/>
      <c r="H64" s="128"/>
      <c r="I64" s="128"/>
      <c r="J64" s="130"/>
      <c r="K64" s="130"/>
      <c r="L64" s="130"/>
      <c r="M64" s="130"/>
      <c r="N64" s="130"/>
      <c r="O64" s="130"/>
      <c r="P64" s="130"/>
      <c r="Q64" s="130"/>
      <c r="R64" s="130"/>
      <c r="S64" s="130"/>
      <c r="T64" s="130"/>
      <c r="U64" s="130"/>
      <c r="V64" s="130"/>
      <c r="W64" s="130"/>
      <c r="X64" s="132"/>
    </row>
    <row r="65" spans="1:32" s="126" customFormat="1" ht="15" customHeight="1" x14ac:dyDescent="0.3">
      <c r="A65" s="1398"/>
      <c r="B65" s="151" t="s">
        <v>288</v>
      </c>
      <c r="C65" s="159">
        <f>'ARP Score'!AL16</f>
        <v>169.16899999999998</v>
      </c>
      <c r="D65" s="128"/>
      <c r="E65" s="146"/>
      <c r="F65" s="128"/>
      <c r="G65" s="128"/>
      <c r="H65" s="128"/>
      <c r="I65" s="128"/>
      <c r="J65" s="130"/>
      <c r="K65" s="130"/>
      <c r="L65" s="130"/>
      <c r="M65" s="130"/>
      <c r="N65" s="130"/>
      <c r="O65" s="130"/>
      <c r="P65" s="130"/>
      <c r="Q65" s="130"/>
      <c r="R65" s="130"/>
      <c r="S65" s="130"/>
      <c r="T65" s="130"/>
      <c r="U65" s="130"/>
      <c r="V65" s="130"/>
      <c r="W65" s="130"/>
      <c r="X65" s="132"/>
    </row>
    <row r="66" spans="1:32" s="126" customFormat="1" x14ac:dyDescent="0.3">
      <c r="A66" s="1398"/>
      <c r="B66" s="153" t="s">
        <v>289</v>
      </c>
      <c r="C66" s="159">
        <f>'ARP Score'!AK16</f>
        <v>8.5</v>
      </c>
      <c r="D66" s="128"/>
      <c r="E66" s="146"/>
      <c r="F66" s="128"/>
      <c r="G66" s="128"/>
      <c r="H66" s="128"/>
      <c r="I66" s="128"/>
      <c r="J66" s="130"/>
      <c r="K66" s="130"/>
      <c r="L66" s="130"/>
      <c r="M66" s="130"/>
      <c r="N66" s="130"/>
      <c r="O66" s="130"/>
      <c r="P66" s="130"/>
      <c r="Q66" s="130"/>
      <c r="R66" s="130"/>
      <c r="S66" s="130"/>
      <c r="T66" s="130"/>
      <c r="U66" s="130"/>
      <c r="V66" s="130"/>
      <c r="W66" s="130"/>
      <c r="X66" s="132"/>
    </row>
    <row r="67" spans="1:32" s="126" customFormat="1" ht="17" customHeight="1" x14ac:dyDescent="0.3">
      <c r="A67" s="152"/>
      <c r="B67" s="151" t="s">
        <v>392</v>
      </c>
      <c r="C67" s="159">
        <f>'ARP Score'!AM16</f>
        <v>0.79700000000000004</v>
      </c>
      <c r="D67" s="128"/>
      <c r="E67" s="146"/>
      <c r="F67" s="128"/>
      <c r="G67" s="128"/>
      <c r="H67" s="128"/>
      <c r="I67" s="128"/>
      <c r="J67" s="130"/>
      <c r="K67" s="130"/>
      <c r="L67" s="130"/>
      <c r="M67" s="130"/>
      <c r="N67" s="130"/>
      <c r="O67" s="130"/>
      <c r="P67" s="130"/>
      <c r="Q67" s="130"/>
      <c r="R67" s="130"/>
      <c r="S67" s="130"/>
      <c r="T67" s="130"/>
      <c r="U67" s="130"/>
      <c r="V67" s="130"/>
      <c r="W67" s="130"/>
      <c r="X67" s="132"/>
    </row>
    <row r="68" spans="1:32" s="126" customFormat="1" ht="17" customHeight="1" x14ac:dyDescent="0.3">
      <c r="A68" s="152"/>
      <c r="B68" s="154" t="s">
        <v>362</v>
      </c>
      <c r="C68" s="160">
        <f>'ARP Score'!AN16</f>
        <v>8.6</v>
      </c>
      <c r="D68" s="155"/>
      <c r="E68" s="147"/>
      <c r="F68" s="128"/>
      <c r="G68" s="128"/>
      <c r="H68" s="128"/>
      <c r="I68" s="128"/>
      <c r="J68" s="130"/>
      <c r="K68" s="130"/>
      <c r="L68" s="130"/>
      <c r="M68" s="130"/>
      <c r="N68" s="130"/>
      <c r="O68" s="130"/>
      <c r="P68" s="130"/>
      <c r="Q68" s="130"/>
      <c r="R68" s="130"/>
      <c r="S68" s="130"/>
      <c r="T68" s="130"/>
      <c r="U68" s="130"/>
      <c r="V68" s="130"/>
      <c r="W68" s="130"/>
      <c r="X68" s="132"/>
    </row>
    <row r="69" spans="1:32" s="126" customFormat="1" ht="17" customHeight="1" x14ac:dyDescent="0.3">
      <c r="A69" s="132"/>
      <c r="B69" s="151"/>
      <c r="C69" s="111"/>
      <c r="D69" s="111"/>
      <c r="E69" s="111"/>
      <c r="F69" s="111"/>
      <c r="G69" s="111"/>
      <c r="H69" s="128"/>
      <c r="I69" s="128"/>
      <c r="J69" s="128"/>
      <c r="K69" s="128"/>
      <c r="L69" s="128"/>
      <c r="M69" s="128"/>
      <c r="N69" s="130"/>
      <c r="O69" s="130"/>
      <c r="P69" s="130"/>
      <c r="Q69" s="130"/>
      <c r="R69" s="130"/>
      <c r="S69" s="130"/>
      <c r="T69" s="130"/>
      <c r="U69" s="130"/>
      <c r="V69" s="130"/>
      <c r="W69" s="130"/>
      <c r="X69" s="130"/>
      <c r="Y69" s="130"/>
      <c r="Z69" s="130"/>
      <c r="AA69" s="130"/>
      <c r="AB69" s="130"/>
      <c r="AC69" s="130"/>
      <c r="AD69" s="130"/>
      <c r="AE69" s="130"/>
      <c r="AF69" s="132"/>
    </row>
    <row r="70" spans="1:32" s="126" customFormat="1" ht="17" customHeight="1" x14ac:dyDescent="0.3">
      <c r="A70" s="132"/>
      <c r="B70" s="144" t="s">
        <v>400</v>
      </c>
      <c r="C70" s="111"/>
      <c r="D70" s="111"/>
      <c r="E70" s="111"/>
      <c r="F70" s="111"/>
      <c r="G70" s="111"/>
      <c r="H70" s="128"/>
      <c r="I70" s="128"/>
      <c r="J70" s="128"/>
      <c r="K70" s="128"/>
      <c r="L70" s="128"/>
      <c r="M70" s="128"/>
      <c r="N70" s="130"/>
      <c r="O70" s="130"/>
      <c r="P70" s="130"/>
      <c r="Q70" s="130"/>
      <c r="R70" s="130"/>
      <c r="S70" s="130"/>
      <c r="T70" s="130"/>
      <c r="U70" s="130"/>
      <c r="V70" s="130"/>
      <c r="W70" s="130"/>
      <c r="X70" s="130"/>
      <c r="Y70" s="130"/>
      <c r="Z70" s="130"/>
      <c r="AA70" s="130"/>
      <c r="AB70" s="130"/>
      <c r="AC70" s="130"/>
      <c r="AD70" s="130"/>
      <c r="AE70" s="130"/>
      <c r="AF70" s="132"/>
    </row>
    <row r="71" spans="1:32" s="126" customFormat="1" ht="14.5" customHeight="1" x14ac:dyDescent="0.3">
      <c r="A71" s="132"/>
      <c r="B71" s="1338" t="s">
        <v>364</v>
      </c>
      <c r="C71" s="1339"/>
      <c r="D71" s="1346" t="s">
        <v>261</v>
      </c>
      <c r="E71" s="1347"/>
      <c r="F71" s="1347"/>
      <c r="G71" s="1347"/>
      <c r="H71" s="1347"/>
      <c r="I71" s="1347"/>
      <c r="J71" s="1347"/>
      <c r="K71" s="1347"/>
      <c r="L71" s="1347"/>
      <c r="M71" s="1347"/>
      <c r="N71" s="1347"/>
      <c r="O71" s="1348"/>
      <c r="P71" s="1378" t="s">
        <v>143</v>
      </c>
      <c r="Q71" s="1379"/>
      <c r="R71" s="1379"/>
      <c r="S71" s="1379"/>
      <c r="T71" s="1379"/>
      <c r="U71" s="1379"/>
      <c r="V71" s="1379"/>
      <c r="W71" s="1379"/>
      <c r="X71" s="1379"/>
      <c r="Y71" s="1379"/>
      <c r="Z71" s="1379"/>
      <c r="AA71" s="1379"/>
      <c r="AB71" s="1379"/>
      <c r="AC71" s="1380"/>
      <c r="AD71" s="287"/>
      <c r="AE71" s="287"/>
      <c r="AF71" s="132"/>
    </row>
    <row r="72" spans="1:32" s="43" customFormat="1" x14ac:dyDescent="0.3">
      <c r="A72" s="126"/>
      <c r="B72" s="1340"/>
      <c r="C72" s="1341"/>
      <c r="D72" s="736">
        <v>2018</v>
      </c>
      <c r="E72" s="1335">
        <v>2019</v>
      </c>
      <c r="F72" s="1342"/>
      <c r="G72" s="1342"/>
      <c r="H72" s="1337"/>
      <c r="I72" s="1335">
        <v>2020</v>
      </c>
      <c r="J72" s="1342"/>
      <c r="K72" s="1342"/>
      <c r="L72" s="1337"/>
      <c r="M72" s="1335">
        <v>2021</v>
      </c>
      <c r="N72" s="1336"/>
      <c r="O72" s="1337"/>
      <c r="P72" s="803">
        <v>2021</v>
      </c>
      <c r="Q72" s="1343">
        <v>2022</v>
      </c>
      <c r="R72" s="1385"/>
      <c r="S72" s="1385"/>
      <c r="T72" s="1345"/>
      <c r="U72" s="1343">
        <v>2023</v>
      </c>
      <c r="V72" s="1385"/>
      <c r="W72" s="1385"/>
      <c r="X72" s="1344"/>
      <c r="Y72" s="1343">
        <v>2024</v>
      </c>
      <c r="Z72" s="1344"/>
      <c r="AA72" s="1344"/>
      <c r="AB72" s="1345"/>
      <c r="AC72" s="439">
        <v>2025</v>
      </c>
      <c r="AD72" s="288"/>
      <c r="AE72" s="288"/>
    </row>
    <row r="73" spans="1:32" s="43" customFormat="1" x14ac:dyDescent="0.3">
      <c r="A73" s="126"/>
      <c r="B73" s="1383"/>
      <c r="C73" s="1384"/>
      <c r="D73" s="211" t="s">
        <v>138</v>
      </c>
      <c r="E73" s="211" t="s">
        <v>135</v>
      </c>
      <c r="F73" s="189" t="s">
        <v>136</v>
      </c>
      <c r="G73" s="189" t="s">
        <v>137</v>
      </c>
      <c r="H73" s="1056" t="s">
        <v>138</v>
      </c>
      <c r="I73" s="190" t="s">
        <v>135</v>
      </c>
      <c r="J73" s="190" t="s">
        <v>136</v>
      </c>
      <c r="K73" s="190" t="s">
        <v>137</v>
      </c>
      <c r="L73" s="190" t="s">
        <v>138</v>
      </c>
      <c r="M73" s="205" t="s">
        <v>135</v>
      </c>
      <c r="N73" s="190" t="s">
        <v>136</v>
      </c>
      <c r="O73" s="1056" t="s">
        <v>137</v>
      </c>
      <c r="P73" s="1184" t="s">
        <v>138</v>
      </c>
      <c r="Q73" s="776" t="s">
        <v>135</v>
      </c>
      <c r="R73" s="777" t="s">
        <v>136</v>
      </c>
      <c r="S73" s="777" t="s">
        <v>137</v>
      </c>
      <c r="T73" s="777" t="s">
        <v>138</v>
      </c>
      <c r="U73" s="776" t="s">
        <v>135</v>
      </c>
      <c r="V73" s="777" t="s">
        <v>136</v>
      </c>
      <c r="W73" s="777" t="s">
        <v>137</v>
      </c>
      <c r="X73" s="777" t="s">
        <v>138</v>
      </c>
      <c r="Y73" s="776" t="s">
        <v>135</v>
      </c>
      <c r="Z73" s="533" t="s">
        <v>136</v>
      </c>
      <c r="AA73" s="777" t="s">
        <v>137</v>
      </c>
      <c r="AB73" s="778" t="s">
        <v>138</v>
      </c>
      <c r="AC73" s="80" t="s">
        <v>135</v>
      </c>
      <c r="AD73" s="288"/>
      <c r="AE73" s="288"/>
    </row>
    <row r="74" spans="1:32" s="43" customFormat="1" ht="29" customHeight="1" x14ac:dyDescent="0.35">
      <c r="A74" s="126"/>
      <c r="B74" s="621" t="s">
        <v>561</v>
      </c>
      <c r="C74" s="878"/>
      <c r="D74" s="1233"/>
      <c r="E74" s="1236"/>
      <c r="F74" s="1236"/>
      <c r="G74" s="1236"/>
      <c r="H74" s="1237">
        <f t="shared" ref="H74:AC74" si="23">SUM(H76:H83)</f>
        <v>208.59399999999999</v>
      </c>
      <c r="I74" s="1237">
        <f t="shared" si="23"/>
        <v>212.48200000000003</v>
      </c>
      <c r="J74" s="1237">
        <f t="shared" si="23"/>
        <v>334.61</v>
      </c>
      <c r="K74" s="1237">
        <f t="shared" si="23"/>
        <v>301.78300000000002</v>
      </c>
      <c r="L74" s="1237">
        <f t="shared" si="23"/>
        <v>280.16300000000001</v>
      </c>
      <c r="M74" s="1237">
        <f t="shared" si="23"/>
        <v>310.15499999999997</v>
      </c>
      <c r="N74" s="1237">
        <f t="shared" si="23"/>
        <v>346.31500000000005</v>
      </c>
      <c r="O74" s="1238">
        <f t="shared" si="23"/>
        <v>-34.256</v>
      </c>
      <c r="P74" s="879" t="e">
        <f t="shared" si="23"/>
        <v>#DIV/0!</v>
      </c>
      <c r="Q74" s="879" t="e">
        <f t="shared" si="23"/>
        <v>#DIV/0!</v>
      </c>
      <c r="R74" s="879" t="e">
        <f t="shared" si="23"/>
        <v>#DIV/0!</v>
      </c>
      <c r="S74" s="879" t="e">
        <f t="shared" si="23"/>
        <v>#DIV/0!</v>
      </c>
      <c r="T74" s="879">
        <f t="shared" si="23"/>
        <v>49.935991634052229</v>
      </c>
      <c r="U74" s="879">
        <f t="shared" si="23"/>
        <v>54.299929299414316</v>
      </c>
      <c r="V74" s="879">
        <f t="shared" si="23"/>
        <v>30.051664103390891</v>
      </c>
      <c r="W74" s="879">
        <f t="shared" si="23"/>
        <v>20.06163690752652</v>
      </c>
      <c r="X74" s="879">
        <f t="shared" si="23"/>
        <v>15.03172414382756</v>
      </c>
      <c r="Y74" s="879">
        <f t="shared" si="23"/>
        <v>-15.26297425041929</v>
      </c>
      <c r="Z74" s="879">
        <f t="shared" si="23"/>
        <v>-42.809780700436079</v>
      </c>
      <c r="AA74" s="879">
        <f t="shared" si="23"/>
        <v>-48.345755288453518</v>
      </c>
      <c r="AB74" s="879">
        <f t="shared" si="23"/>
        <v>-54.983802999991639</v>
      </c>
      <c r="AC74" s="620">
        <f t="shared" si="23"/>
        <v>-69.968936847991301</v>
      </c>
      <c r="AD74" s="341"/>
      <c r="AE74" s="341"/>
    </row>
    <row r="75" spans="1:32" s="43" customFormat="1" ht="19" customHeight="1" x14ac:dyDescent="0.35">
      <c r="A75" s="126"/>
      <c r="B75" s="113" t="s">
        <v>557</v>
      </c>
      <c r="C75" s="229"/>
      <c r="D75" s="1234"/>
      <c r="E75" s="1235"/>
      <c r="F75" s="1235"/>
      <c r="G75" s="1235"/>
      <c r="H75" s="341"/>
      <c r="I75" s="341"/>
      <c r="J75" s="341"/>
      <c r="K75" s="341"/>
      <c r="L75" s="341"/>
      <c r="M75" s="341"/>
      <c r="N75" s="341"/>
      <c r="O75" s="1239"/>
      <c r="P75" s="339"/>
      <c r="Q75" s="339"/>
      <c r="R75" s="339"/>
      <c r="S75" s="339"/>
      <c r="T75" s="339"/>
      <c r="U75" s="339"/>
      <c r="V75" s="339"/>
      <c r="W75" s="339"/>
      <c r="X75" s="339"/>
      <c r="Y75" s="339"/>
      <c r="Z75" s="339"/>
      <c r="AA75" s="339"/>
      <c r="AB75" s="339"/>
      <c r="AC75" s="340"/>
      <c r="AD75" s="341"/>
      <c r="AE75" s="341"/>
    </row>
    <row r="76" spans="1:32" s="43" customFormat="1" x14ac:dyDescent="0.3">
      <c r="A76" s="126"/>
      <c r="B76" s="92" t="s">
        <v>289</v>
      </c>
      <c r="C76" s="112"/>
      <c r="D76" s="810"/>
      <c r="E76" s="786"/>
      <c r="F76" s="786"/>
      <c r="G76" s="786"/>
      <c r="H76" s="168"/>
      <c r="I76" s="168"/>
      <c r="J76" s="168">
        <f t="shared" ref="J76:AC76" si="24">J14</f>
        <v>64.400000000000006</v>
      </c>
      <c r="K76" s="168">
        <f t="shared" si="24"/>
        <v>23.4</v>
      </c>
      <c r="L76" s="168">
        <f t="shared" si="24"/>
        <v>13.8</v>
      </c>
      <c r="M76" s="168">
        <f t="shared" si="24"/>
        <v>17.100000000000001</v>
      </c>
      <c r="N76" s="168">
        <f t="shared" si="24"/>
        <v>10.6</v>
      </c>
      <c r="O76" s="1225">
        <f t="shared" si="24"/>
        <v>0</v>
      </c>
      <c r="P76" s="537" t="e">
        <f t="shared" si="24"/>
        <v>#DIV/0!</v>
      </c>
      <c r="Q76" s="537" t="e">
        <f t="shared" si="24"/>
        <v>#DIV/0!</v>
      </c>
      <c r="R76" s="537" t="e">
        <f t="shared" si="24"/>
        <v>#DIV/0!</v>
      </c>
      <c r="S76" s="537" t="e">
        <f t="shared" si="24"/>
        <v>#DIV/0!</v>
      </c>
      <c r="T76" s="537">
        <f t="shared" si="24"/>
        <v>0</v>
      </c>
      <c r="U76" s="537">
        <f t="shared" si="24"/>
        <v>0</v>
      </c>
      <c r="V76" s="537">
        <f t="shared" si="24"/>
        <v>0</v>
      </c>
      <c r="W76" s="537">
        <f t="shared" si="24"/>
        <v>0</v>
      </c>
      <c r="X76" s="537">
        <f t="shared" si="24"/>
        <v>0</v>
      </c>
      <c r="Y76" s="537">
        <f t="shared" si="24"/>
        <v>0</v>
      </c>
      <c r="Z76" s="537">
        <f t="shared" si="24"/>
        <v>0</v>
      </c>
      <c r="AA76" s="537">
        <f t="shared" si="24"/>
        <v>0</v>
      </c>
      <c r="AB76" s="537">
        <f t="shared" si="24"/>
        <v>0</v>
      </c>
      <c r="AC76" s="538">
        <f t="shared" si="24"/>
        <v>0</v>
      </c>
      <c r="AD76" s="168"/>
      <c r="AE76" s="168"/>
    </row>
    <row r="77" spans="1:32" s="43" customFormat="1" x14ac:dyDescent="0.3">
      <c r="A77" s="126"/>
      <c r="B77" s="92" t="s">
        <v>286</v>
      </c>
      <c r="C77" s="112"/>
      <c r="D77" s="810"/>
      <c r="E77" s="786"/>
      <c r="F77" s="786"/>
      <c r="G77" s="786"/>
      <c r="H77" s="168"/>
      <c r="I77" s="168"/>
      <c r="J77" s="168"/>
      <c r="K77" s="168"/>
      <c r="L77" s="168"/>
      <c r="M77" s="168">
        <f>M29</f>
        <v>9.6666666666666661</v>
      </c>
      <c r="N77" s="168">
        <f t="shared" ref="N77:AC77" si="25">N29</f>
        <v>9.6666666666666661</v>
      </c>
      <c r="O77" s="1225">
        <f t="shared" si="25"/>
        <v>9.6666666666666661</v>
      </c>
      <c r="P77" s="537">
        <f t="shared" si="25"/>
        <v>9.6666666666666661</v>
      </c>
      <c r="Q77" s="537">
        <f t="shared" si="25"/>
        <v>9.6666666666666661</v>
      </c>
      <c r="R77" s="537">
        <f t="shared" si="25"/>
        <v>9.6666666666666661</v>
      </c>
      <c r="S77" s="537">
        <f t="shared" si="25"/>
        <v>9.6666666666666661</v>
      </c>
      <c r="T77" s="537">
        <f t="shared" si="25"/>
        <v>9.6666666666666661</v>
      </c>
      <c r="U77" s="537">
        <f t="shared" si="25"/>
        <v>9.6666666666666661</v>
      </c>
      <c r="V77" s="537">
        <f t="shared" si="25"/>
        <v>9.6666666666666661</v>
      </c>
      <c r="W77" s="537">
        <f t="shared" si="25"/>
        <v>9.6666666666666661</v>
      </c>
      <c r="X77" s="537">
        <f t="shared" si="25"/>
        <v>9.6666666666666661</v>
      </c>
      <c r="Y77" s="537">
        <f t="shared" si="25"/>
        <v>0</v>
      </c>
      <c r="Z77" s="537">
        <f t="shared" si="25"/>
        <v>0</v>
      </c>
      <c r="AA77" s="537">
        <f t="shared" si="25"/>
        <v>0</v>
      </c>
      <c r="AB77" s="537">
        <f t="shared" si="25"/>
        <v>0</v>
      </c>
      <c r="AC77" s="538">
        <f t="shared" si="25"/>
        <v>0</v>
      </c>
      <c r="AD77" s="168"/>
      <c r="AE77" s="168"/>
    </row>
    <row r="78" spans="1:32" s="43" customFormat="1" x14ac:dyDescent="0.3">
      <c r="A78" s="126"/>
      <c r="B78" s="92" t="s">
        <v>712</v>
      </c>
      <c r="C78" s="112"/>
      <c r="D78" s="810"/>
      <c r="E78" s="786"/>
      <c r="F78" s="786"/>
      <c r="G78" s="786"/>
      <c r="H78" s="168"/>
      <c r="I78" s="168"/>
      <c r="J78" s="168"/>
      <c r="K78" s="168"/>
      <c r="L78" s="168"/>
      <c r="M78" s="168">
        <f t="shared" ref="M78:AC78" si="26">M16</f>
        <v>12</v>
      </c>
      <c r="N78" s="168">
        <f t="shared" si="26"/>
        <v>12</v>
      </c>
      <c r="O78" s="1225">
        <f t="shared" si="26"/>
        <v>12</v>
      </c>
      <c r="P78" s="537">
        <f t="shared" si="26"/>
        <v>12</v>
      </c>
      <c r="Q78" s="537">
        <f t="shared" si="26"/>
        <v>12</v>
      </c>
      <c r="R78" s="537">
        <f t="shared" si="26"/>
        <v>12</v>
      </c>
      <c r="S78" s="537">
        <f t="shared" si="26"/>
        <v>12</v>
      </c>
      <c r="T78" s="537">
        <f t="shared" si="26"/>
        <v>12</v>
      </c>
      <c r="U78" s="537">
        <f t="shared" si="26"/>
        <v>12</v>
      </c>
      <c r="V78" s="537">
        <f t="shared" si="26"/>
        <v>12</v>
      </c>
      <c r="W78" s="537">
        <f t="shared" si="26"/>
        <v>12</v>
      </c>
      <c r="X78" s="537">
        <f t="shared" si="26"/>
        <v>12</v>
      </c>
      <c r="Y78" s="537">
        <f t="shared" si="26"/>
        <v>0</v>
      </c>
      <c r="Z78" s="537">
        <f t="shared" si="26"/>
        <v>0</v>
      </c>
      <c r="AA78" s="537">
        <f t="shared" si="26"/>
        <v>0</v>
      </c>
      <c r="AB78" s="537">
        <f t="shared" si="26"/>
        <v>0</v>
      </c>
      <c r="AC78" s="538">
        <f t="shared" si="26"/>
        <v>0</v>
      </c>
      <c r="AD78" s="168"/>
      <c r="AE78" s="168"/>
    </row>
    <row r="79" spans="1:32" s="82" customFormat="1" x14ac:dyDescent="0.3">
      <c r="A79" s="132"/>
      <c r="B79" s="92" t="s">
        <v>559</v>
      </c>
      <c r="C79" s="112"/>
      <c r="D79" s="810"/>
      <c r="E79" s="786"/>
      <c r="F79" s="786"/>
      <c r="G79" s="786"/>
      <c r="H79" s="342">
        <f t="shared" ref="H79:AC79" si="27">H20</f>
        <v>208.59399999999999</v>
      </c>
      <c r="I79" s="342">
        <f t="shared" si="27"/>
        <v>212.48200000000003</v>
      </c>
      <c r="J79" s="342">
        <f t="shared" si="27"/>
        <v>206.81000000000006</v>
      </c>
      <c r="K79" s="342">
        <f t="shared" si="27"/>
        <v>217.58300000000003</v>
      </c>
      <c r="L79" s="342">
        <f t="shared" si="27"/>
        <v>206.16300000000001</v>
      </c>
      <c r="M79" s="342">
        <f t="shared" si="27"/>
        <v>202.48833333333332</v>
      </c>
      <c r="N79" s="342">
        <f t="shared" si="27"/>
        <v>206.44833333333338</v>
      </c>
      <c r="O79" s="1240">
        <f t="shared" si="27"/>
        <v>-120.92266666666666</v>
      </c>
      <c r="P79" s="344">
        <f t="shared" si="27"/>
        <v>-125.75957333333332</v>
      </c>
      <c r="Q79" s="344">
        <f t="shared" si="27"/>
        <v>-130.78995626666665</v>
      </c>
      <c r="R79" s="344">
        <f t="shared" si="27"/>
        <v>-136.02155451733333</v>
      </c>
      <c r="S79" s="344">
        <f t="shared" si="27"/>
        <v>-141.46241669802666</v>
      </c>
      <c r="T79" s="344">
        <f t="shared" si="27"/>
        <v>-147.12091336594773</v>
      </c>
      <c r="U79" s="344">
        <f t="shared" si="27"/>
        <v>-153.00574990058564</v>
      </c>
      <c r="V79" s="344">
        <f t="shared" si="27"/>
        <v>-159.12597989660907</v>
      </c>
      <c r="W79" s="344">
        <f t="shared" si="27"/>
        <v>-165.49101909247344</v>
      </c>
      <c r="X79" s="344">
        <f t="shared" si="27"/>
        <v>-172.11065985617239</v>
      </c>
      <c r="Y79" s="344">
        <f t="shared" si="27"/>
        <v>-178.99508625041929</v>
      </c>
      <c r="Z79" s="344">
        <f t="shared" si="27"/>
        <v>-186.15488970043606</v>
      </c>
      <c r="AA79" s="344">
        <f t="shared" si="27"/>
        <v>-193.6010852884535</v>
      </c>
      <c r="AB79" s="344">
        <f t="shared" si="27"/>
        <v>-201.34512869999165</v>
      </c>
      <c r="AC79" s="345">
        <f t="shared" si="27"/>
        <v>-209.39893384799132</v>
      </c>
      <c r="AD79" s="342"/>
      <c r="AE79" s="342"/>
    </row>
    <row r="80" spans="1:32" s="43" customFormat="1" ht="14.5" customHeight="1" x14ac:dyDescent="0.3">
      <c r="A80" s="126"/>
      <c r="B80" s="622" t="s">
        <v>558</v>
      </c>
      <c r="C80" s="112"/>
      <c r="D80" s="810"/>
      <c r="E80" s="786"/>
      <c r="F80" s="786"/>
      <c r="G80" s="786"/>
      <c r="H80" s="168"/>
      <c r="I80" s="168"/>
      <c r="J80" s="168"/>
      <c r="K80" s="168"/>
      <c r="L80" s="168"/>
      <c r="M80" s="168"/>
      <c r="N80" s="168"/>
      <c r="O80" s="1225"/>
      <c r="P80" s="537"/>
      <c r="Q80" s="537"/>
      <c r="R80" s="537"/>
      <c r="S80" s="537"/>
      <c r="T80" s="537"/>
      <c r="U80" s="537"/>
      <c r="V80" s="537"/>
      <c r="W80" s="537"/>
      <c r="X80" s="537"/>
      <c r="Y80" s="537"/>
      <c r="Z80" s="537"/>
      <c r="AA80" s="537"/>
      <c r="AB80" s="537"/>
      <c r="AC80" s="538"/>
      <c r="AD80" s="168"/>
      <c r="AE80" s="168"/>
    </row>
    <row r="81" spans="1:32" s="43" customFormat="1" ht="14.5" customHeight="1" x14ac:dyDescent="0.3">
      <c r="A81" s="126"/>
      <c r="B81" s="91" t="s">
        <v>288</v>
      </c>
      <c r="C81" s="112"/>
      <c r="D81" s="810"/>
      <c r="E81" s="786"/>
      <c r="F81" s="786"/>
      <c r="G81" s="786"/>
      <c r="H81" s="168"/>
      <c r="I81" s="168"/>
      <c r="J81" s="168">
        <f>J13</f>
        <v>28.4</v>
      </c>
      <c r="K81" s="168">
        <f t="shared" ref="K81:O81" si="28">K13</f>
        <v>15.8</v>
      </c>
      <c r="L81" s="168">
        <f t="shared" si="28"/>
        <v>15.2</v>
      </c>
      <c r="M81" s="168">
        <f t="shared" si="28"/>
        <v>28.9</v>
      </c>
      <c r="N81" s="168">
        <f t="shared" si="28"/>
        <v>67.599999999999994</v>
      </c>
      <c r="O81" s="1225">
        <f t="shared" si="28"/>
        <v>0</v>
      </c>
      <c r="P81" s="537">
        <f>P26+P30+'ARP Quarterly'!F28</f>
        <v>43.095653333333331</v>
      </c>
      <c r="Q81" s="537">
        <f>Q26+Q30+'ARP Quarterly'!G28</f>
        <v>42.104973333333305</v>
      </c>
      <c r="R81" s="537">
        <f>R26+R30+'ARP Quarterly'!H28</f>
        <v>46.145562333333302</v>
      </c>
      <c r="S81" s="537">
        <f>S26+S30+'ARP Quarterly'!I28</f>
        <v>50.186151333333306</v>
      </c>
      <c r="T81" s="537">
        <f>T26+T30+'ARP Quarterly'!J28</f>
        <v>52.851310333333302</v>
      </c>
      <c r="U81" s="537">
        <f>U26+U30+'ARP Quarterly'!K28</f>
        <v>55.516469333333305</v>
      </c>
      <c r="V81" s="537">
        <f>V26+V30+'ARP Quarterly'!L28</f>
        <v>58.594257333333303</v>
      </c>
      <c r="W81" s="537">
        <f>W26+W30+'ARP Quarterly'!M28</f>
        <v>61.672045333333294</v>
      </c>
      <c r="X81" s="537">
        <f>X26+X30+'ARP Quarterly'!N28</f>
        <v>63.261773333333295</v>
      </c>
      <c r="Y81" s="537">
        <f>Y26+Y30+'ARP Quarterly'!O28</f>
        <v>61.518167999999996</v>
      </c>
      <c r="Z81" s="537">
        <f>Z26+Z30+'ARP Quarterly'!P28</f>
        <v>44.428388999999996</v>
      </c>
      <c r="AA81" s="537">
        <f>AA26+AA30+'ARP Quarterly'!Q28</f>
        <v>46.338610000000003</v>
      </c>
      <c r="AB81" s="537">
        <f>AB26+AB30+'ARP Quarterly'!R28</f>
        <v>47.279744500000007</v>
      </c>
      <c r="AC81" s="538">
        <f>AC26+AC30+'ARP Quarterly'!S28</f>
        <v>46.283419000000009</v>
      </c>
      <c r="AD81" s="168"/>
      <c r="AE81" s="168"/>
    </row>
    <row r="82" spans="1:32" s="43" customFormat="1" x14ac:dyDescent="0.3">
      <c r="A82" s="126"/>
      <c r="B82" s="91" t="s">
        <v>287</v>
      </c>
      <c r="C82" s="343"/>
      <c r="D82" s="811"/>
      <c r="E82" s="788"/>
      <c r="F82" s="788"/>
      <c r="G82" s="788"/>
      <c r="H82" s="168"/>
      <c r="I82" s="168"/>
      <c r="J82" s="168">
        <v>35</v>
      </c>
      <c r="K82" s="168">
        <v>45</v>
      </c>
      <c r="L82" s="168">
        <v>45</v>
      </c>
      <c r="M82" s="168">
        <v>40</v>
      </c>
      <c r="N82" s="168">
        <v>40</v>
      </c>
      <c r="O82" s="1225">
        <v>65</v>
      </c>
      <c r="P82" s="537">
        <v>65</v>
      </c>
      <c r="Q82" s="537">
        <v>55</v>
      </c>
      <c r="R82" s="537">
        <v>50</v>
      </c>
      <c r="S82" s="537">
        <v>50</v>
      </c>
      <c r="T82" s="537">
        <v>50</v>
      </c>
      <c r="U82" s="537">
        <v>50</v>
      </c>
      <c r="V82" s="537">
        <v>10</v>
      </c>
      <c r="W82" s="537"/>
      <c r="X82" s="537"/>
      <c r="Y82" s="537"/>
      <c r="Z82" s="537"/>
      <c r="AA82" s="537"/>
      <c r="AB82" s="537"/>
      <c r="AC82" s="538"/>
    </row>
    <row r="83" spans="1:32" s="43" customFormat="1" ht="28.5" customHeight="1" x14ac:dyDescent="0.3">
      <c r="A83" s="126"/>
      <c r="B83" s="959" t="s">
        <v>1003</v>
      </c>
      <c r="C83" s="813"/>
      <c r="D83" s="812"/>
      <c r="E83" s="813"/>
      <c r="F83" s="813"/>
      <c r="G83" s="813"/>
      <c r="H83" s="872"/>
      <c r="I83" s="872"/>
      <c r="J83" s="872"/>
      <c r="K83" s="872"/>
      <c r="L83" s="872"/>
      <c r="M83" s="872"/>
      <c r="N83" s="872">
        <f>'ARP Quarterly'!D47</f>
        <v>0</v>
      </c>
      <c r="O83" s="871">
        <f>'ARP Quarterly'!E47</f>
        <v>0</v>
      </c>
      <c r="P83" s="957">
        <f>'ARP Quarterly'!F47</f>
        <v>34.620851999999999</v>
      </c>
      <c r="Q83" s="957">
        <f>'ARP Quarterly'!G47</f>
        <v>45.996274799999995</v>
      </c>
      <c r="R83" s="957">
        <f>'ARP Quarterly'!H47</f>
        <v>59.350031999999992</v>
      </c>
      <c r="S83" s="957">
        <f>'ARP Quarterly'!I47</f>
        <v>64.295867999999999</v>
      </c>
      <c r="T83" s="957">
        <f>'ARP Quarterly'!J47</f>
        <v>72.538927999999999</v>
      </c>
      <c r="U83" s="957">
        <f>'ARP Quarterly'!K47</f>
        <v>80.122543199999996</v>
      </c>
      <c r="V83" s="957">
        <f>'ARP Quarterly'!L47</f>
        <v>98.916719999999998</v>
      </c>
      <c r="W83" s="957">
        <f>'ARP Quarterly'!M47</f>
        <v>102.213944</v>
      </c>
      <c r="X83" s="957">
        <f>'ARP Quarterly'!N47</f>
        <v>102.213944</v>
      </c>
      <c r="Y83" s="957">
        <f>'ARP Quarterly'!O47</f>
        <v>102.213944</v>
      </c>
      <c r="Z83" s="957">
        <f>'ARP Quarterly'!P47</f>
        <v>98.916719999999998</v>
      </c>
      <c r="AA83" s="957">
        <f>'ARP Quarterly'!Q47</f>
        <v>98.916719999999998</v>
      </c>
      <c r="AB83" s="957">
        <f>'ARP Quarterly'!R47</f>
        <v>99.081581199999988</v>
      </c>
      <c r="AC83" s="958">
        <f>'ARP Quarterly'!S47</f>
        <v>93.146578000000005</v>
      </c>
    </row>
    <row r="85" spans="1:32" ht="12.5" customHeight="1" x14ac:dyDescent="0.3">
      <c r="I85" s="954"/>
      <c r="J85" s="954"/>
      <c r="K85" s="954"/>
      <c r="L85" s="954"/>
      <c r="M85" s="954"/>
      <c r="N85" s="954"/>
      <c r="O85" s="954"/>
      <c r="P85" s="954"/>
      <c r="Q85" s="954"/>
      <c r="R85" s="954"/>
      <c r="S85" s="954"/>
      <c r="T85" s="954"/>
      <c r="U85" s="954"/>
      <c r="V85" s="954"/>
      <c r="W85" s="954"/>
      <c r="X85" s="954"/>
      <c r="Y85" s="954"/>
      <c r="Z85" s="954"/>
      <c r="AA85" s="954"/>
      <c r="AB85" s="954"/>
      <c r="AC85" s="954"/>
      <c r="AD85" s="290"/>
      <c r="AE85" s="290"/>
    </row>
    <row r="86" spans="1:32" x14ac:dyDescent="0.3">
      <c r="V86" s="115"/>
      <c r="W86" s="115"/>
      <c r="X86" s="115"/>
      <c r="Y86" s="115"/>
      <c r="Z86" s="115"/>
      <c r="AA86" s="115"/>
      <c r="AB86" s="115"/>
      <c r="AC86" s="115"/>
      <c r="AD86" s="115"/>
      <c r="AE86" s="115"/>
    </row>
    <row r="87" spans="1:32" x14ac:dyDescent="0.3">
      <c r="B87" s="1333" t="s">
        <v>6</v>
      </c>
      <c r="C87" s="1333"/>
      <c r="D87" s="1333"/>
      <c r="E87" s="1333"/>
      <c r="F87" s="1333"/>
      <c r="G87" s="1333"/>
      <c r="H87" s="1333"/>
      <c r="I87" s="1333"/>
      <c r="J87" s="1333"/>
      <c r="K87" s="1333"/>
      <c r="L87" s="1333"/>
      <c r="M87" s="1333"/>
      <c r="N87" s="1333"/>
      <c r="O87" s="1333"/>
      <c r="P87" s="1333"/>
      <c r="Q87" s="1333"/>
      <c r="R87" s="1333"/>
      <c r="S87" s="1333"/>
      <c r="T87" s="1333"/>
      <c r="U87" s="1333"/>
      <c r="V87" s="1333"/>
      <c r="W87" s="1333"/>
      <c r="X87" s="1333"/>
      <c r="Y87" s="1333"/>
      <c r="Z87" s="735"/>
      <c r="AA87" s="775"/>
      <c r="AB87" s="775"/>
      <c r="AC87" s="775"/>
      <c r="AD87" s="613"/>
      <c r="AE87" s="613"/>
    </row>
    <row r="88" spans="1:32" ht="19" customHeight="1" x14ac:dyDescent="0.3">
      <c r="B88" s="1334" t="s">
        <v>983</v>
      </c>
      <c r="C88" s="1334"/>
      <c r="D88" s="1334"/>
      <c r="E88" s="1334"/>
      <c r="F88" s="1334"/>
      <c r="G88" s="1334"/>
      <c r="H88" s="1334"/>
      <c r="I88" s="1334"/>
      <c r="J88" s="1334"/>
      <c r="K88" s="1334"/>
      <c r="L88" s="1334"/>
      <c r="M88" s="1334"/>
      <c r="N88" s="1334"/>
      <c r="O88" s="1334"/>
      <c r="P88" s="1334"/>
      <c r="Q88" s="1334"/>
      <c r="R88" s="1334"/>
      <c r="S88" s="1334"/>
      <c r="T88" s="1334"/>
      <c r="U88" s="1334"/>
      <c r="V88" s="1334"/>
      <c r="W88" s="1334"/>
      <c r="X88" s="1334"/>
      <c r="Y88" s="1334"/>
      <c r="Z88" s="1334"/>
      <c r="AA88" s="1334"/>
      <c r="AB88" s="1334"/>
      <c r="AC88" s="1334"/>
      <c r="AD88" s="289"/>
      <c r="AE88" s="289"/>
    </row>
    <row r="89" spans="1:32" ht="11.5" customHeight="1" x14ac:dyDescent="0.3">
      <c r="B89" s="73"/>
      <c r="C89" s="73"/>
      <c r="D89" s="585"/>
      <c r="E89" s="585"/>
      <c r="F89" s="585"/>
      <c r="G89" s="585"/>
      <c r="H89" s="73"/>
      <c r="I89" s="73"/>
      <c r="J89" s="73"/>
      <c r="K89" s="73"/>
      <c r="L89" s="73"/>
      <c r="M89" s="73"/>
      <c r="V89" s="143"/>
      <c r="W89" s="143"/>
      <c r="X89" s="143"/>
      <c r="Y89" s="143"/>
      <c r="Z89" s="743"/>
      <c r="AA89" s="781"/>
      <c r="AB89" s="781"/>
      <c r="AC89" s="781"/>
      <c r="AD89" s="591"/>
      <c r="AE89" s="591"/>
      <c r="AF89" s="115"/>
    </row>
    <row r="90" spans="1:32" ht="14.5" customHeight="1" x14ac:dyDescent="0.3">
      <c r="B90" s="1338" t="s">
        <v>260</v>
      </c>
      <c r="C90" s="1339"/>
      <c r="D90" s="1346" t="s">
        <v>261</v>
      </c>
      <c r="E90" s="1347"/>
      <c r="F90" s="1347"/>
      <c r="G90" s="1347"/>
      <c r="H90" s="1347"/>
      <c r="I90" s="1347"/>
      <c r="J90" s="1347"/>
      <c r="K90" s="1347"/>
      <c r="L90" s="1347"/>
      <c r="M90" s="1347"/>
      <c r="N90" s="1347"/>
      <c r="O90" s="1348"/>
      <c r="P90" s="1378" t="s">
        <v>143</v>
      </c>
      <c r="Q90" s="1379"/>
      <c r="R90" s="1379"/>
      <c r="S90" s="1379"/>
      <c r="T90" s="1379"/>
      <c r="U90" s="1379"/>
      <c r="V90" s="1379"/>
      <c r="W90" s="1379"/>
      <c r="X90" s="1379"/>
      <c r="Y90" s="1379"/>
      <c r="Z90" s="1379"/>
      <c r="AA90" s="1379"/>
      <c r="AB90" s="1379"/>
      <c r="AC90" s="1380"/>
      <c r="AD90" s="589"/>
      <c r="AE90" s="589"/>
      <c r="AF90" s="115"/>
    </row>
    <row r="91" spans="1:32" x14ac:dyDescent="0.3">
      <c r="B91" s="1340"/>
      <c r="C91" s="1341"/>
      <c r="D91" s="1183">
        <v>2018</v>
      </c>
      <c r="E91" s="1335">
        <v>2019</v>
      </c>
      <c r="F91" s="1342"/>
      <c r="G91" s="1342"/>
      <c r="H91" s="1337"/>
      <c r="I91" s="1335">
        <v>2020</v>
      </c>
      <c r="J91" s="1342"/>
      <c r="K91" s="1342"/>
      <c r="L91" s="1337"/>
      <c r="M91" s="1335">
        <v>2021</v>
      </c>
      <c r="N91" s="1336"/>
      <c r="O91" s="1337"/>
      <c r="P91" s="803">
        <v>2021</v>
      </c>
      <c r="Q91" s="1343">
        <v>2022</v>
      </c>
      <c r="R91" s="1385"/>
      <c r="S91" s="1385"/>
      <c r="T91" s="1345"/>
      <c r="U91" s="1343">
        <v>2023</v>
      </c>
      <c r="V91" s="1385"/>
      <c r="W91" s="1385"/>
      <c r="X91" s="1344"/>
      <c r="Y91" s="1343">
        <v>2024</v>
      </c>
      <c r="Z91" s="1344"/>
      <c r="AA91" s="1344"/>
      <c r="AB91" s="1345"/>
      <c r="AC91" s="439">
        <v>2025</v>
      </c>
      <c r="AD91" s="614"/>
      <c r="AE91" s="614"/>
      <c r="AF91" s="115"/>
    </row>
    <row r="92" spans="1:32" x14ac:dyDescent="0.3">
      <c r="B92" s="1383"/>
      <c r="C92" s="1384"/>
      <c r="D92" s="211" t="s">
        <v>138</v>
      </c>
      <c r="E92" s="211" t="s">
        <v>135</v>
      </c>
      <c r="F92" s="189" t="s">
        <v>136</v>
      </c>
      <c r="G92" s="189" t="s">
        <v>137</v>
      </c>
      <c r="H92" s="1056" t="s">
        <v>138</v>
      </c>
      <c r="I92" s="190" t="s">
        <v>135</v>
      </c>
      <c r="J92" s="190" t="s">
        <v>136</v>
      </c>
      <c r="K92" s="190" t="s">
        <v>137</v>
      </c>
      <c r="L92" s="190" t="s">
        <v>138</v>
      </c>
      <c r="M92" s="205" t="s">
        <v>135</v>
      </c>
      <c r="N92" s="190" t="s">
        <v>136</v>
      </c>
      <c r="O92" s="1056" t="s">
        <v>137</v>
      </c>
      <c r="P92" s="1184" t="s">
        <v>138</v>
      </c>
      <c r="Q92" s="1173" t="s">
        <v>135</v>
      </c>
      <c r="R92" s="1174" t="s">
        <v>136</v>
      </c>
      <c r="S92" s="1174" t="s">
        <v>137</v>
      </c>
      <c r="T92" s="1174" t="s">
        <v>138</v>
      </c>
      <c r="U92" s="1173" t="s">
        <v>135</v>
      </c>
      <c r="V92" s="1174" t="s">
        <v>136</v>
      </c>
      <c r="W92" s="1174" t="s">
        <v>137</v>
      </c>
      <c r="X92" s="1174" t="s">
        <v>138</v>
      </c>
      <c r="Y92" s="1173" t="s">
        <v>135</v>
      </c>
      <c r="Z92" s="533" t="s">
        <v>136</v>
      </c>
      <c r="AA92" s="1174" t="s">
        <v>137</v>
      </c>
      <c r="AB92" s="1175" t="s">
        <v>138</v>
      </c>
      <c r="AC92" s="80" t="s">
        <v>135</v>
      </c>
      <c r="AD92" s="590"/>
      <c r="AE92" s="590"/>
      <c r="AF92" s="115"/>
    </row>
    <row r="93" spans="1:32" ht="14.5" x14ac:dyDescent="0.35">
      <c r="B93" s="615" t="s">
        <v>282</v>
      </c>
      <c r="C93" s="616" t="s">
        <v>237</v>
      </c>
      <c r="D93" s="617"/>
      <c r="E93" s="618"/>
      <c r="F93" s="618"/>
      <c r="G93" s="618"/>
      <c r="H93" s="619">
        <f>'Haver Pivoted'!GS41</f>
        <v>70.894000000000005</v>
      </c>
      <c r="I93" s="619">
        <f>'Haver Pivoted'!GT41</f>
        <v>72.774000000000001</v>
      </c>
      <c r="J93" s="619">
        <f>'Haver Pivoted'!GU41</f>
        <v>75.275000000000006</v>
      </c>
      <c r="K93" s="619">
        <f>'Haver Pivoted'!GV41</f>
        <v>78.766999999999996</v>
      </c>
      <c r="L93" s="619">
        <f>'Haver Pivoted'!GW41</f>
        <v>76.995000000000005</v>
      </c>
      <c r="M93" s="619">
        <f>'Haver Pivoted'!GX41</f>
        <v>75.03</v>
      </c>
      <c r="N93" s="619">
        <f>'Haver Pivoted'!GY41</f>
        <v>77.703999999999994</v>
      </c>
      <c r="O93" s="619">
        <f>'Haver Pivoted'!GZ41</f>
        <v>0</v>
      </c>
      <c r="P93" s="884">
        <f t="shared" ref="P93:AC93" si="29">AVERAGE($H$93:$N$93)</f>
        <v>75.34842857142857</v>
      </c>
      <c r="Q93" s="1012">
        <f t="shared" si="29"/>
        <v>75.34842857142857</v>
      </c>
      <c r="R93" s="1012">
        <f t="shared" si="29"/>
        <v>75.34842857142857</v>
      </c>
      <c r="S93" s="1012">
        <f t="shared" si="29"/>
        <v>75.34842857142857</v>
      </c>
      <c r="T93" s="1012">
        <f t="shared" si="29"/>
        <v>75.34842857142857</v>
      </c>
      <c r="U93" s="1012">
        <f t="shared" si="29"/>
        <v>75.34842857142857</v>
      </c>
      <c r="V93" s="1012">
        <f t="shared" si="29"/>
        <v>75.34842857142857</v>
      </c>
      <c r="W93" s="1012">
        <f t="shared" si="29"/>
        <v>75.34842857142857</v>
      </c>
      <c r="X93" s="1012">
        <f t="shared" si="29"/>
        <v>75.34842857142857</v>
      </c>
      <c r="Y93" s="1012">
        <f t="shared" si="29"/>
        <v>75.34842857142857</v>
      </c>
      <c r="Z93" s="1012">
        <f t="shared" si="29"/>
        <v>75.34842857142857</v>
      </c>
      <c r="AA93" s="1012">
        <f t="shared" si="29"/>
        <v>75.34842857142857</v>
      </c>
      <c r="AB93" s="1012">
        <f t="shared" si="29"/>
        <v>75.34842857142857</v>
      </c>
      <c r="AC93" s="1013">
        <f t="shared" si="29"/>
        <v>75.34842857142857</v>
      </c>
      <c r="AD93" s="474"/>
      <c r="AE93" s="474"/>
      <c r="AF93" s="115"/>
    </row>
    <row r="94" spans="1:32" x14ac:dyDescent="0.3">
      <c r="AD94" s="115"/>
      <c r="AE94" s="115"/>
      <c r="AF94" s="115"/>
    </row>
    <row r="95" spans="1:32" ht="11" customHeight="1" x14ac:dyDescent="0.3">
      <c r="AD95" s="115"/>
      <c r="AE95" s="115"/>
      <c r="AF95" s="115"/>
    </row>
    <row r="96" spans="1:32" hidden="1" x14ac:dyDescent="0.3"/>
  </sheetData>
  <mergeCells count="42">
    <mergeCell ref="B90:C92"/>
    <mergeCell ref="I91:L91"/>
    <mergeCell ref="Q91:T91"/>
    <mergeCell ref="B2:AC4"/>
    <mergeCell ref="B88:AC88"/>
    <mergeCell ref="O6:AC6"/>
    <mergeCell ref="Y72:AB72"/>
    <mergeCell ref="B71:C73"/>
    <mergeCell ref="I72:L72"/>
    <mergeCell ref="Q72:T72"/>
    <mergeCell ref="U72:X72"/>
    <mergeCell ref="B87:Y87"/>
    <mergeCell ref="A65:A66"/>
    <mergeCell ref="Q47:AH47"/>
    <mergeCell ref="Q48:S48"/>
    <mergeCell ref="T48:Y48"/>
    <mergeCell ref="AD48:AG48"/>
    <mergeCell ref="U91:X91"/>
    <mergeCell ref="E91:H91"/>
    <mergeCell ref="Y91:AB91"/>
    <mergeCell ref="M91:O91"/>
    <mergeCell ref="E72:H72"/>
    <mergeCell ref="AE24:AF24"/>
    <mergeCell ref="AE28:AF29"/>
    <mergeCell ref="AE34:AF34"/>
    <mergeCell ref="B1:Y1"/>
    <mergeCell ref="B6:C8"/>
    <mergeCell ref="I7:L7"/>
    <mergeCell ref="Q7:T7"/>
    <mergeCell ref="AD6:AD8"/>
    <mergeCell ref="AE6:AE8"/>
    <mergeCell ref="U7:X7"/>
    <mergeCell ref="E7:H7"/>
    <mergeCell ref="D6:N6"/>
    <mergeCell ref="B23:AC23"/>
    <mergeCell ref="Y7:AB7"/>
    <mergeCell ref="M7:O7"/>
    <mergeCell ref="M72:O72"/>
    <mergeCell ref="D71:O71"/>
    <mergeCell ref="P71:AC71"/>
    <mergeCell ref="D90:O90"/>
    <mergeCell ref="P90:AC90"/>
  </mergeCells>
  <phoneticPr fontId="5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A21" zoomScale="49" zoomScaleNormal="135" workbookViewId="0">
      <selection activeCell="D22" sqref="D22:AC24"/>
    </sheetView>
  </sheetViews>
  <sheetFormatPr defaultColWidth="8.6328125" defaultRowHeight="14" x14ac:dyDescent="0.3"/>
  <cols>
    <col min="1" max="1" width="8.6328125" style="36"/>
    <col min="2" max="2" width="44.453125" style="36" customWidth="1"/>
    <col min="3" max="3" width="13.36328125" style="36" customWidth="1"/>
    <col min="4" max="7" width="10" style="286" customWidth="1"/>
    <col min="8" max="8" width="14.1796875" style="36" customWidth="1"/>
    <col min="9" max="9" width="8.6328125" style="36"/>
    <col min="10" max="10" width="11.08984375" style="36" bestFit="1" customWidth="1"/>
    <col min="11" max="11" width="13.453125" style="36" customWidth="1"/>
    <col min="12" max="13" width="8.6328125" style="36"/>
    <col min="14" max="19" width="9" style="36" bestFit="1" customWidth="1"/>
    <col min="20" max="21" width="8.81640625" style="36" bestFit="1" customWidth="1"/>
    <col min="22" max="25" width="8.81640625" style="236" customWidth="1"/>
    <col min="26" max="26" width="8.81640625" style="286"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33" t="s">
        <v>144</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47" ht="14" customHeight="1" x14ac:dyDescent="0.3">
      <c r="B2" s="1369" t="s">
        <v>1067</v>
      </c>
      <c r="C2" s="1369"/>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2:47" ht="9" customHeight="1" x14ac:dyDescent="0.3">
      <c r="B3" s="1369"/>
      <c r="C3" s="1369"/>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2:47" ht="27" customHeight="1" x14ac:dyDescent="0.3">
      <c r="B4" s="1369"/>
      <c r="C4" s="1369"/>
      <c r="D4" s="1369"/>
      <c r="E4" s="1369"/>
      <c r="F4" s="1369"/>
      <c r="G4" s="1369"/>
      <c r="H4" s="1369"/>
      <c r="I4" s="1369"/>
      <c r="J4" s="1369"/>
      <c r="K4" s="1369"/>
      <c r="L4" s="1369"/>
      <c r="M4" s="1369"/>
      <c r="N4" s="1369"/>
      <c r="O4" s="1369"/>
      <c r="P4" s="1369"/>
      <c r="Q4" s="1369"/>
      <c r="R4" s="1369"/>
      <c r="S4" s="1369"/>
      <c r="T4" s="1369"/>
      <c r="U4" s="1369"/>
      <c r="V4" s="1369"/>
      <c r="W4" s="1369"/>
      <c r="X4" s="1369"/>
      <c r="Y4" s="1369"/>
      <c r="Z4" s="1369"/>
      <c r="AA4" s="1369"/>
      <c r="AB4" s="1369"/>
      <c r="AC4" s="1369"/>
      <c r="AD4" s="115"/>
      <c r="AE4" s="176"/>
      <c r="AF4" s="176"/>
      <c r="AG4" s="176"/>
      <c r="AH4" s="176"/>
      <c r="AI4" s="176"/>
      <c r="AJ4" s="176"/>
      <c r="AK4" s="176"/>
      <c r="AL4" s="176"/>
      <c r="AM4" s="176"/>
      <c r="AN4" s="115"/>
      <c r="AO4" s="115"/>
      <c r="AP4" s="115"/>
      <c r="AQ4" s="115"/>
      <c r="AR4" s="115"/>
      <c r="AS4" s="115"/>
      <c r="AT4" s="115"/>
      <c r="AU4" s="115"/>
    </row>
    <row r="5" spans="2:47" x14ac:dyDescent="0.3">
      <c r="B5" s="43"/>
      <c r="AC5" s="177"/>
      <c r="AD5" s="177"/>
      <c r="AE5" s="177"/>
      <c r="AF5" s="177"/>
      <c r="AG5" s="177"/>
      <c r="AH5" s="177"/>
      <c r="AI5" s="177"/>
      <c r="AJ5" s="177"/>
      <c r="AK5" s="177"/>
      <c r="AL5" s="177"/>
      <c r="AM5" s="177"/>
      <c r="AN5" s="177"/>
      <c r="AO5" s="177"/>
      <c r="AP5" s="177"/>
      <c r="AQ5" s="177"/>
      <c r="AR5" s="177"/>
      <c r="AS5" s="177"/>
      <c r="AT5" s="177"/>
      <c r="AU5" s="115"/>
    </row>
    <row r="6" spans="2:47" ht="14.5" customHeight="1" x14ac:dyDescent="0.3">
      <c r="B6" s="1338" t="s">
        <v>260</v>
      </c>
      <c r="C6" s="1339"/>
      <c r="D6" s="1346" t="s">
        <v>261</v>
      </c>
      <c r="E6" s="1347"/>
      <c r="F6" s="1347"/>
      <c r="G6" s="1347"/>
      <c r="H6" s="1347"/>
      <c r="I6" s="1347"/>
      <c r="J6" s="1347"/>
      <c r="K6" s="1347"/>
      <c r="L6" s="1347"/>
      <c r="M6" s="1347"/>
      <c r="N6" s="1347"/>
      <c r="O6" s="1348"/>
      <c r="P6" s="1378" t="s">
        <v>143</v>
      </c>
      <c r="Q6" s="1379"/>
      <c r="R6" s="1379"/>
      <c r="S6" s="1379"/>
      <c r="T6" s="1379"/>
      <c r="U6" s="1379"/>
      <c r="V6" s="1379"/>
      <c r="W6" s="1379"/>
      <c r="X6" s="1379"/>
      <c r="Y6" s="1379"/>
      <c r="Z6" s="1379"/>
      <c r="AA6" s="1379"/>
      <c r="AB6" s="1379"/>
      <c r="AC6" s="1380"/>
      <c r="AD6" s="115"/>
      <c r="AE6" s="115"/>
      <c r="AF6" s="115"/>
      <c r="AG6" s="115"/>
      <c r="AH6" s="115"/>
      <c r="AI6" s="115"/>
      <c r="AJ6" s="115"/>
      <c r="AK6" s="115"/>
      <c r="AL6" s="115"/>
      <c r="AM6" s="115"/>
      <c r="AN6" s="115"/>
      <c r="AO6" s="115"/>
      <c r="AP6" s="115"/>
      <c r="AQ6" s="115"/>
      <c r="AR6" s="115"/>
      <c r="AS6" s="115"/>
      <c r="AT6" s="115"/>
      <c r="AU6" s="115"/>
    </row>
    <row r="7" spans="2:47" ht="14.5" customHeight="1" x14ac:dyDescent="0.3">
      <c r="B7" s="1340"/>
      <c r="C7" s="1341"/>
      <c r="D7" s="1183">
        <v>2018</v>
      </c>
      <c r="E7" s="1335">
        <v>2019</v>
      </c>
      <c r="F7" s="1342"/>
      <c r="G7" s="1342"/>
      <c r="H7" s="1337"/>
      <c r="I7" s="1335">
        <v>2020</v>
      </c>
      <c r="J7" s="1342"/>
      <c r="K7" s="1342"/>
      <c r="L7" s="1337"/>
      <c r="M7" s="1335">
        <v>2021</v>
      </c>
      <c r="N7" s="1336"/>
      <c r="O7" s="1337"/>
      <c r="P7" s="803">
        <v>2021</v>
      </c>
      <c r="Q7" s="1343">
        <v>2022</v>
      </c>
      <c r="R7" s="1385"/>
      <c r="S7" s="1385"/>
      <c r="T7" s="1345"/>
      <c r="U7" s="1343">
        <v>2023</v>
      </c>
      <c r="V7" s="1385"/>
      <c r="W7" s="1385"/>
      <c r="X7" s="1344"/>
      <c r="Y7" s="1343">
        <v>2024</v>
      </c>
      <c r="Z7" s="1344"/>
      <c r="AA7" s="1344"/>
      <c r="AB7" s="1345"/>
      <c r="AC7" s="439">
        <v>2025</v>
      </c>
      <c r="AD7" s="115"/>
      <c r="AE7" s="115"/>
      <c r="AF7" s="115"/>
      <c r="AG7" s="115"/>
      <c r="AH7" s="115"/>
      <c r="AI7" s="115"/>
      <c r="AJ7" s="115"/>
      <c r="AK7" s="115"/>
      <c r="AL7" s="115"/>
      <c r="AM7" s="115"/>
      <c r="AN7" s="115"/>
      <c r="AO7" s="115"/>
      <c r="AP7" s="115"/>
      <c r="AQ7" s="115"/>
      <c r="AR7" s="115"/>
      <c r="AS7" s="115"/>
      <c r="AT7" s="115"/>
      <c r="AU7" s="115"/>
    </row>
    <row r="8" spans="2:47" x14ac:dyDescent="0.3">
      <c r="B8" s="1383"/>
      <c r="C8" s="1384"/>
      <c r="D8" s="211" t="s">
        <v>138</v>
      </c>
      <c r="E8" s="211" t="s">
        <v>135</v>
      </c>
      <c r="F8" s="189" t="s">
        <v>136</v>
      </c>
      <c r="G8" s="189" t="s">
        <v>137</v>
      </c>
      <c r="H8" s="1056" t="s">
        <v>138</v>
      </c>
      <c r="I8" s="190" t="s">
        <v>135</v>
      </c>
      <c r="J8" s="190" t="s">
        <v>136</v>
      </c>
      <c r="K8" s="190" t="s">
        <v>137</v>
      </c>
      <c r="L8" s="190" t="s">
        <v>138</v>
      </c>
      <c r="M8" s="205" t="s">
        <v>135</v>
      </c>
      <c r="N8" s="190" t="s">
        <v>136</v>
      </c>
      <c r="O8" s="1056" t="s">
        <v>137</v>
      </c>
      <c r="P8" s="1184" t="s">
        <v>138</v>
      </c>
      <c r="Q8" s="1173" t="s">
        <v>135</v>
      </c>
      <c r="R8" s="1174" t="s">
        <v>136</v>
      </c>
      <c r="S8" s="1174" t="s">
        <v>137</v>
      </c>
      <c r="T8" s="1174" t="s">
        <v>138</v>
      </c>
      <c r="U8" s="1173" t="s">
        <v>135</v>
      </c>
      <c r="V8" s="1174" t="s">
        <v>136</v>
      </c>
      <c r="W8" s="1174" t="s">
        <v>137</v>
      </c>
      <c r="X8" s="1174" t="s">
        <v>138</v>
      </c>
      <c r="Y8" s="1173" t="s">
        <v>135</v>
      </c>
      <c r="Z8" s="533" t="s">
        <v>136</v>
      </c>
      <c r="AA8" s="1174" t="s">
        <v>137</v>
      </c>
      <c r="AB8" s="1175" t="s">
        <v>138</v>
      </c>
      <c r="AC8" s="80" t="s">
        <v>135</v>
      </c>
      <c r="AD8" s="115"/>
      <c r="AE8" s="115"/>
      <c r="AF8" s="115"/>
      <c r="AG8" s="115"/>
      <c r="AH8" s="115"/>
      <c r="AI8" s="115"/>
      <c r="AJ8" s="115"/>
      <c r="AK8" s="115"/>
      <c r="AL8" s="115"/>
      <c r="AM8" s="115"/>
      <c r="AN8" s="115"/>
      <c r="AO8" s="115"/>
      <c r="AP8" s="115"/>
      <c r="AQ8" s="115"/>
      <c r="AR8" s="115"/>
      <c r="AS8" s="115"/>
      <c r="AT8" s="115"/>
      <c r="AU8" s="115"/>
    </row>
    <row r="9" spans="2:47" ht="29" customHeight="1" x14ac:dyDescent="0.3">
      <c r="B9" s="60" t="s">
        <v>1052</v>
      </c>
      <c r="C9" s="59" t="s">
        <v>199</v>
      </c>
      <c r="D9" s="1241"/>
      <c r="E9" s="1243"/>
      <c r="F9" s="1243"/>
      <c r="G9" s="1243"/>
      <c r="H9" s="1243">
        <f>'Haver Pivoted'!GS23</f>
        <v>1441.7</v>
      </c>
      <c r="I9" s="1243">
        <f>'Haver Pivoted'!GT23</f>
        <v>1454.7</v>
      </c>
      <c r="J9" s="1243">
        <f>'Haver Pivoted'!GU23</f>
        <v>1525</v>
      </c>
      <c r="K9" s="1243">
        <f>'Haver Pivoted'!GV23</f>
        <v>1515.1</v>
      </c>
      <c r="L9" s="1243">
        <f>'Haver Pivoted'!GW23</f>
        <v>1512.3</v>
      </c>
      <c r="M9" s="1243">
        <f>'Haver Pivoted'!GX23</f>
        <v>1568.6</v>
      </c>
      <c r="N9" s="1243">
        <f>'Haver Pivoted'!GY23</f>
        <v>1563.3</v>
      </c>
      <c r="O9" s="789">
        <f>'Haver Pivoted'!GZ23</f>
        <v>0</v>
      </c>
      <c r="P9" s="790">
        <f t="shared" ref="P9:Y9" si="0">O9*((100 + P11)/100)^(0.25)</f>
        <v>0</v>
      </c>
      <c r="Q9" s="790">
        <f t="shared" si="0"/>
        <v>0</v>
      </c>
      <c r="R9" s="790">
        <f t="shared" si="0"/>
        <v>0</v>
      </c>
      <c r="S9" s="790">
        <f t="shared" si="0"/>
        <v>0</v>
      </c>
      <c r="T9" s="790">
        <f t="shared" si="0"/>
        <v>0</v>
      </c>
      <c r="U9" s="790">
        <f t="shared" si="0"/>
        <v>0</v>
      </c>
      <c r="V9" s="790">
        <f t="shared" si="0"/>
        <v>0</v>
      </c>
      <c r="W9" s="790">
        <f t="shared" si="0"/>
        <v>0</v>
      </c>
      <c r="X9" s="790">
        <f t="shared" si="0"/>
        <v>0</v>
      </c>
      <c r="Y9" s="790">
        <f t="shared" si="0"/>
        <v>0</v>
      </c>
      <c r="Z9" s="790">
        <f t="shared" ref="Z9" si="1">Y9*((100 + Z11)/100)^(0.25)</f>
        <v>0</v>
      </c>
      <c r="AA9" s="790">
        <f t="shared" ref="AA9" si="2">Z9*((100 + AA11)/100)^(0.25)</f>
        <v>0</v>
      </c>
      <c r="AB9" s="790">
        <f t="shared" ref="AB9" si="3">AA9*((100 + AB11)/100)^(0.25)</f>
        <v>0</v>
      </c>
      <c r="AC9" s="905">
        <f t="shared" ref="AC9" si="4">AB9*((100 + AC11)/100)^(0.25)</f>
        <v>0</v>
      </c>
      <c r="AD9" s="115"/>
      <c r="AE9" s="115"/>
      <c r="AF9" s="115"/>
      <c r="AG9" s="115"/>
      <c r="AH9" s="115"/>
      <c r="AI9" s="115"/>
      <c r="AJ9" s="115"/>
      <c r="AK9" s="115"/>
      <c r="AL9" s="115"/>
      <c r="AM9" s="115"/>
      <c r="AN9" s="115"/>
      <c r="AO9" s="115"/>
      <c r="AP9" s="115"/>
      <c r="AQ9" s="115"/>
      <c r="AR9" s="115"/>
      <c r="AS9" s="115"/>
      <c r="AT9" s="115"/>
      <c r="AU9" s="115"/>
    </row>
    <row r="10" spans="2:47" ht="18" customHeight="1" x14ac:dyDescent="0.3">
      <c r="B10" s="71" t="s">
        <v>1017</v>
      </c>
      <c r="C10" s="59"/>
      <c r="D10" s="1242"/>
      <c r="E10" s="78"/>
      <c r="F10" s="78"/>
      <c r="G10" s="78"/>
      <c r="H10" s="78">
        <v>1447.9</v>
      </c>
      <c r="I10" s="78">
        <v>1452.6</v>
      </c>
      <c r="J10" s="78">
        <v>1504.8</v>
      </c>
      <c r="K10" s="78">
        <v>1487</v>
      </c>
      <c r="L10" s="78">
        <v>1493.4</v>
      </c>
      <c r="M10" s="78">
        <v>1557</v>
      </c>
      <c r="N10" s="78">
        <v>1546</v>
      </c>
      <c r="O10" s="1195">
        <v>1557</v>
      </c>
      <c r="P10" s="535">
        <v>1568.8</v>
      </c>
      <c r="Q10" s="535">
        <v>1580.8</v>
      </c>
      <c r="R10" s="535">
        <v>1582.8</v>
      </c>
      <c r="S10" s="535">
        <v>1582.1</v>
      </c>
      <c r="T10" s="535">
        <v>1582.3</v>
      </c>
      <c r="U10" s="350">
        <v>1586.5</v>
      </c>
      <c r="V10" s="350">
        <v>1592.4</v>
      </c>
      <c r="W10" s="350">
        <v>1600</v>
      </c>
      <c r="X10" s="350">
        <v>1608.9</v>
      </c>
      <c r="Y10" s="350">
        <v>1618</v>
      </c>
      <c r="Z10" s="350">
        <v>1627</v>
      </c>
      <c r="AA10" s="777">
        <v>1636</v>
      </c>
      <c r="AB10" s="777">
        <v>1645</v>
      </c>
      <c r="AC10" s="778">
        <v>1655</v>
      </c>
      <c r="AD10" s="115"/>
      <c r="AE10" s="115"/>
      <c r="AF10" s="115"/>
      <c r="AG10" s="115"/>
      <c r="AH10" s="115"/>
      <c r="AI10" s="115"/>
      <c r="AJ10" s="115"/>
      <c r="AK10" s="115"/>
      <c r="AL10" s="115"/>
      <c r="AM10" s="115"/>
      <c r="AN10" s="115"/>
      <c r="AO10" s="115"/>
      <c r="AP10" s="115"/>
      <c r="AQ10" s="115"/>
      <c r="AR10" s="115"/>
      <c r="AS10" s="115"/>
      <c r="AT10" s="115"/>
      <c r="AU10" s="115"/>
    </row>
    <row r="11" spans="2:47" ht="14.5" customHeight="1" x14ac:dyDescent="0.3">
      <c r="B11" s="71" t="s">
        <v>1018</v>
      </c>
      <c r="C11" s="746"/>
      <c r="D11" s="243"/>
      <c r="E11" s="473"/>
      <c r="F11" s="473"/>
      <c r="G11" s="473"/>
      <c r="H11" s="474">
        <v>5.3259999999999996</v>
      </c>
      <c r="I11" s="474">
        <v>1.278</v>
      </c>
      <c r="J11" s="474">
        <v>15.177</v>
      </c>
      <c r="K11" s="72">
        <v>-4.6340000000000003</v>
      </c>
      <c r="L11" s="72">
        <v>1.732</v>
      </c>
      <c r="M11" s="72">
        <v>18.143999999999998</v>
      </c>
      <c r="N11" s="72">
        <v>-2.7970000000000002</v>
      </c>
      <c r="O11" s="1196">
        <v>2.8889999999999998</v>
      </c>
      <c r="P11" s="523">
        <v>3.0630000000000002</v>
      </c>
      <c r="Q11" s="523">
        <v>3.0870000000000002</v>
      </c>
      <c r="R11" s="523">
        <v>0.499</v>
      </c>
      <c r="S11" s="523">
        <v>-0.16500000000000001</v>
      </c>
      <c r="T11" s="523">
        <v>4.2000000000000003E-2</v>
      </c>
      <c r="U11" s="351">
        <v>1.0740000000000001</v>
      </c>
      <c r="V11" s="351">
        <v>1.4990000000000001</v>
      </c>
      <c r="W11" s="351">
        <v>1.915</v>
      </c>
      <c r="X11" s="351">
        <v>2.2429999999999999</v>
      </c>
      <c r="Y11" s="351">
        <v>2.2000000000000002</v>
      </c>
      <c r="Z11" s="351">
        <v>2.2000000000000002</v>
      </c>
      <c r="AA11" s="777">
        <v>2.2999999999999998</v>
      </c>
      <c r="AB11" s="777">
        <v>2.2000000000000002</v>
      </c>
      <c r="AC11" s="778">
        <v>2.5</v>
      </c>
      <c r="AD11" s="286"/>
    </row>
    <row r="12" spans="2:47" s="286" customFormat="1" x14ac:dyDescent="0.3">
      <c r="B12" s="521" t="s">
        <v>722</v>
      </c>
      <c r="C12" s="520"/>
      <c r="D12" s="851"/>
      <c r="E12" s="37"/>
      <c r="F12" s="37"/>
      <c r="G12" s="37"/>
      <c r="H12" s="72"/>
      <c r="I12" s="72"/>
      <c r="J12" s="72"/>
      <c r="K12" s="72"/>
      <c r="L12" s="72"/>
      <c r="M12" s="72"/>
      <c r="N12" s="72"/>
      <c r="O12" s="1196"/>
      <c r="P12" s="523"/>
      <c r="Q12" s="523"/>
      <c r="R12" s="523"/>
      <c r="S12" s="523"/>
      <c r="T12" s="523"/>
      <c r="U12" s="523"/>
      <c r="V12" s="523"/>
      <c r="W12" s="523"/>
      <c r="X12" s="523"/>
      <c r="Y12" s="523"/>
      <c r="Z12" s="523"/>
      <c r="AA12" s="523"/>
      <c r="AB12" s="523"/>
      <c r="AC12" s="525"/>
      <c r="AD12" s="286" t="s">
        <v>988</v>
      </c>
    </row>
    <row r="13" spans="2:47" ht="29" x14ac:dyDescent="0.35">
      <c r="B13" s="54" t="s">
        <v>275</v>
      </c>
      <c r="C13" s="746"/>
      <c r="D13" s="243"/>
      <c r="E13" s="473"/>
      <c r="F13" s="473"/>
      <c r="G13" s="473"/>
      <c r="H13" s="78">
        <f t="shared" ref="H13:O13" si="5">H9</f>
        <v>1441.7</v>
      </c>
      <c r="I13" s="78">
        <f t="shared" si="5"/>
        <v>1454.7</v>
      </c>
      <c r="J13" s="78">
        <f t="shared" si="5"/>
        <v>1525</v>
      </c>
      <c r="K13" s="78">
        <f t="shared" si="5"/>
        <v>1515.1</v>
      </c>
      <c r="L13" s="78">
        <f t="shared" si="5"/>
        <v>1512.3</v>
      </c>
      <c r="M13" s="78">
        <f t="shared" si="5"/>
        <v>1568.6</v>
      </c>
      <c r="N13" s="78">
        <f t="shared" si="5"/>
        <v>1563.3</v>
      </c>
      <c r="O13" s="1195">
        <f t="shared" si="5"/>
        <v>0</v>
      </c>
      <c r="P13" s="533">
        <f t="shared" ref="P13:AC13" si="6">P9 +P12</f>
        <v>0</v>
      </c>
      <c r="Q13" s="533">
        <f t="shared" si="6"/>
        <v>0</v>
      </c>
      <c r="R13" s="533">
        <f t="shared" si="6"/>
        <v>0</v>
      </c>
      <c r="S13" s="533">
        <f t="shared" si="6"/>
        <v>0</v>
      </c>
      <c r="T13" s="533">
        <f t="shared" si="6"/>
        <v>0</v>
      </c>
      <c r="U13" s="533">
        <f t="shared" si="6"/>
        <v>0</v>
      </c>
      <c r="V13" s="533">
        <f t="shared" si="6"/>
        <v>0</v>
      </c>
      <c r="W13" s="533">
        <f t="shared" si="6"/>
        <v>0</v>
      </c>
      <c r="X13" s="533">
        <f t="shared" si="6"/>
        <v>0</v>
      </c>
      <c r="Y13" s="533">
        <f t="shared" si="6"/>
        <v>0</v>
      </c>
      <c r="Z13" s="533">
        <f t="shared" si="6"/>
        <v>0</v>
      </c>
      <c r="AA13" s="533">
        <f t="shared" si="6"/>
        <v>0</v>
      </c>
      <c r="AB13" s="533">
        <f t="shared" si="6"/>
        <v>0</v>
      </c>
      <c r="AC13" s="534">
        <f t="shared" si="6"/>
        <v>0</v>
      </c>
      <c r="AD13" s="36" t="s">
        <v>276</v>
      </c>
    </row>
    <row r="14" spans="2:47" x14ac:dyDescent="0.3">
      <c r="B14" s="100" t="s">
        <v>293</v>
      </c>
      <c r="C14" s="745"/>
      <c r="D14" s="792"/>
      <c r="E14" s="793"/>
      <c r="F14" s="793"/>
      <c r="G14" s="793"/>
      <c r="H14" s="636">
        <f t="shared" ref="H14:AC14" si="7">H13+H48</f>
        <v>1721.1880000000001</v>
      </c>
      <c r="I14" s="636">
        <f t="shared" si="7"/>
        <v>1739.9560000000001</v>
      </c>
      <c r="J14" s="636">
        <f t="shared" si="7"/>
        <v>1934.885</v>
      </c>
      <c r="K14" s="636">
        <f t="shared" si="7"/>
        <v>1895.6499999999999</v>
      </c>
      <c r="L14" s="636">
        <f t="shared" si="7"/>
        <v>1869.4580000000001</v>
      </c>
      <c r="M14" s="636">
        <f t="shared" si="7"/>
        <v>1953.7849999999999</v>
      </c>
      <c r="N14" s="636">
        <f t="shared" si="7"/>
        <v>1987.319</v>
      </c>
      <c r="O14" s="637">
        <f t="shared" si="7"/>
        <v>-34.256</v>
      </c>
      <c r="P14" s="348" t="e">
        <f t="shared" si="7"/>
        <v>#DIV/0!</v>
      </c>
      <c r="Q14" s="348" t="e">
        <f t="shared" si="7"/>
        <v>#DIV/0!</v>
      </c>
      <c r="R14" s="348" t="e">
        <f t="shared" si="7"/>
        <v>#DIV/0!</v>
      </c>
      <c r="S14" s="348" t="e">
        <f t="shared" si="7"/>
        <v>#DIV/0!</v>
      </c>
      <c r="T14" s="348">
        <f t="shared" si="7"/>
        <v>125.2844202054808</v>
      </c>
      <c r="U14" s="348">
        <f t="shared" si="7"/>
        <v>129.64835787084289</v>
      </c>
      <c r="V14" s="348">
        <f t="shared" si="7"/>
        <v>105.40009267481946</v>
      </c>
      <c r="W14" s="348">
        <f t="shared" si="7"/>
        <v>95.41006547895509</v>
      </c>
      <c r="X14" s="348">
        <f t="shared" si="7"/>
        <v>90.380152715256131</v>
      </c>
      <c r="Y14" s="348">
        <f t="shared" si="7"/>
        <v>60.08545432100928</v>
      </c>
      <c r="Z14" s="348">
        <f t="shared" si="7"/>
        <v>32.538647870992492</v>
      </c>
      <c r="AA14" s="348">
        <f t="shared" si="7"/>
        <v>27.002673282975053</v>
      </c>
      <c r="AB14" s="348">
        <f t="shared" si="7"/>
        <v>20.364625571436932</v>
      </c>
      <c r="AC14" s="349">
        <f t="shared" si="7"/>
        <v>5.379491723437269</v>
      </c>
      <c r="AD14" s="36" t="s">
        <v>564</v>
      </c>
    </row>
    <row r="17" spans="2:30" ht="21.5" customHeight="1" x14ac:dyDescent="0.3">
      <c r="B17" s="1333" t="s">
        <v>130</v>
      </c>
      <c r="C17" s="1333"/>
      <c r="D17" s="1333"/>
      <c r="E17" s="1333"/>
      <c r="F17" s="1333"/>
      <c r="G17" s="1333"/>
      <c r="H17" s="1333"/>
      <c r="I17" s="1333"/>
      <c r="J17" s="1333"/>
      <c r="K17" s="1333"/>
      <c r="L17" s="1333"/>
      <c r="M17" s="1333"/>
      <c r="N17" s="1333"/>
      <c r="O17" s="1333"/>
      <c r="P17" s="1333"/>
      <c r="Q17" s="1333"/>
      <c r="R17" s="1333"/>
      <c r="S17" s="1333"/>
      <c r="T17" s="1333"/>
      <c r="U17" s="1333"/>
      <c r="V17" s="1333"/>
      <c r="W17" s="1333"/>
      <c r="X17" s="1333"/>
      <c r="Y17" s="1333"/>
      <c r="Z17" s="1333"/>
      <c r="AA17" s="1333"/>
      <c r="AB17" s="1333"/>
      <c r="AC17" s="1333"/>
    </row>
    <row r="18" spans="2:30" ht="14" customHeight="1" x14ac:dyDescent="0.3">
      <c r="B18" s="1334" t="s">
        <v>403</v>
      </c>
      <c r="C18" s="1334"/>
      <c r="D18" s="1334"/>
      <c r="E18" s="1334"/>
      <c r="F18" s="1334"/>
      <c r="G18" s="1334"/>
      <c r="H18" s="1334"/>
      <c r="I18" s="1334"/>
      <c r="J18" s="1334"/>
      <c r="K18" s="1334"/>
      <c r="L18" s="1334"/>
      <c r="M18" s="1334"/>
      <c r="N18" s="1334"/>
      <c r="O18" s="1334"/>
      <c r="P18" s="1334"/>
      <c r="Q18" s="1334"/>
      <c r="R18" s="1334"/>
      <c r="S18" s="1334"/>
      <c r="T18" s="1334"/>
      <c r="U18" s="1334"/>
      <c r="V18" s="1334"/>
      <c r="W18" s="1334"/>
      <c r="X18" s="1334"/>
      <c r="Y18" s="1334"/>
      <c r="Z18" s="1334"/>
      <c r="AA18" s="1334"/>
      <c r="AB18" s="1334"/>
      <c r="AC18" s="1334"/>
    </row>
    <row r="19" spans="2:30" x14ac:dyDescent="0.3">
      <c r="B19" s="1334"/>
      <c r="C19" s="1334"/>
      <c r="D19" s="1334"/>
      <c r="E19" s="1334"/>
      <c r="F19" s="1334"/>
      <c r="G19" s="1334"/>
      <c r="H19" s="1334"/>
      <c r="I19" s="1334"/>
      <c r="J19" s="1334"/>
      <c r="K19" s="1334"/>
      <c r="L19" s="1334"/>
      <c r="M19" s="1334"/>
      <c r="N19" s="1334"/>
      <c r="O19" s="1334"/>
      <c r="P19" s="1334"/>
      <c r="Q19" s="1334"/>
      <c r="R19" s="1334"/>
      <c r="S19" s="1334"/>
      <c r="T19" s="1334"/>
      <c r="U19" s="1334"/>
      <c r="V19" s="1334"/>
      <c r="W19" s="1334"/>
      <c r="X19" s="1334"/>
      <c r="Y19" s="1334"/>
      <c r="Z19" s="1334"/>
      <c r="AA19" s="1334"/>
      <c r="AB19" s="1334"/>
      <c r="AC19" s="1334"/>
    </row>
    <row r="20" spans="2:30" x14ac:dyDescent="0.3">
      <c r="B20" s="1334"/>
      <c r="C20" s="1334"/>
      <c r="D20" s="1334"/>
      <c r="E20" s="1334"/>
      <c r="F20" s="1334"/>
      <c r="G20" s="1334"/>
      <c r="H20" s="1334"/>
      <c r="I20" s="1334"/>
      <c r="J20" s="1334"/>
      <c r="K20" s="1334"/>
      <c r="L20" s="1334"/>
      <c r="M20" s="1334"/>
      <c r="N20" s="1334"/>
      <c r="O20" s="1334"/>
      <c r="P20" s="1334"/>
      <c r="Q20" s="1334"/>
      <c r="R20" s="1334"/>
      <c r="S20" s="1334"/>
      <c r="T20" s="1334"/>
      <c r="U20" s="1334"/>
      <c r="V20" s="1334"/>
      <c r="W20" s="1334"/>
      <c r="X20" s="1334"/>
      <c r="Y20" s="1334"/>
      <c r="Z20" s="1334"/>
      <c r="AA20" s="1334"/>
      <c r="AB20" s="1334"/>
      <c r="AC20" s="1334"/>
    </row>
    <row r="22" spans="2:30" x14ac:dyDescent="0.3">
      <c r="B22" s="1338" t="s">
        <v>260</v>
      </c>
      <c r="C22" s="1339"/>
      <c r="D22" s="1346" t="s">
        <v>261</v>
      </c>
      <c r="E22" s="1347"/>
      <c r="F22" s="1347"/>
      <c r="G22" s="1347"/>
      <c r="H22" s="1347"/>
      <c r="I22" s="1347"/>
      <c r="J22" s="1347"/>
      <c r="K22" s="1347"/>
      <c r="L22" s="1347"/>
      <c r="M22" s="1347"/>
      <c r="N22" s="1347"/>
      <c r="O22" s="1348"/>
      <c r="P22" s="1378" t="s">
        <v>143</v>
      </c>
      <c r="Q22" s="1379"/>
      <c r="R22" s="1379"/>
      <c r="S22" s="1379"/>
      <c r="T22" s="1379"/>
      <c r="U22" s="1379"/>
      <c r="V22" s="1379"/>
      <c r="W22" s="1379"/>
      <c r="X22" s="1379"/>
      <c r="Y22" s="1379"/>
      <c r="Z22" s="1379"/>
      <c r="AA22" s="1379"/>
      <c r="AB22" s="1379"/>
      <c r="AC22" s="1380"/>
    </row>
    <row r="23" spans="2:30" x14ac:dyDescent="0.3">
      <c r="B23" s="1340"/>
      <c r="C23" s="1341"/>
      <c r="D23" s="1183">
        <v>2018</v>
      </c>
      <c r="E23" s="1335">
        <v>2019</v>
      </c>
      <c r="F23" s="1342"/>
      <c r="G23" s="1342"/>
      <c r="H23" s="1337"/>
      <c r="I23" s="1335">
        <v>2020</v>
      </c>
      <c r="J23" s="1342"/>
      <c r="K23" s="1342"/>
      <c r="L23" s="1337"/>
      <c r="M23" s="1335">
        <v>2021</v>
      </c>
      <c r="N23" s="1336"/>
      <c r="O23" s="1337"/>
      <c r="P23" s="803">
        <v>2021</v>
      </c>
      <c r="Q23" s="1343">
        <v>2022</v>
      </c>
      <c r="R23" s="1385"/>
      <c r="S23" s="1385"/>
      <c r="T23" s="1345"/>
      <c r="U23" s="1343">
        <v>2023</v>
      </c>
      <c r="V23" s="1385"/>
      <c r="W23" s="1385"/>
      <c r="X23" s="1344"/>
      <c r="Y23" s="1343">
        <v>2024</v>
      </c>
      <c r="Z23" s="1344"/>
      <c r="AA23" s="1344"/>
      <c r="AB23" s="1345"/>
      <c r="AC23" s="439">
        <v>2025</v>
      </c>
    </row>
    <row r="24" spans="2:30" x14ac:dyDescent="0.3">
      <c r="B24" s="1383"/>
      <c r="C24" s="1384"/>
      <c r="D24" s="211" t="s">
        <v>138</v>
      </c>
      <c r="E24" s="211" t="s">
        <v>135</v>
      </c>
      <c r="F24" s="189" t="s">
        <v>136</v>
      </c>
      <c r="G24" s="189" t="s">
        <v>137</v>
      </c>
      <c r="H24" s="1056" t="s">
        <v>138</v>
      </c>
      <c r="I24" s="190" t="s">
        <v>135</v>
      </c>
      <c r="J24" s="190" t="s">
        <v>136</v>
      </c>
      <c r="K24" s="190" t="s">
        <v>137</v>
      </c>
      <c r="L24" s="190" t="s">
        <v>138</v>
      </c>
      <c r="M24" s="205" t="s">
        <v>135</v>
      </c>
      <c r="N24" s="190" t="s">
        <v>136</v>
      </c>
      <c r="O24" s="1056" t="s">
        <v>137</v>
      </c>
      <c r="P24" s="1184" t="s">
        <v>138</v>
      </c>
      <c r="Q24" s="1173" t="s">
        <v>135</v>
      </c>
      <c r="R24" s="1174" t="s">
        <v>136</v>
      </c>
      <c r="S24" s="1174" t="s">
        <v>137</v>
      </c>
      <c r="T24" s="1174" t="s">
        <v>138</v>
      </c>
      <c r="U24" s="1173" t="s">
        <v>135</v>
      </c>
      <c r="V24" s="1174" t="s">
        <v>136</v>
      </c>
      <c r="W24" s="1174" t="s">
        <v>137</v>
      </c>
      <c r="X24" s="1174" t="s">
        <v>138</v>
      </c>
      <c r="Y24" s="1173" t="s">
        <v>135</v>
      </c>
      <c r="Z24" s="533" t="s">
        <v>136</v>
      </c>
      <c r="AA24" s="1174" t="s">
        <v>137</v>
      </c>
      <c r="AB24" s="1175" t="s">
        <v>138</v>
      </c>
      <c r="AC24" s="80" t="s">
        <v>135</v>
      </c>
    </row>
    <row r="25" spans="2:30" x14ac:dyDescent="0.3">
      <c r="B25" s="70" t="s">
        <v>273</v>
      </c>
      <c r="C25" s="791" t="s">
        <v>220</v>
      </c>
      <c r="D25" s="469"/>
      <c r="E25" s="1244"/>
      <c r="F25" s="1244"/>
      <c r="G25" s="1244"/>
      <c r="H25" s="1243">
        <f>'Haver Pivoted'!GS24</f>
        <v>2329.1999999999998</v>
      </c>
      <c r="I25" s="1243">
        <f>'Haver Pivoted'!GT24</f>
        <v>2376.9</v>
      </c>
      <c r="J25" s="1243">
        <f>'Haver Pivoted'!GU24</f>
        <v>2334.6</v>
      </c>
      <c r="K25" s="1243">
        <f>'Haver Pivoted'!GV24</f>
        <v>2346.5</v>
      </c>
      <c r="L25" s="1243">
        <f>'Haver Pivoted'!GW24</f>
        <v>2373</v>
      </c>
      <c r="M25" s="1243">
        <f>'Haver Pivoted'!GX24</f>
        <v>2408.6999999999998</v>
      </c>
      <c r="N25" s="1243">
        <f>'Haver Pivoted'!GY24</f>
        <v>2452.6</v>
      </c>
      <c r="O25" s="789">
        <f>'Haver Pivoted'!GZ24</f>
        <v>0</v>
      </c>
      <c r="P25" s="94"/>
      <c r="Q25" s="94"/>
      <c r="R25" s="94"/>
      <c r="S25" s="94"/>
      <c r="T25" s="94"/>
      <c r="U25" s="94"/>
      <c r="V25" s="94"/>
      <c r="W25" s="94"/>
      <c r="X25" s="94"/>
      <c r="Y25" s="94"/>
      <c r="Z25" s="94"/>
      <c r="AA25" s="94"/>
      <c r="AB25" s="94"/>
      <c r="AC25" s="97"/>
    </row>
    <row r="26" spans="2:30" ht="21" customHeight="1" x14ac:dyDescent="0.3">
      <c r="B26" s="71" t="s">
        <v>278</v>
      </c>
      <c r="C26" s="746"/>
      <c r="D26" s="243"/>
      <c r="E26" s="473"/>
      <c r="F26" s="473"/>
      <c r="G26" s="473"/>
      <c r="H26" s="474"/>
      <c r="I26" s="474"/>
      <c r="J26" s="474"/>
      <c r="K26" s="72"/>
      <c r="L26" s="72"/>
      <c r="M26" s="72">
        <v>9.5846503665249383</v>
      </c>
      <c r="N26" s="72">
        <v>9</v>
      </c>
      <c r="O26" s="1196">
        <v>10</v>
      </c>
      <c r="P26" s="523">
        <v>10</v>
      </c>
      <c r="Q26" s="523">
        <v>9</v>
      </c>
      <c r="R26" s="523">
        <v>8</v>
      </c>
      <c r="S26" s="523">
        <v>7</v>
      </c>
      <c r="T26" s="523">
        <v>5.5</v>
      </c>
      <c r="U26" s="523">
        <v>5</v>
      </c>
      <c r="V26" s="523">
        <v>5</v>
      </c>
      <c r="W26" s="523">
        <v>5</v>
      </c>
      <c r="X26" s="523">
        <v>5</v>
      </c>
      <c r="Y26" s="523">
        <v>5</v>
      </c>
      <c r="Z26" s="523"/>
      <c r="AA26" s="523"/>
      <c r="AB26" s="523"/>
      <c r="AC26" s="525"/>
      <c r="AD26" s="42" t="s">
        <v>298</v>
      </c>
    </row>
    <row r="27" spans="2:30" ht="17.5" customHeight="1" x14ac:dyDescent="0.3">
      <c r="B27" s="101" t="s">
        <v>297</v>
      </c>
      <c r="C27" s="746"/>
      <c r="D27" s="243"/>
      <c r="E27" s="473"/>
      <c r="F27" s="473"/>
      <c r="G27" s="473"/>
      <c r="H27" s="78">
        <f>H25</f>
        <v>2329.1999999999998</v>
      </c>
      <c r="I27" s="78">
        <f t="shared" ref="I27:O27" si="8">I25</f>
        <v>2376.9</v>
      </c>
      <c r="J27" s="78">
        <f t="shared" si="8"/>
        <v>2334.6</v>
      </c>
      <c r="K27" s="78">
        <f t="shared" si="8"/>
        <v>2346.5</v>
      </c>
      <c r="L27" s="78">
        <f t="shared" si="8"/>
        <v>2373</v>
      </c>
      <c r="M27" s="78">
        <f t="shared" si="8"/>
        <v>2408.6999999999998</v>
      </c>
      <c r="N27" s="78">
        <f t="shared" si="8"/>
        <v>2452.6</v>
      </c>
      <c r="O27" s="1195">
        <f t="shared" si="8"/>
        <v>0</v>
      </c>
      <c r="P27" s="533">
        <f t="shared" ref="P27:U27" si="9">O27*((100+P26)/100)^0.25</f>
        <v>0</v>
      </c>
      <c r="Q27" s="533">
        <f t="shared" si="9"/>
        <v>0</v>
      </c>
      <c r="R27" s="533">
        <f t="shared" si="9"/>
        <v>0</v>
      </c>
      <c r="S27" s="533">
        <f t="shared" si="9"/>
        <v>0</v>
      </c>
      <c r="T27" s="533">
        <f t="shared" si="9"/>
        <v>0</v>
      </c>
      <c r="U27" s="533">
        <f t="shared" si="9"/>
        <v>0</v>
      </c>
      <c r="V27" s="533">
        <f t="shared" ref="V27" si="10">U27*((100+V26)/100)^0.25</f>
        <v>0</v>
      </c>
      <c r="W27" s="533">
        <f t="shared" ref="W27" si="11">V27*((100+W26)/100)^0.25</f>
        <v>0</v>
      </c>
      <c r="X27" s="533">
        <f t="shared" ref="X27" si="12">W27*((100+X26)/100)^0.25</f>
        <v>0</v>
      </c>
      <c r="Y27" s="533">
        <f t="shared" ref="Y27" si="13">X27*((100+Y26)/100)^0.25</f>
        <v>0</v>
      </c>
      <c r="Z27" s="533">
        <f t="shared" ref="Z27" si="14">Y27*((100+Z26)/100)^0.25</f>
        <v>0</v>
      </c>
      <c r="AA27" s="533">
        <f t="shared" ref="AA27" si="15">Z27*((100+AA26)/100)^0.25</f>
        <v>0</v>
      </c>
      <c r="AB27" s="533">
        <f t="shared" ref="AB27" si="16">AA27*((100+AB26)/100)^0.25</f>
        <v>0</v>
      </c>
      <c r="AC27" s="534">
        <f t="shared" ref="AC27" si="17">AB27*((100+AC26)/100)^0.25</f>
        <v>0</v>
      </c>
    </row>
    <row r="28" spans="2:30" x14ac:dyDescent="0.3">
      <c r="B28" s="100" t="s">
        <v>299</v>
      </c>
      <c r="C28" s="745"/>
      <c r="D28" s="792"/>
      <c r="E28" s="793"/>
      <c r="F28" s="793"/>
      <c r="G28" s="793"/>
      <c r="H28" s="636">
        <f t="shared" ref="H28:O28" si="18">H25-H48</f>
        <v>2049.712</v>
      </c>
      <c r="I28" s="636">
        <f t="shared" si="18"/>
        <v>2091.6440000000002</v>
      </c>
      <c r="J28" s="636">
        <f t="shared" si="18"/>
        <v>1924.7149999999999</v>
      </c>
      <c r="K28" s="636">
        <f t="shared" si="18"/>
        <v>1965.95</v>
      </c>
      <c r="L28" s="636">
        <f t="shared" si="18"/>
        <v>2015.8420000000001</v>
      </c>
      <c r="M28" s="636">
        <f t="shared" si="18"/>
        <v>2023.5149999999999</v>
      </c>
      <c r="N28" s="636">
        <f t="shared" si="18"/>
        <v>2028.5809999999999</v>
      </c>
      <c r="O28" s="637">
        <f t="shared" si="18"/>
        <v>34.256</v>
      </c>
      <c r="P28" s="348" t="e">
        <f t="shared" ref="P28:AC28" si="19">P27-P48</f>
        <v>#DIV/0!</v>
      </c>
      <c r="Q28" s="348" t="e">
        <f t="shared" si="19"/>
        <v>#DIV/0!</v>
      </c>
      <c r="R28" s="348" t="e">
        <f t="shared" si="19"/>
        <v>#DIV/0!</v>
      </c>
      <c r="S28" s="348" t="e">
        <f t="shared" si="19"/>
        <v>#DIV/0!</v>
      </c>
      <c r="T28" s="348">
        <f t="shared" si="19"/>
        <v>-125.2844202054808</v>
      </c>
      <c r="U28" s="348">
        <f t="shared" si="19"/>
        <v>-129.64835787084289</v>
      </c>
      <c r="V28" s="348">
        <f t="shared" si="19"/>
        <v>-105.40009267481946</v>
      </c>
      <c r="W28" s="348">
        <f t="shared" si="19"/>
        <v>-95.41006547895509</v>
      </c>
      <c r="X28" s="348">
        <f t="shared" si="19"/>
        <v>-90.380152715256131</v>
      </c>
      <c r="Y28" s="348">
        <f t="shared" si="19"/>
        <v>-60.08545432100928</v>
      </c>
      <c r="Z28" s="348">
        <f t="shared" si="19"/>
        <v>-32.538647870992492</v>
      </c>
      <c r="AA28" s="348">
        <f t="shared" si="19"/>
        <v>-27.002673282975053</v>
      </c>
      <c r="AB28" s="348">
        <f t="shared" si="19"/>
        <v>-20.364625571436932</v>
      </c>
      <c r="AC28" s="349">
        <f t="shared" si="19"/>
        <v>-5.379491723437269</v>
      </c>
      <c r="AD28" s="286" t="s">
        <v>277</v>
      </c>
    </row>
    <row r="29" spans="2:30" s="286" customFormat="1" x14ac:dyDescent="0.3">
      <c r="B29" s="594"/>
      <c r="C29" s="594"/>
      <c r="D29" s="594"/>
      <c r="E29" s="594"/>
      <c r="F29" s="594"/>
      <c r="G29" s="594"/>
      <c r="H29" s="953" t="e">
        <f t="shared" ref="H29:L29" si="20">(H28/G28)^4-1</f>
        <v>#DIV/0!</v>
      </c>
      <c r="I29" s="953">
        <f t="shared" si="20"/>
        <v>8.4375512359762039E-2</v>
      </c>
      <c r="J29" s="953">
        <f t="shared" si="20"/>
        <v>-0.28300744302674896</v>
      </c>
      <c r="K29" s="953">
        <f t="shared" si="20"/>
        <v>8.848926220761677E-2</v>
      </c>
      <c r="L29" s="953">
        <f t="shared" si="20"/>
        <v>0.10544231537179294</v>
      </c>
      <c r="M29" s="953">
        <f>(M28/L28)^4-1</f>
        <v>1.5312550207230657E-2</v>
      </c>
      <c r="N29" s="953">
        <f>(N28/M28)^4-1</f>
        <v>1.0051927182471054E-2</v>
      </c>
      <c r="O29" s="953">
        <f>(O28/N28)^4-1</f>
        <v>-0.99999991868377935</v>
      </c>
      <c r="P29" s="953" t="e">
        <f t="shared" ref="P29:R29" si="21">(P28/O28)^4-1</f>
        <v>#DIV/0!</v>
      </c>
      <c r="Q29" s="953" t="e">
        <f t="shared" si="21"/>
        <v>#DIV/0!</v>
      </c>
      <c r="R29" s="953" t="e">
        <f t="shared" si="21"/>
        <v>#DIV/0!</v>
      </c>
      <c r="S29" s="953" t="e">
        <f t="shared" ref="S29" si="22">(S28/R28)^4-1</f>
        <v>#DIV/0!</v>
      </c>
      <c r="T29" s="953" t="e">
        <f t="shared" ref="T29" si="23">(T28/S28)^4-1</f>
        <v>#DIV/0!</v>
      </c>
      <c r="U29" s="953">
        <f t="shared" ref="U29" si="24">(U28/T28)^4-1</f>
        <v>0.14677921124421811</v>
      </c>
      <c r="V29" s="953">
        <f t="shared" ref="V29" si="25">(V28/U28)^4-1</f>
        <v>-0.56318666346919577</v>
      </c>
      <c r="W29" s="953">
        <f t="shared" ref="W29" si="26">(W28/V28)^4-1</f>
        <v>-0.32855135050504347</v>
      </c>
      <c r="X29" s="953">
        <f t="shared" ref="X29" si="27">(X28/W28)^4-1</f>
        <v>-0.19477823053135468</v>
      </c>
      <c r="Y29" s="953">
        <f t="shared" ref="Y29" si="28">(Y28/X28)^4-1</f>
        <v>-0.80466272989902232</v>
      </c>
      <c r="Z29" s="953">
        <f t="shared" ref="Z29" si="29">(Z28/Y28)^4-1</f>
        <v>-0.91399561177501465</v>
      </c>
    </row>
    <row r="30" spans="2:30" s="286" customFormat="1" x14ac:dyDescent="0.3">
      <c r="B30" s="594"/>
      <c r="C30" s="594"/>
      <c r="D30" s="594"/>
      <c r="E30" s="594"/>
      <c r="F30" s="594"/>
      <c r="G30" s="594"/>
      <c r="H30" s="61"/>
      <c r="I30" s="61"/>
      <c r="J30" s="61"/>
      <c r="K30" s="61"/>
      <c r="L30" s="61"/>
      <c r="M30" s="61"/>
      <c r="N30" s="78"/>
      <c r="O30" s="78"/>
      <c r="P30" s="78"/>
      <c r="Q30" s="78"/>
      <c r="R30" s="78"/>
      <c r="S30" s="78"/>
      <c r="T30" s="78"/>
      <c r="U30" s="78"/>
      <c r="V30" s="78"/>
      <c r="W30" s="78"/>
      <c r="X30" s="78"/>
      <c r="Y30" s="78"/>
      <c r="Z30" s="78"/>
    </row>
    <row r="31" spans="2:30" s="286" customFormat="1" ht="39" customHeight="1" x14ac:dyDescent="0.3">
      <c r="B31" s="694" t="s">
        <v>1014</v>
      </c>
      <c r="C31" s="797" t="s">
        <v>1012</v>
      </c>
      <c r="D31" s="1249">
        <v>44197</v>
      </c>
      <c r="E31" s="1250">
        <v>44228</v>
      </c>
      <c r="F31" s="1250">
        <v>44256</v>
      </c>
      <c r="G31" s="1250">
        <v>44287</v>
      </c>
      <c r="H31" s="1250">
        <v>44317</v>
      </c>
      <c r="I31" s="1250">
        <v>44348</v>
      </c>
      <c r="J31" s="1250">
        <v>44378</v>
      </c>
      <c r="K31" s="1250">
        <v>44409</v>
      </c>
      <c r="L31" s="1250">
        <v>44440</v>
      </c>
      <c r="M31" s="1250">
        <v>44470</v>
      </c>
      <c r="N31" s="1250">
        <v>44501</v>
      </c>
      <c r="O31" s="1251">
        <v>44531</v>
      </c>
      <c r="P31" s="78"/>
      <c r="Q31" s="78"/>
      <c r="R31" s="78"/>
      <c r="S31" s="78"/>
      <c r="T31" s="78"/>
      <c r="U31" s="78"/>
      <c r="V31" s="78"/>
      <c r="W31" s="78"/>
      <c r="X31" s="78"/>
      <c r="Y31" s="78"/>
      <c r="Z31" s="78"/>
    </row>
    <row r="32" spans="2:30" s="286" customFormat="1" ht="19.5" customHeight="1" x14ac:dyDescent="0.35">
      <c r="B32" s="337" t="s">
        <v>1015</v>
      </c>
      <c r="C32" s="180" t="s">
        <v>257</v>
      </c>
      <c r="D32" s="1252">
        <v>5008</v>
      </c>
      <c r="E32" s="1186">
        <v>4955</v>
      </c>
      <c r="F32" s="1186">
        <v>4967</v>
      </c>
      <c r="G32" s="1186">
        <v>4977</v>
      </c>
      <c r="H32" s="1186">
        <v>5018</v>
      </c>
      <c r="I32" s="306">
        <v>5074</v>
      </c>
      <c r="J32" s="1186">
        <v>5085</v>
      </c>
      <c r="K32" s="1186">
        <v>5060</v>
      </c>
      <c r="L32" s="1253"/>
      <c r="M32" s="1253"/>
      <c r="N32" s="1253"/>
      <c r="O32" s="1254"/>
      <c r="P32" s="695"/>
      <c r="Q32" s="695"/>
      <c r="R32" s="78"/>
      <c r="S32" s="78"/>
      <c r="T32" s="78"/>
      <c r="U32" s="78"/>
      <c r="V32" s="78"/>
      <c r="W32" s="78"/>
      <c r="X32" s="78"/>
      <c r="Y32" s="78"/>
      <c r="Z32" s="78"/>
    </row>
    <row r="33" spans="2:29" s="286" customFormat="1" ht="18" customHeight="1" x14ac:dyDescent="0.35">
      <c r="B33" s="593" t="s">
        <v>1016</v>
      </c>
      <c r="C33" s="520" t="s">
        <v>258</v>
      </c>
      <c r="D33" s="696">
        <v>13683</v>
      </c>
      <c r="E33" s="1181">
        <v>13644</v>
      </c>
      <c r="F33" s="1181">
        <v>13687</v>
      </c>
      <c r="G33" s="1181">
        <v>13717</v>
      </c>
      <c r="H33" s="1181">
        <v>13743</v>
      </c>
      <c r="I33" s="1181">
        <v>13848</v>
      </c>
      <c r="J33" s="1185">
        <v>14083</v>
      </c>
      <c r="K33" s="584">
        <v>14097</v>
      </c>
      <c r="L33" s="527"/>
      <c r="M33" s="527"/>
      <c r="N33" s="527"/>
      <c r="O33" s="1255"/>
      <c r="P33" s="518"/>
      <c r="Q33" s="518"/>
      <c r="R33" s="78"/>
      <c r="S33" s="78"/>
      <c r="T33" s="78"/>
      <c r="U33" s="78"/>
      <c r="V33" s="78"/>
      <c r="W33" s="78"/>
      <c r="X33" s="78"/>
      <c r="Y33" s="78"/>
      <c r="Z33" s="78"/>
    </row>
    <row r="34" spans="2:29" ht="19.5" customHeight="1" x14ac:dyDescent="0.35">
      <c r="B34" s="592" t="s">
        <v>1013</v>
      </c>
      <c r="C34" s="46" t="s">
        <v>259</v>
      </c>
      <c r="D34" s="697">
        <v>328517</v>
      </c>
      <c r="E34" s="373">
        <v>320118</v>
      </c>
      <c r="F34" s="373">
        <v>319991</v>
      </c>
      <c r="G34" s="373">
        <v>321220</v>
      </c>
      <c r="H34" s="373">
        <v>319056</v>
      </c>
      <c r="I34" s="352">
        <v>315198</v>
      </c>
      <c r="J34" s="1187">
        <v>317242</v>
      </c>
      <c r="K34" s="1135">
        <v>319870</v>
      </c>
      <c r="L34" s="1256"/>
      <c r="M34" s="1256"/>
      <c r="N34" s="1256"/>
      <c r="O34" s="1257"/>
      <c r="P34" s="518"/>
      <c r="Q34" s="518"/>
      <c r="R34" s="78"/>
      <c r="S34" s="78"/>
      <c r="T34" s="78"/>
      <c r="U34" s="78"/>
      <c r="V34" s="78"/>
      <c r="W34" s="78"/>
      <c r="X34" s="78"/>
      <c r="Y34" s="78"/>
      <c r="Z34" s="78"/>
    </row>
    <row r="35" spans="2:29" s="286" customFormat="1" ht="14.5" x14ac:dyDescent="0.35">
      <c r="B35" s="76"/>
      <c r="C35" s="594"/>
      <c r="D35" s="594"/>
      <c r="E35" s="594"/>
      <c r="F35" s="594"/>
      <c r="G35" s="594"/>
      <c r="H35" s="61"/>
      <c r="I35" s="61"/>
      <c r="J35" s="61"/>
      <c r="K35" s="518"/>
      <c r="L35" s="518"/>
      <c r="M35" s="518"/>
      <c r="N35" s="518"/>
      <c r="O35" s="518"/>
      <c r="P35" s="518"/>
      <c r="Q35" s="518"/>
      <c r="R35" s="78"/>
      <c r="S35" s="78"/>
      <c r="T35" s="78"/>
      <c r="U35" s="78"/>
      <c r="V35" s="78"/>
      <c r="W35" s="78"/>
      <c r="X35" s="78"/>
      <c r="Y35" s="78"/>
      <c r="Z35" s="78"/>
    </row>
    <row r="36" spans="2:29" ht="12.5" customHeight="1" x14ac:dyDescent="0.3">
      <c r="N36" s="37"/>
    </row>
    <row r="37" spans="2:29" x14ac:dyDescent="0.3">
      <c r="B37" s="1333" t="s">
        <v>283</v>
      </c>
      <c r="C37" s="1333"/>
      <c r="D37" s="1333"/>
      <c r="E37" s="1333"/>
      <c r="F37" s="1333"/>
      <c r="G37" s="1333"/>
      <c r="H37" s="1333"/>
      <c r="I37" s="1333"/>
      <c r="J37" s="1333"/>
      <c r="K37" s="1333"/>
      <c r="L37" s="1333"/>
      <c r="M37" s="1333"/>
      <c r="N37" s="1333"/>
      <c r="O37" s="1333"/>
      <c r="P37" s="1333"/>
      <c r="Q37" s="1333"/>
      <c r="R37" s="1333"/>
      <c r="S37" s="1333"/>
      <c r="T37" s="1333"/>
      <c r="U37" s="1333"/>
      <c r="V37" s="1333"/>
      <c r="W37" s="1333"/>
      <c r="X37" s="1333"/>
      <c r="Y37" s="1333"/>
      <c r="Z37" s="1333"/>
      <c r="AA37" s="1333"/>
      <c r="AB37" s="1333"/>
      <c r="AC37" s="1333"/>
    </row>
    <row r="38" spans="2:29" ht="9" customHeight="1" x14ac:dyDescent="0.3">
      <c r="B38" s="1333"/>
      <c r="C38" s="1333"/>
      <c r="D38" s="1333"/>
      <c r="E38" s="1333"/>
      <c r="F38" s="1333"/>
      <c r="G38" s="1333"/>
      <c r="H38" s="1333"/>
      <c r="I38" s="1333"/>
      <c r="J38" s="1333"/>
      <c r="K38" s="1333"/>
      <c r="L38" s="1333"/>
      <c r="M38" s="1333"/>
      <c r="N38" s="1333"/>
      <c r="O38" s="1333"/>
      <c r="P38" s="1333"/>
      <c r="Q38" s="1333"/>
      <c r="R38" s="1333"/>
      <c r="S38" s="1333"/>
      <c r="T38" s="1333"/>
      <c r="U38" s="1333"/>
      <c r="V38" s="1333"/>
      <c r="W38" s="1333"/>
      <c r="X38" s="1333"/>
      <c r="Y38" s="1333"/>
      <c r="Z38" s="1333"/>
      <c r="AA38" s="1333"/>
      <c r="AB38" s="1333"/>
      <c r="AC38" s="1333"/>
    </row>
    <row r="39" spans="2:29" ht="14" customHeight="1" x14ac:dyDescent="0.3">
      <c r="B39" s="1406" t="s">
        <v>284</v>
      </c>
      <c r="C39" s="1406"/>
      <c r="D39" s="1406"/>
      <c r="E39" s="1406"/>
      <c r="F39" s="1406"/>
      <c r="G39" s="1406"/>
      <c r="H39" s="1406"/>
      <c r="I39" s="1406"/>
      <c r="J39" s="1406"/>
      <c r="K39" s="1406"/>
      <c r="L39" s="1406"/>
      <c r="M39" s="1406"/>
      <c r="N39" s="1406"/>
      <c r="O39" s="1406"/>
      <c r="P39" s="1406"/>
      <c r="Q39" s="1406"/>
      <c r="R39" s="1406"/>
      <c r="S39" s="1406"/>
      <c r="T39" s="1406"/>
      <c r="U39" s="1406"/>
      <c r="V39" s="1406"/>
      <c r="W39" s="1406"/>
      <c r="X39" s="1406"/>
      <c r="Y39" s="1406"/>
      <c r="Z39" s="1406"/>
      <c r="AA39" s="1406"/>
      <c r="AB39" s="1406"/>
      <c r="AC39" s="1406"/>
    </row>
    <row r="40" spans="2:29" x14ac:dyDescent="0.3">
      <c r="B40" s="1406"/>
      <c r="C40" s="1406"/>
      <c r="D40" s="1406"/>
      <c r="E40" s="1406"/>
      <c r="F40" s="1406"/>
      <c r="G40" s="1406"/>
      <c r="H40" s="1406"/>
      <c r="I40" s="1406"/>
      <c r="J40" s="1406"/>
      <c r="K40" s="1406"/>
      <c r="L40" s="1406"/>
      <c r="M40" s="1406"/>
      <c r="N40" s="1406"/>
      <c r="O40" s="1406"/>
      <c r="P40" s="1406"/>
      <c r="Q40" s="1406"/>
      <c r="R40" s="1406"/>
      <c r="S40" s="1406"/>
      <c r="T40" s="1406"/>
      <c r="U40" s="1406"/>
      <c r="V40" s="1406"/>
      <c r="W40" s="1406"/>
      <c r="X40" s="1406"/>
      <c r="Y40" s="1406"/>
      <c r="Z40" s="1406"/>
      <c r="AA40" s="1406"/>
      <c r="AB40" s="1406"/>
      <c r="AC40" s="1406"/>
    </row>
    <row r="41" spans="2:29" ht="8.5" customHeight="1" x14ac:dyDescent="0.3">
      <c r="B41" s="1406"/>
      <c r="C41" s="1406"/>
      <c r="D41" s="1406"/>
      <c r="E41" s="1406"/>
      <c r="F41" s="1406"/>
      <c r="G41" s="1406"/>
      <c r="H41" s="1406"/>
      <c r="I41" s="1406"/>
      <c r="J41" s="1406"/>
      <c r="K41" s="1406"/>
      <c r="L41" s="1406"/>
      <c r="M41" s="1406"/>
      <c r="N41" s="1406"/>
      <c r="O41" s="1406"/>
      <c r="P41" s="1406"/>
      <c r="Q41" s="1406"/>
      <c r="R41" s="1406"/>
      <c r="S41" s="1406"/>
      <c r="T41" s="1406"/>
      <c r="U41" s="1406"/>
      <c r="V41" s="1406"/>
      <c r="W41" s="1406"/>
      <c r="X41" s="1406"/>
      <c r="Y41" s="1406"/>
      <c r="Z41" s="1406"/>
      <c r="AA41" s="1406"/>
      <c r="AB41" s="1406"/>
      <c r="AC41" s="1406"/>
    </row>
    <row r="42" spans="2:29" ht="12.5" customHeight="1" x14ac:dyDescent="0.3"/>
    <row r="43" spans="2:29" ht="30.5" customHeight="1" x14ac:dyDescent="0.3">
      <c r="B43" s="1338" t="s">
        <v>260</v>
      </c>
      <c r="C43" s="1407"/>
      <c r="D43" s="1346" t="s">
        <v>261</v>
      </c>
      <c r="E43" s="1347"/>
      <c r="F43" s="1347"/>
      <c r="G43" s="1347"/>
      <c r="H43" s="1347"/>
      <c r="I43" s="1347"/>
      <c r="J43" s="1347"/>
      <c r="K43" s="1347"/>
      <c r="L43" s="1347"/>
      <c r="M43" s="1347"/>
      <c r="N43" s="1347"/>
      <c r="O43" s="1348"/>
      <c r="P43" s="1378" t="s">
        <v>143</v>
      </c>
      <c r="Q43" s="1379"/>
      <c r="R43" s="1379"/>
      <c r="S43" s="1379"/>
      <c r="T43" s="1379"/>
      <c r="U43" s="1379"/>
      <c r="V43" s="1379"/>
      <c r="W43" s="1379"/>
      <c r="X43" s="1379"/>
      <c r="Y43" s="1379"/>
      <c r="Z43" s="1379"/>
      <c r="AA43" s="1379"/>
      <c r="AB43" s="1379"/>
      <c r="AC43" s="1380"/>
    </row>
    <row r="44" spans="2:29" x14ac:dyDescent="0.3">
      <c r="B44" s="1340"/>
      <c r="C44" s="1408"/>
      <c r="D44" s="1183">
        <v>2018</v>
      </c>
      <c r="E44" s="1335">
        <v>2019</v>
      </c>
      <c r="F44" s="1342"/>
      <c r="G44" s="1342"/>
      <c r="H44" s="1337"/>
      <c r="I44" s="1335">
        <v>2020</v>
      </c>
      <c r="J44" s="1342"/>
      <c r="K44" s="1342"/>
      <c r="L44" s="1337"/>
      <c r="M44" s="1335">
        <v>2021</v>
      </c>
      <c r="N44" s="1336"/>
      <c r="O44" s="1337"/>
      <c r="P44" s="803">
        <v>2021</v>
      </c>
      <c r="Q44" s="1343">
        <v>2022</v>
      </c>
      <c r="R44" s="1385"/>
      <c r="S44" s="1385"/>
      <c r="T44" s="1345"/>
      <c r="U44" s="1343">
        <v>2023</v>
      </c>
      <c r="V44" s="1385"/>
      <c r="W44" s="1385"/>
      <c r="X44" s="1344"/>
      <c r="Y44" s="1343">
        <v>2024</v>
      </c>
      <c r="Z44" s="1344"/>
      <c r="AA44" s="1344"/>
      <c r="AB44" s="1345"/>
      <c r="AC44" s="439">
        <v>2025</v>
      </c>
    </row>
    <row r="45" spans="2:29" x14ac:dyDescent="0.3">
      <c r="B45" s="1383"/>
      <c r="C45" s="1409"/>
      <c r="D45" s="211" t="s">
        <v>138</v>
      </c>
      <c r="E45" s="211" t="s">
        <v>135</v>
      </c>
      <c r="F45" s="189" t="s">
        <v>136</v>
      </c>
      <c r="G45" s="189" t="s">
        <v>137</v>
      </c>
      <c r="H45" s="1056" t="s">
        <v>138</v>
      </c>
      <c r="I45" s="190" t="s">
        <v>135</v>
      </c>
      <c r="J45" s="190" t="s">
        <v>136</v>
      </c>
      <c r="K45" s="190" t="s">
        <v>137</v>
      </c>
      <c r="L45" s="190" t="s">
        <v>138</v>
      </c>
      <c r="M45" s="205" t="s">
        <v>135</v>
      </c>
      <c r="N45" s="190" t="s">
        <v>136</v>
      </c>
      <c r="O45" s="1056" t="s">
        <v>137</v>
      </c>
      <c r="P45" s="1184" t="s">
        <v>138</v>
      </c>
      <c r="Q45" s="1173" t="s">
        <v>135</v>
      </c>
      <c r="R45" s="1174" t="s">
        <v>136</v>
      </c>
      <c r="S45" s="1174" t="s">
        <v>137</v>
      </c>
      <c r="T45" s="1174" t="s">
        <v>138</v>
      </c>
      <c r="U45" s="1173" t="s">
        <v>135</v>
      </c>
      <c r="V45" s="1174" t="s">
        <v>136</v>
      </c>
      <c r="W45" s="1174" t="s">
        <v>137</v>
      </c>
      <c r="X45" s="1174" t="s">
        <v>138</v>
      </c>
      <c r="Y45" s="1173" t="s">
        <v>135</v>
      </c>
      <c r="Z45" s="533" t="s">
        <v>136</v>
      </c>
      <c r="AA45" s="1174" t="s">
        <v>137</v>
      </c>
      <c r="AB45" s="1175" t="s">
        <v>138</v>
      </c>
      <c r="AC45" s="80" t="s">
        <v>135</v>
      </c>
    </row>
    <row r="46" spans="2:29" x14ac:dyDescent="0.3">
      <c r="B46" s="70" t="s">
        <v>6</v>
      </c>
      <c r="C46" s="791"/>
      <c r="D46" s="469"/>
      <c r="E46" s="1244"/>
      <c r="F46" s="1244"/>
      <c r="G46" s="1244"/>
      <c r="H46" s="1245">
        <f>Grants!H93</f>
        <v>70.894000000000005</v>
      </c>
      <c r="I46" s="1245">
        <f>Grants!I93</f>
        <v>72.774000000000001</v>
      </c>
      <c r="J46" s="1245">
        <f>Grants!J93</f>
        <v>75.275000000000006</v>
      </c>
      <c r="K46" s="1245">
        <f>Grants!K93</f>
        <v>78.766999999999996</v>
      </c>
      <c r="L46" s="1245">
        <f>Grants!L93</f>
        <v>76.995000000000005</v>
      </c>
      <c r="M46" s="1245">
        <f>Grants!M93</f>
        <v>75.03</v>
      </c>
      <c r="N46" s="1245">
        <f>Grants!N93</f>
        <v>77.703999999999994</v>
      </c>
      <c r="O46" s="1246">
        <f>Grants!O93</f>
        <v>0</v>
      </c>
      <c r="P46" s="94">
        <f>Grants!P93</f>
        <v>75.34842857142857</v>
      </c>
      <c r="Q46" s="94">
        <f>Grants!Q93</f>
        <v>75.34842857142857</v>
      </c>
      <c r="R46" s="94">
        <f>Grants!R93</f>
        <v>75.34842857142857</v>
      </c>
      <c r="S46" s="94">
        <f>Grants!S93</f>
        <v>75.34842857142857</v>
      </c>
      <c r="T46" s="94">
        <f>Grants!T93</f>
        <v>75.34842857142857</v>
      </c>
      <c r="U46" s="94">
        <f>Grants!U93</f>
        <v>75.34842857142857</v>
      </c>
      <c r="V46" s="94">
        <f>Grants!V93</f>
        <v>75.34842857142857</v>
      </c>
      <c r="W46" s="94">
        <f>Grants!W93</f>
        <v>75.34842857142857</v>
      </c>
      <c r="X46" s="94">
        <f>Grants!X93</f>
        <v>75.34842857142857</v>
      </c>
      <c r="Y46" s="94">
        <f>Grants!Y93</f>
        <v>75.34842857142857</v>
      </c>
      <c r="Z46" s="94">
        <f>Grants!Z93</f>
        <v>75.34842857142857</v>
      </c>
      <c r="AA46" s="94">
        <f>Grants!AA93</f>
        <v>75.34842857142857</v>
      </c>
      <c r="AB46" s="94">
        <f>Grants!AB93</f>
        <v>75.34842857142857</v>
      </c>
      <c r="AC46" s="97">
        <f>Grants!AC93</f>
        <v>75.34842857142857</v>
      </c>
    </row>
    <row r="47" spans="2:29" x14ac:dyDescent="0.3">
      <c r="B47" s="71" t="s">
        <v>0</v>
      </c>
      <c r="C47" s="59"/>
      <c r="D47" s="794"/>
      <c r="E47" s="795"/>
      <c r="F47" s="795"/>
      <c r="G47" s="795"/>
      <c r="H47" s="474">
        <f>Grants!H74</f>
        <v>208.59399999999999</v>
      </c>
      <c r="I47" s="474">
        <f>Grants!I74</f>
        <v>212.48200000000003</v>
      </c>
      <c r="J47" s="474">
        <f>Grants!J74</f>
        <v>334.61</v>
      </c>
      <c r="K47" s="474">
        <f>Grants!K74</f>
        <v>301.78300000000002</v>
      </c>
      <c r="L47" s="474">
        <f>Grants!L74</f>
        <v>280.16300000000001</v>
      </c>
      <c r="M47" s="474">
        <f>Grants!M74</f>
        <v>310.15499999999997</v>
      </c>
      <c r="N47" s="474">
        <f>Grants!N74</f>
        <v>346.31500000000005</v>
      </c>
      <c r="O47" s="1247">
        <f>Grants!O74</f>
        <v>-34.256</v>
      </c>
      <c r="P47" s="77" t="e">
        <f>Grants!P74</f>
        <v>#DIV/0!</v>
      </c>
      <c r="Q47" s="77" t="e">
        <f>Grants!Q74</f>
        <v>#DIV/0!</v>
      </c>
      <c r="R47" s="77" t="e">
        <f>Grants!R74</f>
        <v>#DIV/0!</v>
      </c>
      <c r="S47" s="77" t="e">
        <f>Grants!S74</f>
        <v>#DIV/0!</v>
      </c>
      <c r="T47" s="77">
        <f>Grants!T74</f>
        <v>49.935991634052229</v>
      </c>
      <c r="U47" s="77">
        <f>Grants!U74</f>
        <v>54.299929299414316</v>
      </c>
      <c r="V47" s="77">
        <f>Grants!V74</f>
        <v>30.051664103390891</v>
      </c>
      <c r="W47" s="77">
        <f>Grants!W74</f>
        <v>20.06163690752652</v>
      </c>
      <c r="X47" s="77">
        <f>Grants!X74</f>
        <v>15.03172414382756</v>
      </c>
      <c r="Y47" s="77">
        <f>Grants!Y74</f>
        <v>-15.26297425041929</v>
      </c>
      <c r="Z47" s="77">
        <f>Grants!Z74</f>
        <v>-42.809780700436079</v>
      </c>
      <c r="AA47" s="77">
        <f>Grants!AA74</f>
        <v>-48.345755288453518</v>
      </c>
      <c r="AB47" s="77">
        <f>Grants!AB74</f>
        <v>-54.983802999991639</v>
      </c>
      <c r="AC47" s="75">
        <f>Grants!AC74</f>
        <v>-69.968936847991301</v>
      </c>
    </row>
    <row r="48" spans="2:29" x14ac:dyDescent="0.3">
      <c r="B48" s="81" t="s">
        <v>171</v>
      </c>
      <c r="C48" s="745"/>
      <c r="D48" s="792"/>
      <c r="E48" s="793"/>
      <c r="F48" s="793"/>
      <c r="G48" s="793"/>
      <c r="H48" s="796">
        <f>H46+H47</f>
        <v>279.488</v>
      </c>
      <c r="I48" s="796">
        <f t="shared" ref="I48:AC48" si="30">I46+I47</f>
        <v>285.25600000000003</v>
      </c>
      <c r="J48" s="796">
        <f t="shared" si="30"/>
        <v>409.88499999999999</v>
      </c>
      <c r="K48" s="796">
        <f t="shared" si="30"/>
        <v>380.55</v>
      </c>
      <c r="L48" s="796">
        <f t="shared" si="30"/>
        <v>357.15800000000002</v>
      </c>
      <c r="M48" s="796">
        <f t="shared" si="30"/>
        <v>385.18499999999995</v>
      </c>
      <c r="N48" s="796">
        <f t="shared" si="30"/>
        <v>424.01900000000006</v>
      </c>
      <c r="O48" s="1248">
        <f t="shared" si="30"/>
        <v>-34.256</v>
      </c>
      <c r="P48" s="98" t="e">
        <f t="shared" si="30"/>
        <v>#DIV/0!</v>
      </c>
      <c r="Q48" s="98" t="e">
        <f t="shared" si="30"/>
        <v>#DIV/0!</v>
      </c>
      <c r="R48" s="98" t="e">
        <f t="shared" si="30"/>
        <v>#DIV/0!</v>
      </c>
      <c r="S48" s="98" t="e">
        <f t="shared" si="30"/>
        <v>#DIV/0!</v>
      </c>
      <c r="T48" s="98">
        <f t="shared" si="30"/>
        <v>125.2844202054808</v>
      </c>
      <c r="U48" s="98">
        <f t="shared" si="30"/>
        <v>129.64835787084289</v>
      </c>
      <c r="V48" s="98">
        <f t="shared" si="30"/>
        <v>105.40009267481946</v>
      </c>
      <c r="W48" s="98">
        <f t="shared" si="30"/>
        <v>95.41006547895509</v>
      </c>
      <c r="X48" s="98">
        <f t="shared" si="30"/>
        <v>90.380152715256131</v>
      </c>
      <c r="Y48" s="98">
        <f t="shared" si="30"/>
        <v>60.08545432100928</v>
      </c>
      <c r="Z48" s="98">
        <f t="shared" si="30"/>
        <v>32.538647870992492</v>
      </c>
      <c r="AA48" s="98">
        <f t="shared" si="30"/>
        <v>27.002673282975053</v>
      </c>
      <c r="AB48" s="98">
        <f t="shared" si="30"/>
        <v>20.364625571436932</v>
      </c>
      <c r="AC48" s="99">
        <f t="shared" si="30"/>
        <v>5.379491723437269</v>
      </c>
    </row>
    <row r="49" spans="22:58" x14ac:dyDescent="0.3">
      <c r="AM49" s="1412" t="s">
        <v>294</v>
      </c>
      <c r="AN49" s="1413"/>
      <c r="AO49" s="1400" t="s">
        <v>261</v>
      </c>
      <c r="AP49" s="1401"/>
      <c r="AQ49" s="1401"/>
      <c r="AR49" s="1401"/>
      <c r="AS49" s="1401"/>
      <c r="AT49" s="1402"/>
      <c r="AU49" s="1403" t="s">
        <v>143</v>
      </c>
      <c r="AV49" s="1403"/>
      <c r="AW49" s="1403"/>
      <c r="AX49" s="1403"/>
      <c r="AY49" s="1403"/>
      <c r="AZ49" s="1403"/>
      <c r="BA49" s="1403"/>
      <c r="BB49" s="1403"/>
    </row>
    <row r="50" spans="22:58" x14ac:dyDescent="0.3">
      <c r="AM50" s="1414"/>
      <c r="AN50" s="1415"/>
      <c r="AO50" s="38">
        <v>2019</v>
      </c>
      <c r="AP50" s="1335">
        <v>2020</v>
      </c>
      <c r="AQ50" s="1342"/>
      <c r="AR50" s="1342"/>
      <c r="AS50" s="1337"/>
      <c r="AT50" s="38">
        <v>2021</v>
      </c>
      <c r="AU50" s="1343">
        <v>2021</v>
      </c>
      <c r="AV50" s="1385"/>
      <c r="AW50" s="1345"/>
      <c r="AX50" s="1343">
        <v>2022</v>
      </c>
      <c r="AY50" s="1385"/>
      <c r="AZ50" s="1385"/>
      <c r="BA50" s="1345"/>
      <c r="BB50" s="62">
        <v>2023</v>
      </c>
    </row>
    <row r="51" spans="22:58" x14ac:dyDescent="0.3">
      <c r="AM51" s="1414"/>
      <c r="AN51" s="1415"/>
      <c r="AO51" s="213" t="s">
        <v>138</v>
      </c>
      <c r="AP51" s="205" t="s">
        <v>135</v>
      </c>
      <c r="AQ51" s="190" t="s">
        <v>136</v>
      </c>
      <c r="AR51" s="190" t="s">
        <v>137</v>
      </c>
      <c r="AS51" s="197" t="s">
        <v>138</v>
      </c>
      <c r="AT51" s="213" t="s">
        <v>135</v>
      </c>
      <c r="AU51" s="586" t="s">
        <v>136</v>
      </c>
      <c r="AV51" s="587" t="s">
        <v>137</v>
      </c>
      <c r="AW51" s="588" t="s">
        <v>138</v>
      </c>
      <c r="AX51" s="586" t="s">
        <v>135</v>
      </c>
      <c r="AY51" s="587" t="s">
        <v>136</v>
      </c>
      <c r="AZ51" s="587" t="s">
        <v>137</v>
      </c>
      <c r="BA51" s="588" t="s">
        <v>138</v>
      </c>
      <c r="BB51" s="80" t="s">
        <v>135</v>
      </c>
    </row>
    <row r="52" spans="22:58" ht="28" x14ac:dyDescent="0.3">
      <c r="AM52" s="679" t="s">
        <v>279</v>
      </c>
      <c r="AN52" s="693"/>
      <c r="AO52" s="79">
        <v>4.8</v>
      </c>
      <c r="AP52" s="630">
        <v>3.9</v>
      </c>
      <c r="AQ52" s="630">
        <v>3.2</v>
      </c>
      <c r="AR52" s="630">
        <v>3.8</v>
      </c>
      <c r="AS52" s="630">
        <v>3.7</v>
      </c>
      <c r="AT52" s="630">
        <v>3.7</v>
      </c>
      <c r="AU52" s="96">
        <v>3.7</v>
      </c>
      <c r="AV52" s="612">
        <v>3.7</v>
      </c>
      <c r="AW52" s="612">
        <v>3.8</v>
      </c>
      <c r="AX52" s="612">
        <v>3.8</v>
      </c>
      <c r="AY52" s="612">
        <v>3.9</v>
      </c>
      <c r="AZ52" s="612">
        <v>3.9</v>
      </c>
      <c r="BA52" s="612">
        <v>4</v>
      </c>
      <c r="BB52" s="97">
        <v>4</v>
      </c>
    </row>
    <row r="53" spans="22:58" ht="28" x14ac:dyDescent="0.3">
      <c r="AM53" s="104" t="s">
        <v>1020</v>
      </c>
      <c r="AN53" s="594"/>
      <c r="AO53" s="69">
        <v>3.3969999999999998</v>
      </c>
      <c r="AP53" s="67">
        <v>4.1660000000000004</v>
      </c>
      <c r="AQ53" s="67">
        <v>-7.6660000000000004</v>
      </c>
      <c r="AR53" s="524">
        <v>-0.84299999999999997</v>
      </c>
      <c r="AS53" s="524">
        <v>2.097</v>
      </c>
      <c r="AT53" s="524">
        <v>9.5879999999999992</v>
      </c>
      <c r="AU53" s="522">
        <v>14.488</v>
      </c>
      <c r="AV53" s="523">
        <v>9.7850000000000001</v>
      </c>
      <c r="AW53" s="523">
        <v>5.202</v>
      </c>
      <c r="AX53" s="523">
        <v>5.4939999999999998</v>
      </c>
      <c r="AY53" s="523">
        <v>5.7560000000000002</v>
      </c>
      <c r="AZ53" s="523">
        <v>4.133</v>
      </c>
      <c r="BA53" s="523">
        <v>3.5270000000000001</v>
      </c>
      <c r="BB53" s="525">
        <v>3.488</v>
      </c>
    </row>
    <row r="54" spans="22:58" s="286" customFormat="1" x14ac:dyDescent="0.3">
      <c r="AM54" s="286" t="s">
        <v>1155</v>
      </c>
      <c r="AO54" s="951">
        <f>AO53</f>
        <v>3.3969999999999998</v>
      </c>
      <c r="AP54" s="951">
        <f t="shared" ref="AP54:AT54" si="31">AP53</f>
        <v>4.1660000000000004</v>
      </c>
      <c r="AQ54" s="951">
        <f t="shared" si="31"/>
        <v>-7.6660000000000004</v>
      </c>
      <c r="AR54" s="951">
        <f t="shared" si="31"/>
        <v>-0.84299999999999997</v>
      </c>
      <c r="AS54" s="951">
        <f t="shared" si="31"/>
        <v>2.097</v>
      </c>
      <c r="AT54" s="951">
        <f t="shared" si="31"/>
        <v>9.5879999999999992</v>
      </c>
      <c r="AU54" s="952">
        <f>N26</f>
        <v>9</v>
      </c>
      <c r="AV54" s="952">
        <f t="shared" ref="AV54:BB54" si="32">O26</f>
        <v>10</v>
      </c>
      <c r="AW54" s="952">
        <f t="shared" si="32"/>
        <v>10</v>
      </c>
      <c r="AX54" s="952">
        <f t="shared" si="32"/>
        <v>9</v>
      </c>
      <c r="AY54" s="952">
        <f t="shared" si="32"/>
        <v>8</v>
      </c>
      <c r="AZ54" s="952">
        <f t="shared" si="32"/>
        <v>7</v>
      </c>
      <c r="BA54" s="952">
        <f t="shared" si="32"/>
        <v>5.5</v>
      </c>
      <c r="BB54" s="952">
        <f t="shared" si="32"/>
        <v>5</v>
      </c>
    </row>
    <row r="55" spans="22:58" x14ac:dyDescent="0.3">
      <c r="V55" s="36"/>
      <c r="W55" s="36"/>
      <c r="X55" s="36"/>
      <c r="Y55" s="36"/>
      <c r="AM55" s="1404" t="s">
        <v>280</v>
      </c>
      <c r="AN55" s="1405"/>
      <c r="AO55" s="69"/>
      <c r="AP55" s="67"/>
      <c r="AQ55" s="67"/>
      <c r="AR55" s="524"/>
      <c r="AS55" s="524"/>
      <c r="AT55" s="524"/>
      <c r="AU55" s="522"/>
      <c r="AV55" s="523"/>
      <c r="AW55" s="523"/>
      <c r="AX55" s="523"/>
      <c r="AY55" s="523"/>
      <c r="AZ55" s="523"/>
      <c r="BA55" s="523"/>
      <c r="BB55" s="525"/>
    </row>
    <row r="56" spans="22:58" ht="28" x14ac:dyDescent="0.3">
      <c r="V56" s="36"/>
      <c r="W56" s="36"/>
      <c r="X56" s="36"/>
      <c r="Y56" s="36"/>
      <c r="AM56" s="71" t="s">
        <v>296</v>
      </c>
      <c r="AN56" s="82"/>
      <c r="AO56" s="377">
        <v>2368</v>
      </c>
      <c r="AP56" s="378">
        <v>2391</v>
      </c>
      <c r="AQ56" s="378">
        <v>2410</v>
      </c>
      <c r="AR56" s="378">
        <v>2432</v>
      </c>
      <c r="AS56" s="378">
        <v>2455</v>
      </c>
      <c r="AT56" s="378">
        <v>2477</v>
      </c>
      <c r="AU56" s="532">
        <v>2500</v>
      </c>
      <c r="AV56" s="533">
        <v>2523</v>
      </c>
      <c r="AW56" s="533">
        <v>2546</v>
      </c>
      <c r="AX56" s="533">
        <v>2571</v>
      </c>
      <c r="AY56" s="533">
        <v>2595</v>
      </c>
      <c r="AZ56" s="533">
        <v>2621</v>
      </c>
      <c r="BA56" s="533">
        <v>2646</v>
      </c>
      <c r="BB56" s="534">
        <v>2672</v>
      </c>
    </row>
    <row r="57" spans="22:58" ht="28" x14ac:dyDescent="0.3">
      <c r="V57" s="36"/>
      <c r="W57" s="36"/>
      <c r="X57" s="36"/>
      <c r="Y57" s="36"/>
      <c r="AM57" s="71" t="s">
        <v>295</v>
      </c>
      <c r="AN57" s="82"/>
      <c r="AO57" s="187">
        <v>2357</v>
      </c>
      <c r="AP57" s="47">
        <v>2382</v>
      </c>
      <c r="AQ57" s="47">
        <v>2335</v>
      </c>
      <c r="AR57" s="47">
        <v>2330</v>
      </c>
      <c r="AS57" s="47">
        <v>2318</v>
      </c>
      <c r="AT57" s="47">
        <v>2339</v>
      </c>
      <c r="AU57" s="586">
        <v>2361</v>
      </c>
      <c r="AV57" s="587">
        <v>2379</v>
      </c>
      <c r="AW57" s="587">
        <v>2397</v>
      </c>
      <c r="AX57" s="587">
        <v>2417</v>
      </c>
      <c r="AY57" s="587">
        <v>2439</v>
      </c>
      <c r="AZ57" s="587">
        <v>2462</v>
      </c>
      <c r="BA57" s="587">
        <v>2486</v>
      </c>
      <c r="BB57" s="588">
        <v>2513</v>
      </c>
    </row>
    <row r="58" spans="22:58" s="286" customFormat="1" ht="28" x14ac:dyDescent="0.3">
      <c r="AM58" s="71" t="s">
        <v>1019</v>
      </c>
      <c r="AN58" s="82"/>
      <c r="AO58" s="698">
        <v>2357.4</v>
      </c>
      <c r="AP58" s="397">
        <v>2381.6</v>
      </c>
      <c r="AQ58" s="397">
        <v>2334.5</v>
      </c>
      <c r="AR58" s="397">
        <v>2329.6</v>
      </c>
      <c r="AS58" s="397">
        <v>2341.6999999999998</v>
      </c>
      <c r="AT58" s="397">
        <v>2395.9</v>
      </c>
      <c r="AU58" s="466">
        <v>2478.4</v>
      </c>
      <c r="AV58" s="467">
        <v>2536.9</v>
      </c>
      <c r="AW58" s="467">
        <v>2569.3000000000002</v>
      </c>
      <c r="AX58" s="467">
        <v>2603.9</v>
      </c>
      <c r="AY58" s="467">
        <v>2640.6</v>
      </c>
      <c r="AZ58" s="467">
        <v>2667.4</v>
      </c>
      <c r="BA58" s="467">
        <v>2690.6</v>
      </c>
      <c r="BB58" s="468">
        <v>2713.8</v>
      </c>
      <c r="BC58" s="699"/>
      <c r="BD58" s="699"/>
      <c r="BE58" s="699"/>
      <c r="BF58" s="699"/>
    </row>
    <row r="59" spans="22:58" x14ac:dyDescent="0.3">
      <c r="V59" s="36"/>
      <c r="W59" s="36"/>
      <c r="X59" s="36"/>
      <c r="Y59" s="36"/>
      <c r="AM59" s="1410" t="s">
        <v>281</v>
      </c>
      <c r="AN59" s="1411"/>
      <c r="AO59" s="187"/>
      <c r="AP59" s="47"/>
      <c r="AQ59" s="47"/>
      <c r="AR59" s="47"/>
      <c r="AS59" s="47"/>
      <c r="AT59" s="47"/>
      <c r="AU59" s="586"/>
      <c r="AV59" s="587"/>
      <c r="AW59" s="587"/>
      <c r="AX59" s="587"/>
      <c r="AY59" s="587"/>
      <c r="AZ59" s="587"/>
      <c r="BA59" s="587"/>
      <c r="BB59" s="588"/>
    </row>
    <row r="60" spans="22:58" ht="28" x14ac:dyDescent="0.3">
      <c r="V60" s="36"/>
      <c r="W60" s="36"/>
      <c r="X60" s="36"/>
      <c r="Y60" s="36"/>
      <c r="AM60" s="71" t="s">
        <v>296</v>
      </c>
      <c r="AN60" s="82"/>
      <c r="AO60" s="377">
        <f t="shared" ref="AO60:BB60" si="33">AO56-H48</f>
        <v>2088.5120000000002</v>
      </c>
      <c r="AP60" s="378">
        <f t="shared" si="33"/>
        <v>2105.7440000000001</v>
      </c>
      <c r="AQ60" s="378">
        <f t="shared" si="33"/>
        <v>2000.115</v>
      </c>
      <c r="AR60" s="378">
        <f t="shared" si="33"/>
        <v>2051.4499999999998</v>
      </c>
      <c r="AS60" s="378">
        <f t="shared" si="33"/>
        <v>2097.8420000000001</v>
      </c>
      <c r="AT60" s="378">
        <f t="shared" si="33"/>
        <v>2091.8150000000001</v>
      </c>
      <c r="AU60" s="532">
        <f t="shared" si="33"/>
        <v>2075.9809999999998</v>
      </c>
      <c r="AV60" s="533">
        <f t="shared" si="33"/>
        <v>2557.2559999999999</v>
      </c>
      <c r="AW60" s="533" t="e">
        <f t="shared" si="33"/>
        <v>#DIV/0!</v>
      </c>
      <c r="AX60" s="533" t="e">
        <f t="shared" si="33"/>
        <v>#DIV/0!</v>
      </c>
      <c r="AY60" s="533" t="e">
        <f t="shared" si="33"/>
        <v>#DIV/0!</v>
      </c>
      <c r="AZ60" s="533" t="e">
        <f t="shared" si="33"/>
        <v>#DIV/0!</v>
      </c>
      <c r="BA60" s="533">
        <f t="shared" si="33"/>
        <v>2520.7155797945193</v>
      </c>
      <c r="BB60" s="534">
        <f t="shared" si="33"/>
        <v>2542.351642129157</v>
      </c>
    </row>
    <row r="61" spans="22:58" ht="28" x14ac:dyDescent="0.3">
      <c r="V61" s="36"/>
      <c r="W61" s="36"/>
      <c r="X61" s="36"/>
      <c r="Y61" s="36"/>
      <c r="AM61" s="71" t="s">
        <v>295</v>
      </c>
      <c r="AN61" s="82"/>
      <c r="AO61" s="377">
        <f t="shared" ref="AO61:BB61" si="34">AO57-H48</f>
        <v>2077.5120000000002</v>
      </c>
      <c r="AP61" s="378">
        <f t="shared" si="34"/>
        <v>2096.7440000000001</v>
      </c>
      <c r="AQ61" s="378">
        <f t="shared" si="34"/>
        <v>1925.115</v>
      </c>
      <c r="AR61" s="378">
        <f t="shared" si="34"/>
        <v>1949.45</v>
      </c>
      <c r="AS61" s="378">
        <f t="shared" si="34"/>
        <v>1960.8420000000001</v>
      </c>
      <c r="AT61" s="378">
        <f t="shared" si="34"/>
        <v>1953.8150000000001</v>
      </c>
      <c r="AU61" s="532">
        <f t="shared" si="34"/>
        <v>1936.981</v>
      </c>
      <c r="AV61" s="533">
        <f t="shared" si="34"/>
        <v>2413.2559999999999</v>
      </c>
      <c r="AW61" s="533" t="e">
        <f t="shared" si="34"/>
        <v>#DIV/0!</v>
      </c>
      <c r="AX61" s="533" t="e">
        <f t="shared" si="34"/>
        <v>#DIV/0!</v>
      </c>
      <c r="AY61" s="533" t="e">
        <f t="shared" si="34"/>
        <v>#DIV/0!</v>
      </c>
      <c r="AZ61" s="533" t="e">
        <f t="shared" si="34"/>
        <v>#DIV/0!</v>
      </c>
      <c r="BA61" s="533">
        <f t="shared" si="34"/>
        <v>2360.7155797945193</v>
      </c>
      <c r="BB61" s="534">
        <f t="shared" si="34"/>
        <v>2383.351642129157</v>
      </c>
    </row>
    <row r="62" spans="22:58" ht="28" x14ac:dyDescent="0.3">
      <c r="AM62" s="192" t="s">
        <v>1019</v>
      </c>
      <c r="AN62" s="700"/>
      <c r="AO62" s="631">
        <f t="shared" ref="AO62:AU62" si="35">AO58-H48</f>
        <v>2077.9120000000003</v>
      </c>
      <c r="AP62" s="632">
        <f t="shared" si="35"/>
        <v>2096.3440000000001</v>
      </c>
      <c r="AQ62" s="632">
        <f t="shared" si="35"/>
        <v>1924.615</v>
      </c>
      <c r="AR62" s="632">
        <f t="shared" si="35"/>
        <v>1949.05</v>
      </c>
      <c r="AS62" s="632">
        <f t="shared" si="35"/>
        <v>1984.5419999999999</v>
      </c>
      <c r="AT62" s="632">
        <f t="shared" si="35"/>
        <v>2010.7150000000001</v>
      </c>
      <c r="AU62" s="633">
        <f t="shared" si="35"/>
        <v>2054.3809999999999</v>
      </c>
      <c r="AV62" s="634">
        <f t="shared" ref="AV62" si="36">AV58-O48</f>
        <v>2571.1559999999999</v>
      </c>
      <c r="AW62" s="634" t="e">
        <f t="shared" ref="AW62" si="37">AW58-P48</f>
        <v>#DIV/0!</v>
      </c>
      <c r="AX62" s="634" t="e">
        <f t="shared" ref="AX62" si="38">AX58-Q48</f>
        <v>#DIV/0!</v>
      </c>
      <c r="AY62" s="634" t="e">
        <f t="shared" ref="AY62" si="39">AY58-R48</f>
        <v>#DIV/0!</v>
      </c>
      <c r="AZ62" s="634" t="e">
        <f>AZ58-S48</f>
        <v>#DIV/0!</v>
      </c>
      <c r="BA62" s="634">
        <f>BA58-T48</f>
        <v>2565.3155797945192</v>
      </c>
      <c r="BB62" s="635">
        <f t="shared" ref="BB62" si="40">BB58-U48</f>
        <v>2584.1516421291572</v>
      </c>
    </row>
  </sheetData>
  <mergeCells count="41">
    <mergeCell ref="AM59:AN59"/>
    <mergeCell ref="AM49:AN51"/>
    <mergeCell ref="Q23:T23"/>
    <mergeCell ref="I23:L23"/>
    <mergeCell ref="AP50:AS50"/>
    <mergeCell ref="AU50:AW50"/>
    <mergeCell ref="AX50:BA50"/>
    <mergeCell ref="AM55:AN55"/>
    <mergeCell ref="U23:X23"/>
    <mergeCell ref="U44:X44"/>
    <mergeCell ref="Y23:AB23"/>
    <mergeCell ref="Y44:AB44"/>
    <mergeCell ref="B39:AC41"/>
    <mergeCell ref="B37:AC38"/>
    <mergeCell ref="B43:C45"/>
    <mergeCell ref="I44:L44"/>
    <mergeCell ref="Q44:T44"/>
    <mergeCell ref="E23:H23"/>
    <mergeCell ref="E44:H44"/>
    <mergeCell ref="B22:C24"/>
    <mergeCell ref="Q7:T7"/>
    <mergeCell ref="U7:X7"/>
    <mergeCell ref="Y7:AB7"/>
    <mergeCell ref="B17:AC17"/>
    <mergeCell ref="B18:AC20"/>
    <mergeCell ref="D22:O22"/>
    <mergeCell ref="P22:AC22"/>
    <mergeCell ref="M23:O23"/>
    <mergeCell ref="AO49:AT49"/>
    <mergeCell ref="AU49:BB49"/>
    <mergeCell ref="D43:O43"/>
    <mergeCell ref="P43:AC43"/>
    <mergeCell ref="M44:O44"/>
    <mergeCell ref="B2:AC4"/>
    <mergeCell ref="B1:AC1"/>
    <mergeCell ref="B6:C8"/>
    <mergeCell ref="D6:O6"/>
    <mergeCell ref="P6:AC6"/>
    <mergeCell ref="E7:H7"/>
    <mergeCell ref="I7:L7"/>
    <mergeCell ref="M7:O7"/>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D8" sqref="D8:AC10"/>
    </sheetView>
  </sheetViews>
  <sheetFormatPr defaultColWidth="10.81640625" defaultRowHeight="14.5" x14ac:dyDescent="0.35"/>
  <cols>
    <col min="1" max="1" width="10.81640625" style="362"/>
    <col min="2" max="2" width="49.453125" style="102" customWidth="1"/>
    <col min="3" max="3" width="10.81640625" style="102"/>
    <col min="4" max="5" width="10.81640625" style="518"/>
    <col min="6" max="25" width="6.6328125" style="102" customWidth="1"/>
    <col min="26" max="26" width="10.81640625" style="191"/>
    <col min="27" max="27" width="10.1796875" style="191" customWidth="1"/>
    <col min="28" max="78" width="10.81640625" style="191"/>
    <col min="79" max="16384" width="10.81640625" style="102"/>
  </cols>
  <sheetData>
    <row r="1" spans="1:78" s="224" customFormat="1" x14ac:dyDescent="0.35">
      <c r="A1" s="362"/>
      <c r="B1" s="1333" t="s">
        <v>132</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c r="AD1" s="191"/>
      <c r="AE1" s="191"/>
      <c r="AF1" s="191"/>
      <c r="AG1" s="191"/>
      <c r="AH1" s="191"/>
      <c r="AI1" s="191"/>
      <c r="AJ1" s="191"/>
      <c r="AK1" s="191"/>
      <c r="AL1" s="191"/>
      <c r="AM1" s="191"/>
      <c r="AN1" s="191"/>
      <c r="AO1" s="191"/>
      <c r="AP1" s="191"/>
      <c r="AQ1" s="191"/>
      <c r="AR1" s="191"/>
      <c r="AS1" s="191"/>
      <c r="AT1" s="191"/>
      <c r="AU1" s="191"/>
      <c r="AV1" s="191"/>
      <c r="AW1" s="191"/>
      <c r="AX1" s="191"/>
      <c r="AY1" s="191"/>
      <c r="AZ1" s="191"/>
      <c r="BA1" s="191"/>
      <c r="BB1" s="191"/>
      <c r="BC1" s="191"/>
      <c r="BD1" s="191"/>
      <c r="BE1" s="191"/>
      <c r="BF1" s="191"/>
      <c r="BG1" s="191"/>
      <c r="BH1" s="191"/>
      <c r="BI1" s="191"/>
      <c r="BJ1" s="191"/>
      <c r="BK1" s="191"/>
      <c r="BL1" s="191"/>
      <c r="BM1" s="191"/>
      <c r="BN1" s="191"/>
      <c r="BO1" s="191"/>
      <c r="BP1" s="191"/>
      <c r="BQ1" s="191"/>
      <c r="BR1" s="191"/>
      <c r="BS1" s="191"/>
      <c r="BT1" s="191"/>
      <c r="BU1" s="191"/>
      <c r="BV1" s="191"/>
      <c r="BW1" s="191"/>
      <c r="BX1" s="191"/>
      <c r="BY1" s="191"/>
      <c r="BZ1" s="191"/>
    </row>
    <row r="2" spans="1:78" s="198" customFormat="1" ht="14.5" customHeight="1" x14ac:dyDescent="0.35">
      <c r="B2" s="1334" t="s">
        <v>632</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row>
    <row r="3" spans="1:78" s="198" customFormat="1" ht="14.5" customHeight="1"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row>
    <row r="4" spans="1:78" s="198" customFormat="1" ht="14.5" customHeight="1"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c r="AD4" s="165"/>
      <c r="AE4" s="165"/>
      <c r="AF4" s="165"/>
      <c r="AG4" s="165"/>
      <c r="AH4" s="165"/>
      <c r="AI4" s="165"/>
      <c r="AJ4" s="165"/>
      <c r="AK4" s="165"/>
      <c r="AL4" s="165"/>
      <c r="AM4" s="165"/>
      <c r="AN4" s="165"/>
      <c r="AO4" s="165"/>
      <c r="AP4" s="165"/>
      <c r="AQ4" s="165"/>
      <c r="AR4" s="165"/>
      <c r="AS4" s="165"/>
      <c r="AT4" s="165"/>
      <c r="AU4" s="165"/>
      <c r="AV4" s="165"/>
      <c r="AW4" s="165"/>
      <c r="AX4" s="165"/>
      <c r="AY4" s="165"/>
      <c r="AZ4" s="165"/>
      <c r="BA4" s="165"/>
      <c r="BB4" s="165"/>
      <c r="BC4" s="165"/>
      <c r="BD4" s="165"/>
      <c r="BE4" s="165"/>
      <c r="BF4" s="165"/>
      <c r="BG4" s="165"/>
      <c r="BH4" s="165"/>
      <c r="BI4" s="165"/>
      <c r="BJ4" s="165"/>
      <c r="BK4" s="165"/>
      <c r="BL4" s="165"/>
      <c r="BM4" s="165"/>
      <c r="BN4" s="165"/>
      <c r="BO4" s="165"/>
      <c r="BP4" s="165"/>
      <c r="BQ4" s="165"/>
      <c r="BR4" s="165"/>
      <c r="BS4" s="165"/>
      <c r="BT4" s="165"/>
      <c r="BU4" s="165"/>
      <c r="BV4" s="165"/>
      <c r="BW4" s="165"/>
      <c r="BX4" s="165"/>
      <c r="BY4" s="165"/>
      <c r="BZ4" s="165"/>
    </row>
    <row r="5" spans="1:78" s="198" customFormat="1" ht="14.5" customHeight="1" x14ac:dyDescent="0.35">
      <c r="B5" s="1334"/>
      <c r="C5" s="1334"/>
      <c r="D5" s="1334"/>
      <c r="E5" s="1334"/>
      <c r="F5" s="1334"/>
      <c r="G5" s="1334"/>
      <c r="H5" s="1334"/>
      <c r="I5" s="1334"/>
      <c r="J5" s="1334"/>
      <c r="K5" s="1334"/>
      <c r="L5" s="1334"/>
      <c r="M5" s="1334"/>
      <c r="N5" s="1334"/>
      <c r="O5" s="1334"/>
      <c r="P5" s="1334"/>
      <c r="Q5" s="1334"/>
      <c r="R5" s="1334"/>
      <c r="S5" s="1334"/>
      <c r="T5" s="1334"/>
      <c r="U5" s="1334"/>
      <c r="V5" s="1334"/>
      <c r="W5" s="1334"/>
      <c r="X5" s="1334"/>
      <c r="Y5" s="1334"/>
      <c r="Z5" s="1334"/>
      <c r="AA5" s="1334"/>
      <c r="AB5" s="1334"/>
      <c r="AC5" s="1334"/>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65"/>
      <c r="BN5" s="165"/>
      <c r="BO5" s="165"/>
      <c r="BP5" s="165"/>
      <c r="BQ5" s="165"/>
      <c r="BR5" s="165"/>
      <c r="BS5" s="165"/>
      <c r="BT5" s="165"/>
      <c r="BU5" s="165"/>
      <c r="BV5" s="165"/>
      <c r="BW5" s="165"/>
      <c r="BX5" s="165"/>
      <c r="BY5" s="165"/>
      <c r="BZ5" s="165"/>
    </row>
    <row r="6" spans="1:78" s="198" customFormat="1" ht="14.5" customHeight="1" x14ac:dyDescent="0.35">
      <c r="B6" s="1334"/>
      <c r="C6" s="1334"/>
      <c r="D6" s="1334"/>
      <c r="E6" s="1334"/>
      <c r="F6" s="1334"/>
      <c r="G6" s="1334"/>
      <c r="H6" s="1334"/>
      <c r="I6" s="1334"/>
      <c r="J6" s="1334"/>
      <c r="K6" s="1334"/>
      <c r="L6" s="1334"/>
      <c r="M6" s="1334"/>
      <c r="N6" s="1334"/>
      <c r="O6" s="1334"/>
      <c r="P6" s="1334"/>
      <c r="Q6" s="1334"/>
      <c r="R6" s="1334"/>
      <c r="S6" s="1334"/>
      <c r="T6" s="1334"/>
      <c r="U6" s="1334"/>
      <c r="V6" s="1334"/>
      <c r="W6" s="1334"/>
      <c r="X6" s="1334"/>
      <c r="Y6" s="1334"/>
      <c r="Z6" s="1334"/>
      <c r="AA6" s="1334"/>
      <c r="AB6" s="1334"/>
      <c r="AC6" s="1334"/>
      <c r="AD6" s="165"/>
      <c r="AE6" s="165"/>
      <c r="AF6" s="165"/>
      <c r="AG6" s="165"/>
      <c r="AH6" s="165"/>
      <c r="AI6" s="165"/>
      <c r="AJ6" s="165"/>
      <c r="AK6" s="165"/>
      <c r="AL6" s="165"/>
      <c r="AM6" s="165"/>
      <c r="AN6" s="165"/>
      <c r="AO6" s="165"/>
      <c r="AP6" s="165"/>
      <c r="AQ6" s="165"/>
      <c r="AR6" s="165"/>
      <c r="AS6" s="165"/>
      <c r="AT6" s="165"/>
      <c r="AU6" s="165"/>
      <c r="AV6" s="165"/>
      <c r="AW6" s="165"/>
      <c r="AX6" s="165"/>
      <c r="AY6" s="165"/>
      <c r="AZ6" s="165"/>
      <c r="BA6" s="165"/>
      <c r="BB6" s="165"/>
      <c r="BC6" s="165"/>
      <c r="BD6" s="165"/>
      <c r="BE6" s="165"/>
      <c r="BF6" s="165"/>
      <c r="BG6" s="165"/>
      <c r="BH6" s="165"/>
      <c r="BI6" s="165"/>
      <c r="BJ6" s="165"/>
      <c r="BK6" s="165"/>
      <c r="BL6" s="165"/>
      <c r="BM6" s="165"/>
      <c r="BN6" s="165"/>
      <c r="BO6" s="165"/>
      <c r="BP6" s="165"/>
      <c r="BQ6" s="165"/>
      <c r="BR6" s="165"/>
      <c r="BS6" s="165"/>
      <c r="BT6" s="165"/>
      <c r="BU6" s="165"/>
      <c r="BV6" s="165"/>
      <c r="BW6" s="165"/>
      <c r="BX6" s="165"/>
      <c r="BY6" s="165"/>
      <c r="BZ6" s="165"/>
    </row>
    <row r="7" spans="1:78" s="198" customFormat="1" ht="33.5" customHeight="1" x14ac:dyDescent="0.35">
      <c r="B7" s="361"/>
      <c r="C7" s="361"/>
      <c r="D7" s="361"/>
      <c r="E7" s="361"/>
      <c r="F7" s="361"/>
      <c r="G7" s="361"/>
      <c r="H7" s="361"/>
      <c r="I7" s="361"/>
      <c r="J7" s="361"/>
      <c r="K7" s="361"/>
      <c r="L7" s="361"/>
      <c r="M7" s="361"/>
      <c r="N7" s="361"/>
      <c r="O7" s="361"/>
      <c r="P7" s="361"/>
      <c r="Q7" s="361"/>
      <c r="R7" s="361"/>
      <c r="S7" s="361"/>
      <c r="T7" s="361"/>
      <c r="U7" s="361"/>
      <c r="V7" s="361"/>
      <c r="W7" s="361"/>
      <c r="X7" s="361"/>
      <c r="Y7" s="361"/>
      <c r="Z7" s="165"/>
      <c r="AA7" s="165"/>
      <c r="AB7" s="165"/>
      <c r="AC7" s="165"/>
      <c r="AD7" s="165"/>
      <c r="AE7" s="165"/>
      <c r="AF7" s="165"/>
      <c r="AG7" s="165"/>
      <c r="AH7" s="165"/>
      <c r="AI7" s="165"/>
      <c r="AJ7" s="165"/>
      <c r="AK7" s="165"/>
      <c r="AL7" s="165"/>
      <c r="AM7" s="165"/>
      <c r="AN7" s="165"/>
      <c r="AO7" s="165"/>
      <c r="AP7" s="165"/>
      <c r="AQ7" s="165"/>
      <c r="AR7" s="165"/>
      <c r="AS7" s="165"/>
      <c r="AT7" s="165"/>
      <c r="AU7" s="165"/>
      <c r="AV7" s="165"/>
      <c r="AW7" s="165"/>
      <c r="AX7" s="165"/>
      <c r="AY7" s="165"/>
      <c r="AZ7" s="165"/>
      <c r="BA7" s="165"/>
      <c r="BB7" s="165"/>
      <c r="BC7" s="165"/>
      <c r="BD7" s="165"/>
      <c r="BE7" s="165"/>
      <c r="BF7" s="165"/>
      <c r="BG7" s="165"/>
      <c r="BH7" s="165"/>
      <c r="BI7" s="165"/>
      <c r="BJ7" s="165"/>
      <c r="BK7" s="165"/>
      <c r="BL7" s="165"/>
      <c r="BM7" s="165"/>
      <c r="BN7" s="165"/>
      <c r="BO7" s="165"/>
      <c r="BP7" s="165"/>
      <c r="BQ7" s="165"/>
      <c r="BR7" s="165"/>
      <c r="BS7" s="165"/>
      <c r="BT7" s="165"/>
      <c r="BU7" s="165"/>
      <c r="BV7" s="165"/>
      <c r="BW7" s="165"/>
      <c r="BX7" s="165"/>
      <c r="BY7" s="165"/>
      <c r="BZ7" s="165"/>
    </row>
    <row r="8" spans="1:78" ht="14.5" customHeight="1" x14ac:dyDescent="0.35">
      <c r="B8" s="1338" t="s">
        <v>290</v>
      </c>
      <c r="C8" s="1339"/>
      <c r="D8" s="1346" t="s">
        <v>261</v>
      </c>
      <c r="E8" s="1347"/>
      <c r="F8" s="1347"/>
      <c r="G8" s="1347"/>
      <c r="H8" s="1347"/>
      <c r="I8" s="1347"/>
      <c r="J8" s="1347"/>
      <c r="K8" s="1347"/>
      <c r="L8" s="1347"/>
      <c r="M8" s="1347"/>
      <c r="N8" s="1347"/>
      <c r="O8" s="1348"/>
      <c r="P8" s="1378" t="s">
        <v>143</v>
      </c>
      <c r="Q8" s="1379"/>
      <c r="R8" s="1379"/>
      <c r="S8" s="1379"/>
      <c r="T8" s="1379"/>
      <c r="U8" s="1379"/>
      <c r="V8" s="1379"/>
      <c r="W8" s="1379"/>
      <c r="X8" s="1379"/>
      <c r="Y8" s="1379"/>
      <c r="Z8" s="1379"/>
      <c r="AA8" s="1379"/>
      <c r="AB8" s="1379"/>
      <c r="AC8" s="1380"/>
    </row>
    <row r="9" spans="1:78" x14ac:dyDescent="0.35">
      <c r="B9" s="1340"/>
      <c r="C9" s="1341"/>
      <c r="D9" s="1183">
        <v>2018</v>
      </c>
      <c r="E9" s="1335">
        <v>2019</v>
      </c>
      <c r="F9" s="1342"/>
      <c r="G9" s="1342"/>
      <c r="H9" s="1337"/>
      <c r="I9" s="1335">
        <v>2020</v>
      </c>
      <c r="J9" s="1342"/>
      <c r="K9" s="1342"/>
      <c r="L9" s="1337"/>
      <c r="M9" s="1335">
        <v>2021</v>
      </c>
      <c r="N9" s="1336"/>
      <c r="O9" s="1337"/>
      <c r="P9" s="803">
        <v>2021</v>
      </c>
      <c r="Q9" s="1343">
        <v>2022</v>
      </c>
      <c r="R9" s="1385"/>
      <c r="S9" s="1385"/>
      <c r="T9" s="1345"/>
      <c r="U9" s="1343">
        <v>2023</v>
      </c>
      <c r="V9" s="1385"/>
      <c r="W9" s="1385"/>
      <c r="X9" s="1344"/>
      <c r="Y9" s="1343">
        <v>2024</v>
      </c>
      <c r="Z9" s="1344"/>
      <c r="AA9" s="1344"/>
      <c r="AB9" s="1345"/>
      <c r="AC9" s="439">
        <v>2025</v>
      </c>
    </row>
    <row r="10" spans="1:78" x14ac:dyDescent="0.35">
      <c r="B10" s="1383"/>
      <c r="C10" s="1384"/>
      <c r="D10" s="211" t="s">
        <v>138</v>
      </c>
      <c r="E10" s="211" t="s">
        <v>135</v>
      </c>
      <c r="F10" s="189" t="s">
        <v>136</v>
      </c>
      <c r="G10" s="189" t="s">
        <v>137</v>
      </c>
      <c r="H10" s="1056" t="s">
        <v>138</v>
      </c>
      <c r="I10" s="190" t="s">
        <v>135</v>
      </c>
      <c r="J10" s="190" t="s">
        <v>136</v>
      </c>
      <c r="K10" s="190" t="s">
        <v>137</v>
      </c>
      <c r="L10" s="190" t="s">
        <v>138</v>
      </c>
      <c r="M10" s="205" t="s">
        <v>135</v>
      </c>
      <c r="N10" s="190" t="s">
        <v>136</v>
      </c>
      <c r="O10" s="1056" t="s">
        <v>137</v>
      </c>
      <c r="P10" s="1184" t="s">
        <v>138</v>
      </c>
      <c r="Q10" s="1173" t="s">
        <v>135</v>
      </c>
      <c r="R10" s="1174" t="s">
        <v>136</v>
      </c>
      <c r="S10" s="1174" t="s">
        <v>137</v>
      </c>
      <c r="T10" s="1174" t="s">
        <v>138</v>
      </c>
      <c r="U10" s="1173" t="s">
        <v>135</v>
      </c>
      <c r="V10" s="1174" t="s">
        <v>136</v>
      </c>
      <c r="W10" s="1174" t="s">
        <v>137</v>
      </c>
      <c r="X10" s="1174" t="s">
        <v>138</v>
      </c>
      <c r="Y10" s="1173" t="s">
        <v>135</v>
      </c>
      <c r="Z10" s="533" t="s">
        <v>136</v>
      </c>
      <c r="AA10" s="1174" t="s">
        <v>137</v>
      </c>
      <c r="AB10" s="1175" t="s">
        <v>138</v>
      </c>
      <c r="AC10" s="80" t="s">
        <v>135</v>
      </c>
    </row>
    <row r="11" spans="1:78" s="400" customFormat="1" x14ac:dyDescent="0.35">
      <c r="B11" s="1420" t="s">
        <v>495</v>
      </c>
      <c r="C11" s="1421"/>
      <c r="D11" s="808"/>
      <c r="E11" s="1258"/>
      <c r="F11" s="1259">
        <v>60.5</v>
      </c>
      <c r="G11" s="1259">
        <v>81.400000000000006</v>
      </c>
      <c r="H11" s="887">
        <f>'Haver Pivoted'!GS42</f>
        <v>82.2</v>
      </c>
      <c r="I11" s="887">
        <f>'Haver Pivoted'!GT42</f>
        <v>80.3</v>
      </c>
      <c r="J11" s="887">
        <f>'Haver Pivoted'!GU42</f>
        <v>1123.5999999999999</v>
      </c>
      <c r="K11" s="887">
        <f>'Haver Pivoted'!GV42</f>
        <v>1220.5</v>
      </c>
      <c r="L11" s="887">
        <f>'Haver Pivoted'!GW42</f>
        <v>618.6</v>
      </c>
      <c r="M11" s="887">
        <f>'Haver Pivoted'!GX42</f>
        <v>403.8</v>
      </c>
      <c r="N11" s="887">
        <f>'Haver Pivoted'!GY42</f>
        <v>697</v>
      </c>
      <c r="O11" s="1260">
        <f>'Haver Pivoted'!GZ42</f>
        <v>0</v>
      </c>
      <c r="P11" s="886" t="e">
        <f t="shared" ref="P11:AC11" si="0">P12+P13</f>
        <v>#DIV/0!</v>
      </c>
      <c r="Q11" s="886" t="e">
        <f t="shared" si="0"/>
        <v>#DIV/0!</v>
      </c>
      <c r="R11" s="886" t="e">
        <f t="shared" si="0"/>
        <v>#DIV/0!</v>
      </c>
      <c r="S11" s="886" t="e">
        <f t="shared" si="0"/>
        <v>#DIV/0!</v>
      </c>
      <c r="T11" s="886">
        <f t="shared" si="0"/>
        <v>88.462000000000003</v>
      </c>
      <c r="U11" s="886">
        <f t="shared" si="0"/>
        <v>88.462000000000003</v>
      </c>
      <c r="V11" s="886">
        <f t="shared" si="0"/>
        <v>88.462000000000003</v>
      </c>
      <c r="W11" s="886">
        <f t="shared" si="0"/>
        <v>88.462000000000003</v>
      </c>
      <c r="X11" s="886">
        <f t="shared" si="0"/>
        <v>75.425000000000011</v>
      </c>
      <c r="Y11" s="886">
        <f t="shared" si="0"/>
        <v>75.425000000000011</v>
      </c>
      <c r="Z11" s="886">
        <f t="shared" si="0"/>
        <v>75.425000000000011</v>
      </c>
      <c r="AA11" s="886">
        <f t="shared" si="0"/>
        <v>75.425000000000011</v>
      </c>
      <c r="AB11" s="886">
        <f t="shared" si="0"/>
        <v>76.100000000000009</v>
      </c>
      <c r="AC11" s="890">
        <f t="shared" si="0"/>
        <v>76.100000000000009</v>
      </c>
      <c r="AD11" s="401"/>
      <c r="AE11" s="401"/>
      <c r="AF11" s="401"/>
      <c r="AG11" s="401"/>
      <c r="AH11" s="401"/>
      <c r="AI11" s="401"/>
      <c r="AJ11" s="401"/>
      <c r="AK11" s="401"/>
      <c r="AL11" s="401"/>
      <c r="AM11" s="401"/>
      <c r="AN11" s="401"/>
      <c r="AO11" s="401"/>
      <c r="AP11" s="401"/>
      <c r="AQ11" s="401"/>
      <c r="AR11" s="401"/>
      <c r="AS11" s="401"/>
      <c r="AT11" s="401"/>
      <c r="AU11" s="401"/>
      <c r="AV11" s="401"/>
      <c r="AW11" s="401"/>
      <c r="AX11" s="401"/>
      <c r="AY11" s="401"/>
      <c r="AZ11" s="401"/>
      <c r="BA11" s="401"/>
      <c r="BB11" s="401"/>
      <c r="BC11" s="401"/>
      <c r="BD11" s="401"/>
      <c r="BE11" s="401"/>
      <c r="BF11" s="401"/>
      <c r="BG11" s="401"/>
      <c r="BH11" s="401"/>
      <c r="BI11" s="401"/>
      <c r="BJ11" s="401"/>
      <c r="BK11" s="401"/>
      <c r="BL11" s="401"/>
      <c r="BM11" s="401"/>
      <c r="BN11" s="401"/>
      <c r="BO11" s="401"/>
      <c r="BP11" s="401"/>
      <c r="BQ11" s="401"/>
      <c r="BR11" s="401"/>
      <c r="BS11" s="401"/>
      <c r="BT11" s="401"/>
      <c r="BU11" s="401"/>
      <c r="BV11" s="401"/>
      <c r="BW11" s="401"/>
      <c r="BX11" s="401"/>
      <c r="BY11" s="401"/>
      <c r="BZ11" s="401"/>
    </row>
    <row r="12" spans="1:78" ht="16.5" customHeight="1" x14ac:dyDescent="0.35">
      <c r="B12" s="161" t="s">
        <v>404</v>
      </c>
      <c r="C12" s="357"/>
      <c r="D12" s="1179"/>
      <c r="E12" s="1180"/>
      <c r="F12" s="347">
        <f>F11</f>
        <v>60.5</v>
      </c>
      <c r="G12" s="347">
        <f>G11</f>
        <v>81.400000000000006</v>
      </c>
      <c r="H12" s="787">
        <f t="shared" ref="H12:M12" si="1">H11-H13</f>
        <v>82.2</v>
      </c>
      <c r="I12" s="787">
        <f t="shared" si="1"/>
        <v>80.3</v>
      </c>
      <c r="J12" s="787">
        <f t="shared" si="1"/>
        <v>134.09999999999991</v>
      </c>
      <c r="K12" s="787">
        <f t="shared" si="1"/>
        <v>93.900000000000091</v>
      </c>
      <c r="L12" s="787">
        <f t="shared" si="1"/>
        <v>80.199999999999932</v>
      </c>
      <c r="M12" s="787">
        <f t="shared" si="1"/>
        <v>73.900000000000034</v>
      </c>
      <c r="N12" s="787">
        <f>N11-N13</f>
        <v>76.299999999999955</v>
      </c>
      <c r="O12" s="1228">
        <f>O11-O13</f>
        <v>-185.43798000000004</v>
      </c>
      <c r="P12" s="526">
        <f t="shared" ref="P12:AC12" si="2">AVERAGE($F$11:$I$11)</f>
        <v>76.100000000000009</v>
      </c>
      <c r="Q12" s="526">
        <f t="shared" si="2"/>
        <v>76.100000000000009</v>
      </c>
      <c r="R12" s="526">
        <f t="shared" si="2"/>
        <v>76.100000000000009</v>
      </c>
      <c r="S12" s="526">
        <f t="shared" si="2"/>
        <v>76.100000000000009</v>
      </c>
      <c r="T12" s="526">
        <f t="shared" si="2"/>
        <v>76.100000000000009</v>
      </c>
      <c r="U12" s="526">
        <f t="shared" si="2"/>
        <v>76.100000000000009</v>
      </c>
      <c r="V12" s="526">
        <f t="shared" si="2"/>
        <v>76.100000000000009</v>
      </c>
      <c r="W12" s="526">
        <f t="shared" si="2"/>
        <v>76.100000000000009</v>
      </c>
      <c r="X12" s="526">
        <f t="shared" si="2"/>
        <v>76.100000000000009</v>
      </c>
      <c r="Y12" s="526">
        <f t="shared" si="2"/>
        <v>76.100000000000009</v>
      </c>
      <c r="Z12" s="526">
        <f t="shared" si="2"/>
        <v>76.100000000000009</v>
      </c>
      <c r="AA12" s="526">
        <f t="shared" si="2"/>
        <v>76.100000000000009</v>
      </c>
      <c r="AB12" s="526">
        <f t="shared" si="2"/>
        <v>76.100000000000009</v>
      </c>
      <c r="AC12" s="969">
        <f t="shared" si="2"/>
        <v>76.100000000000009</v>
      </c>
    </row>
    <row r="13" spans="1:78" x14ac:dyDescent="0.35">
      <c r="B13" s="107" t="s">
        <v>405</v>
      </c>
      <c r="C13" s="357"/>
      <c r="D13" s="1179"/>
      <c r="E13" s="1180"/>
      <c r="F13" s="809"/>
      <c r="G13" s="809"/>
      <c r="H13" s="787">
        <f>SUM(H16:H25)</f>
        <v>0</v>
      </c>
      <c r="I13" s="787">
        <f>SUM(I16:I25)</f>
        <v>0</v>
      </c>
      <c r="J13" s="787">
        <f t="shared" ref="J13:AC13" si="3">SUM(J16:J25)+J14</f>
        <v>989.5</v>
      </c>
      <c r="K13" s="787">
        <f t="shared" si="3"/>
        <v>1126.5999999999999</v>
      </c>
      <c r="L13" s="787">
        <f t="shared" si="3"/>
        <v>538.40000000000009</v>
      </c>
      <c r="M13" s="787">
        <f t="shared" si="3"/>
        <v>329.9</v>
      </c>
      <c r="N13" s="128">
        <f t="shared" si="3"/>
        <v>620.70000000000005</v>
      </c>
      <c r="O13" s="1261">
        <f t="shared" si="3"/>
        <v>185.43798000000004</v>
      </c>
      <c r="P13" s="805" t="e">
        <f t="shared" si="3"/>
        <v>#DIV/0!</v>
      </c>
      <c r="Q13" s="805" t="e">
        <f t="shared" si="3"/>
        <v>#DIV/0!</v>
      </c>
      <c r="R13" s="805" t="e">
        <f t="shared" si="3"/>
        <v>#DIV/0!</v>
      </c>
      <c r="S13" s="805" t="e">
        <f t="shared" si="3"/>
        <v>#DIV/0!</v>
      </c>
      <c r="T13" s="805">
        <f t="shared" si="3"/>
        <v>12.362</v>
      </c>
      <c r="U13" s="805">
        <f t="shared" si="3"/>
        <v>12.362</v>
      </c>
      <c r="V13" s="805">
        <f t="shared" si="3"/>
        <v>12.362</v>
      </c>
      <c r="W13" s="805">
        <f t="shared" si="3"/>
        <v>12.362</v>
      </c>
      <c r="X13" s="805">
        <f t="shared" si="3"/>
        <v>-0.67500000000000004</v>
      </c>
      <c r="Y13" s="805">
        <f t="shared" si="3"/>
        <v>-0.67500000000000004</v>
      </c>
      <c r="Z13" s="805">
        <f t="shared" si="3"/>
        <v>-0.67500000000000004</v>
      </c>
      <c r="AA13" s="805">
        <f t="shared" si="3"/>
        <v>-0.67500000000000004</v>
      </c>
      <c r="AB13" s="805">
        <f t="shared" si="3"/>
        <v>0</v>
      </c>
      <c r="AC13" s="970">
        <f t="shared" si="3"/>
        <v>0</v>
      </c>
    </row>
    <row r="14" spans="1:78" s="308" customFormat="1" x14ac:dyDescent="0.35">
      <c r="A14" s="362"/>
      <c r="B14" s="92" t="s">
        <v>479</v>
      </c>
      <c r="C14" s="112" t="s">
        <v>245</v>
      </c>
      <c r="D14" s="810"/>
      <c r="E14" s="786"/>
      <c r="F14" s="787"/>
      <c r="G14" s="787"/>
      <c r="H14" s="347">
        <f>'Haver Pivoted'!GS49</f>
        <v>0</v>
      </c>
      <c r="I14" s="347">
        <f>'Haver Pivoted'!GT49</f>
        <v>0</v>
      </c>
      <c r="J14" s="347">
        <f>'Haver Pivoted'!GU49</f>
        <v>576.9</v>
      </c>
      <c r="K14" s="347">
        <f>'Haver Pivoted'!GV49</f>
        <v>819.5</v>
      </c>
      <c r="L14" s="347">
        <f>'Haver Pivoted'!GW49</f>
        <v>246.3</v>
      </c>
      <c r="M14" s="347">
        <f>'Haver Pivoted'!GX49</f>
        <v>184.6</v>
      </c>
      <c r="N14" s="347">
        <f>'Haver Pivoted'!GY49</f>
        <v>427.2</v>
      </c>
      <c r="O14" s="1230">
        <f>'Haver Pivoted'!GZ49</f>
        <v>0</v>
      </c>
      <c r="P14" s="526" t="e">
        <f>PPP!P54</f>
        <v>#DIV/0!</v>
      </c>
      <c r="Q14" s="805"/>
      <c r="R14" s="805"/>
      <c r="S14" s="805"/>
      <c r="T14" s="805"/>
      <c r="U14" s="805"/>
      <c r="V14" s="805"/>
      <c r="W14" s="805"/>
      <c r="X14" s="805"/>
      <c r="Y14" s="805"/>
      <c r="Z14" s="232"/>
      <c r="AA14" s="232"/>
      <c r="AB14" s="232"/>
      <c r="AC14" s="968"/>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c r="BC14" s="191"/>
      <c r="BD14" s="191"/>
      <c r="BE14" s="191"/>
      <c r="BF14" s="191"/>
      <c r="BG14" s="191"/>
      <c r="BH14" s="191"/>
      <c r="BI14" s="191"/>
      <c r="BJ14" s="191"/>
      <c r="BK14" s="191"/>
      <c r="BL14" s="191"/>
      <c r="BM14" s="191"/>
      <c r="BN14" s="191"/>
      <c r="BO14" s="191"/>
      <c r="BP14" s="191"/>
      <c r="BQ14" s="191"/>
      <c r="BR14" s="191"/>
      <c r="BS14" s="191"/>
      <c r="BT14" s="191"/>
      <c r="BU14" s="191"/>
      <c r="BV14" s="191"/>
      <c r="BW14" s="191"/>
      <c r="BX14" s="191"/>
      <c r="BY14" s="191"/>
      <c r="BZ14" s="191"/>
    </row>
    <row r="15" spans="1:78" s="285" customFormat="1" x14ac:dyDescent="0.35">
      <c r="A15" s="362"/>
      <c r="B15" s="107" t="s">
        <v>634</v>
      </c>
      <c r="C15" s="357"/>
      <c r="D15" s="1179"/>
      <c r="E15" s="1180"/>
      <c r="F15" s="809"/>
      <c r="G15" s="809"/>
      <c r="H15" s="787">
        <f t="shared" ref="H15:AC15" si="4">SUM(H16:H25)</f>
        <v>0</v>
      </c>
      <c r="I15" s="787">
        <f t="shared" si="4"/>
        <v>0</v>
      </c>
      <c r="J15" s="787">
        <f t="shared" si="4"/>
        <v>412.6</v>
      </c>
      <c r="K15" s="787">
        <f t="shared" si="4"/>
        <v>307.10000000000002</v>
      </c>
      <c r="L15" s="787">
        <f t="shared" si="4"/>
        <v>292.10000000000002</v>
      </c>
      <c r="M15" s="787">
        <f t="shared" si="4"/>
        <v>145.30000000000001</v>
      </c>
      <c r="N15" s="787">
        <f t="shared" si="4"/>
        <v>193.50000000000003</v>
      </c>
      <c r="O15" s="1228">
        <f t="shared" si="4"/>
        <v>185.43798000000004</v>
      </c>
      <c r="P15" s="806" t="e">
        <f t="shared" si="4"/>
        <v>#DIV/0!</v>
      </c>
      <c r="Q15" s="806" t="e">
        <f t="shared" si="4"/>
        <v>#DIV/0!</v>
      </c>
      <c r="R15" s="806" t="e">
        <f t="shared" si="4"/>
        <v>#DIV/0!</v>
      </c>
      <c r="S15" s="806" t="e">
        <f t="shared" si="4"/>
        <v>#DIV/0!</v>
      </c>
      <c r="T15" s="806">
        <f t="shared" si="4"/>
        <v>12.362</v>
      </c>
      <c r="U15" s="806">
        <f t="shared" si="4"/>
        <v>12.362</v>
      </c>
      <c r="V15" s="806">
        <f t="shared" si="4"/>
        <v>12.362</v>
      </c>
      <c r="W15" s="806">
        <f t="shared" si="4"/>
        <v>12.362</v>
      </c>
      <c r="X15" s="806">
        <f t="shared" si="4"/>
        <v>-0.67500000000000004</v>
      </c>
      <c r="Y15" s="806">
        <f t="shared" si="4"/>
        <v>-0.67500000000000004</v>
      </c>
      <c r="Z15" s="806">
        <f t="shared" si="4"/>
        <v>-0.67500000000000004</v>
      </c>
      <c r="AA15" s="806">
        <f t="shared" si="4"/>
        <v>-0.67500000000000004</v>
      </c>
      <c r="AB15" s="806">
        <f t="shared" si="4"/>
        <v>0</v>
      </c>
      <c r="AC15" s="971">
        <f t="shared" si="4"/>
        <v>0</v>
      </c>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c r="BC15" s="191"/>
      <c r="BD15" s="191"/>
      <c r="BE15" s="191"/>
      <c r="BF15" s="191"/>
      <c r="BG15" s="191"/>
      <c r="BH15" s="191"/>
      <c r="BI15" s="191"/>
      <c r="BJ15" s="191"/>
      <c r="BK15" s="191"/>
      <c r="BL15" s="191"/>
      <c r="BM15" s="191"/>
      <c r="BN15" s="191"/>
      <c r="BO15" s="191"/>
      <c r="BP15" s="191"/>
      <c r="BQ15" s="191"/>
      <c r="BR15" s="191"/>
      <c r="BS15" s="191"/>
      <c r="BT15" s="191"/>
      <c r="BU15" s="191"/>
      <c r="BV15" s="191"/>
      <c r="BW15" s="191"/>
      <c r="BX15" s="191"/>
      <c r="BY15" s="191"/>
      <c r="BZ15" s="191"/>
    </row>
    <row r="16" spans="1:78" x14ac:dyDescent="0.35">
      <c r="B16" s="185" t="s">
        <v>406</v>
      </c>
      <c r="C16" s="343" t="s">
        <v>249</v>
      </c>
      <c r="D16" s="811"/>
      <c r="E16" s="788"/>
      <c r="F16" s="787"/>
      <c r="G16" s="787"/>
      <c r="H16" s="347">
        <f>'Haver Pivoted'!GS53</f>
        <v>0</v>
      </c>
      <c r="I16" s="347">
        <f>'Haver Pivoted'!GT53</f>
        <v>0</v>
      </c>
      <c r="J16" s="347">
        <f>'Haver Pivoted'!GU53</f>
        <v>16.899999999999999</v>
      </c>
      <c r="K16" s="347">
        <f>'Haver Pivoted'!GV53</f>
        <v>18.399999999999999</v>
      </c>
      <c r="L16" s="347">
        <f>'Haver Pivoted'!GW53</f>
        <v>46.2</v>
      </c>
      <c r="M16" s="347">
        <f>'Haver Pivoted'!GX53</f>
        <v>0.9</v>
      </c>
      <c r="N16" s="347">
        <f>'Haver Pivoted'!GY53</f>
        <v>14.3</v>
      </c>
      <c r="O16" s="1230">
        <f>'Haver Pivoted'!GZ53</f>
        <v>0</v>
      </c>
      <c r="P16" s="526"/>
      <c r="Q16" s="526"/>
      <c r="R16" s="526"/>
      <c r="S16" s="526"/>
      <c r="T16" s="526"/>
      <c r="U16" s="526"/>
      <c r="V16" s="332"/>
      <c r="W16" s="332"/>
      <c r="X16" s="332"/>
      <c r="Y16" s="332"/>
      <c r="Z16" s="232"/>
      <c r="AA16" s="232"/>
      <c r="AB16" s="232"/>
      <c r="AC16" s="968"/>
    </row>
    <row r="17" spans="1:78" x14ac:dyDescent="0.35">
      <c r="B17" s="185" t="s">
        <v>407</v>
      </c>
      <c r="C17" s="343" t="s">
        <v>247</v>
      </c>
      <c r="D17" s="811"/>
      <c r="E17" s="788"/>
      <c r="F17" s="787"/>
      <c r="G17" s="787"/>
      <c r="H17" s="347">
        <f>'Haver Pivoted'!GS51</f>
        <v>0</v>
      </c>
      <c r="I17" s="347">
        <f>'Haver Pivoted'!GT51</f>
        <v>0</v>
      </c>
      <c r="J17" s="347">
        <f>'Haver Pivoted'!GU51</f>
        <v>73.3</v>
      </c>
      <c r="K17" s="347">
        <f>'Haver Pivoted'!GV51</f>
        <v>73.3</v>
      </c>
      <c r="L17" s="347">
        <f>'Haver Pivoted'!GW51</f>
        <v>73.3</v>
      </c>
      <c r="M17" s="347">
        <f>'Haver Pivoted'!GX51</f>
        <v>62.9</v>
      </c>
      <c r="N17" s="347">
        <f>'Haver Pivoted'!GY51</f>
        <v>62.9</v>
      </c>
      <c r="O17" s="1230">
        <f>'Haver Pivoted'!GZ51</f>
        <v>0</v>
      </c>
      <c r="P17" s="526">
        <f>P34</f>
        <v>7.1439999999999992</v>
      </c>
      <c r="Q17" s="526">
        <f t="shared" ref="Q17:AC17" si="5">Q34</f>
        <v>7.1439999999999992</v>
      </c>
      <c r="R17" s="526">
        <f t="shared" si="5"/>
        <v>7.1439999999999992</v>
      </c>
      <c r="S17" s="526">
        <f t="shared" si="5"/>
        <v>7.1439999999999992</v>
      </c>
      <c r="T17" s="526">
        <f t="shared" si="5"/>
        <v>0</v>
      </c>
      <c r="U17" s="526">
        <f t="shared" si="5"/>
        <v>0</v>
      </c>
      <c r="V17" s="526">
        <f t="shared" si="5"/>
        <v>0</v>
      </c>
      <c r="W17" s="526">
        <f t="shared" si="5"/>
        <v>0</v>
      </c>
      <c r="X17" s="526">
        <f t="shared" si="5"/>
        <v>0</v>
      </c>
      <c r="Y17" s="526">
        <f t="shared" si="5"/>
        <v>0</v>
      </c>
      <c r="Z17" s="526">
        <f t="shared" si="5"/>
        <v>0</v>
      </c>
      <c r="AA17" s="526">
        <f t="shared" si="5"/>
        <v>0</v>
      </c>
      <c r="AB17" s="526">
        <f t="shared" si="5"/>
        <v>0</v>
      </c>
      <c r="AC17" s="969">
        <f t="shared" si="5"/>
        <v>0</v>
      </c>
    </row>
    <row r="18" spans="1:78" x14ac:dyDescent="0.35">
      <c r="B18" s="185" t="s">
        <v>408</v>
      </c>
      <c r="C18" s="112" t="s">
        <v>246</v>
      </c>
      <c r="D18" s="810"/>
      <c r="E18" s="786"/>
      <c r="F18" s="787"/>
      <c r="G18" s="787"/>
      <c r="H18" s="347">
        <f>'Haver Pivoted'!GS50</f>
        <v>0</v>
      </c>
      <c r="I18" s="347">
        <f>'Haver Pivoted'!GT50</f>
        <v>0</v>
      </c>
      <c r="J18" s="347">
        <f>'Haver Pivoted'!GU50</f>
        <v>63.8</v>
      </c>
      <c r="K18" s="347">
        <f>'Haver Pivoted'!GV50</f>
        <v>15</v>
      </c>
      <c r="L18" s="347">
        <f>'Haver Pivoted'!GW50</f>
        <v>0.1</v>
      </c>
      <c r="M18" s="347">
        <f>'Haver Pivoted'!GX50</f>
        <v>38</v>
      </c>
      <c r="N18" s="347">
        <f>'Haver Pivoted'!GY50</f>
        <v>47.3</v>
      </c>
      <c r="O18" s="1230">
        <f>'Haver Pivoted'!GZ50</f>
        <v>0</v>
      </c>
      <c r="P18" s="526">
        <f t="shared" ref="P18:AC18" si="6">P28</f>
        <v>0</v>
      </c>
      <c r="Q18" s="526">
        <f t="shared" si="6"/>
        <v>0</v>
      </c>
      <c r="R18" s="526">
        <f t="shared" si="6"/>
        <v>0</v>
      </c>
      <c r="S18" s="526">
        <f t="shared" si="6"/>
        <v>0</v>
      </c>
      <c r="T18" s="526">
        <f t="shared" si="6"/>
        <v>0</v>
      </c>
      <c r="U18" s="526">
        <f t="shared" si="6"/>
        <v>0</v>
      </c>
      <c r="V18" s="526">
        <f t="shared" si="6"/>
        <v>0</v>
      </c>
      <c r="W18" s="526">
        <f t="shared" si="6"/>
        <v>0</v>
      </c>
      <c r="X18" s="526">
        <f t="shared" si="6"/>
        <v>0</v>
      </c>
      <c r="Y18" s="526">
        <f t="shared" si="6"/>
        <v>0</v>
      </c>
      <c r="Z18" s="526">
        <f t="shared" si="6"/>
        <v>0</v>
      </c>
      <c r="AA18" s="526">
        <f t="shared" si="6"/>
        <v>0</v>
      </c>
      <c r="AB18" s="526">
        <f t="shared" si="6"/>
        <v>0</v>
      </c>
      <c r="AC18" s="969">
        <f t="shared" si="6"/>
        <v>0</v>
      </c>
    </row>
    <row r="19" spans="1:78" x14ac:dyDescent="0.35">
      <c r="B19" s="185" t="s">
        <v>410</v>
      </c>
      <c r="C19" s="112" t="s">
        <v>250</v>
      </c>
      <c r="D19" s="810"/>
      <c r="E19" s="786"/>
      <c r="F19" s="787"/>
      <c r="G19" s="787"/>
      <c r="H19" s="347">
        <f>'Haver Pivoted'!GS54</f>
        <v>0</v>
      </c>
      <c r="I19" s="347">
        <f>'Haver Pivoted'!GT54</f>
        <v>0</v>
      </c>
      <c r="J19" s="347">
        <f>'Haver Pivoted'!GU54</f>
        <v>96.6</v>
      </c>
      <c r="K19" s="347">
        <f>'Haver Pivoted'!GV54</f>
        <v>35.1</v>
      </c>
      <c r="L19" s="347">
        <f>'Haver Pivoted'!GW54</f>
        <v>20.7</v>
      </c>
      <c r="M19" s="347">
        <f>'Haver Pivoted'!GX54</f>
        <v>25.7</v>
      </c>
      <c r="N19" s="347">
        <f>'Haver Pivoted'!GY54</f>
        <v>16</v>
      </c>
      <c r="O19" s="1230">
        <f>'Haver Pivoted'!GZ54</f>
        <v>0</v>
      </c>
      <c r="P19" s="526" t="e">
        <f>'Provider Relief'!P13</f>
        <v>#DIV/0!</v>
      </c>
      <c r="Q19" s="526" t="e">
        <f>'Provider Relief'!Q13</f>
        <v>#DIV/0!</v>
      </c>
      <c r="R19" s="526" t="e">
        <f>'Provider Relief'!R13</f>
        <v>#DIV/0!</v>
      </c>
      <c r="S19" s="526" t="e">
        <f>'Provider Relief'!S13</f>
        <v>#DIV/0!</v>
      </c>
      <c r="T19" s="526">
        <f>'Provider Relief'!T13</f>
        <v>0</v>
      </c>
      <c r="U19" s="526"/>
      <c r="V19" s="526"/>
      <c r="W19" s="526"/>
      <c r="X19" s="526"/>
      <c r="Y19" s="526"/>
      <c r="Z19" s="232"/>
      <c r="AA19" s="232"/>
      <c r="AB19" s="232"/>
      <c r="AC19" s="968"/>
    </row>
    <row r="20" spans="1:78" x14ac:dyDescent="0.35">
      <c r="B20" s="185" t="s">
        <v>411</v>
      </c>
      <c r="C20" s="112" t="s">
        <v>248</v>
      </c>
      <c r="D20" s="810"/>
      <c r="E20" s="786"/>
      <c r="F20" s="787"/>
      <c r="G20" s="787"/>
      <c r="H20" s="347">
        <f>'Haver Pivoted'!GS52</f>
        <v>0</v>
      </c>
      <c r="I20" s="347">
        <f>'Haver Pivoted'!GT52</f>
        <v>0</v>
      </c>
      <c r="J20" s="347">
        <f>'Haver Pivoted'!GU52</f>
        <v>22</v>
      </c>
      <c r="K20" s="347">
        <f>'Haver Pivoted'!GV52</f>
        <v>25.3</v>
      </c>
      <c r="L20" s="347">
        <f>'Haver Pivoted'!GW52</f>
        <v>11.8</v>
      </c>
      <c r="M20" s="347">
        <f>'Haver Pivoted'!GX52</f>
        <v>9.8000000000000007</v>
      </c>
      <c r="N20" s="347">
        <f>'Haver Pivoted'!GY52</f>
        <v>12.3</v>
      </c>
      <c r="O20" s="1230">
        <f>'Haver Pivoted'!GZ52</f>
        <v>0</v>
      </c>
      <c r="P20" s="526">
        <f t="shared" ref="P20:AC20" si="7">P35</f>
        <v>5.6120000000000001</v>
      </c>
      <c r="Q20" s="526">
        <f t="shared" si="7"/>
        <v>5.6120000000000001</v>
      </c>
      <c r="R20" s="526">
        <f t="shared" si="7"/>
        <v>5.6120000000000001</v>
      </c>
      <c r="S20" s="526">
        <f t="shared" si="7"/>
        <v>5.6120000000000001</v>
      </c>
      <c r="T20" s="526">
        <f t="shared" si="7"/>
        <v>0.48599999999999993</v>
      </c>
      <c r="U20" s="526">
        <f t="shared" si="7"/>
        <v>0.48599999999999993</v>
      </c>
      <c r="V20" s="526">
        <f t="shared" si="7"/>
        <v>0.48599999999999993</v>
      </c>
      <c r="W20" s="526">
        <f t="shared" si="7"/>
        <v>0.48599999999999993</v>
      </c>
      <c r="X20" s="526">
        <f t="shared" si="7"/>
        <v>0</v>
      </c>
      <c r="Y20" s="526">
        <f t="shared" si="7"/>
        <v>0</v>
      </c>
      <c r="Z20" s="526">
        <f t="shared" si="7"/>
        <v>0</v>
      </c>
      <c r="AA20" s="526">
        <f t="shared" si="7"/>
        <v>0</v>
      </c>
      <c r="AB20" s="526">
        <f t="shared" si="7"/>
        <v>0</v>
      </c>
      <c r="AC20" s="969">
        <f t="shared" si="7"/>
        <v>0</v>
      </c>
    </row>
    <row r="21" spans="1:78" x14ac:dyDescent="0.35">
      <c r="B21" s="185" t="s">
        <v>412</v>
      </c>
      <c r="C21" s="112" t="s">
        <v>251</v>
      </c>
      <c r="D21" s="810"/>
      <c r="E21" s="786"/>
      <c r="F21" s="787"/>
      <c r="G21" s="787"/>
      <c r="H21" s="347">
        <f>'Haver Pivoted'!GS55</f>
        <v>0</v>
      </c>
      <c r="I21" s="347">
        <f>'Haver Pivoted'!GT55</f>
        <v>0</v>
      </c>
      <c r="J21" s="347">
        <f>'Haver Pivoted'!GU55</f>
        <v>140</v>
      </c>
      <c r="K21" s="347">
        <f>'Haver Pivoted'!GV55</f>
        <v>140</v>
      </c>
      <c r="L21" s="347">
        <f>'Haver Pivoted'!GW55</f>
        <v>140</v>
      </c>
      <c r="M21" s="347">
        <f>'Haver Pivoted'!GX55</f>
        <v>8</v>
      </c>
      <c r="N21" s="347">
        <f>'Haver Pivoted'!GY55</f>
        <v>8</v>
      </c>
      <c r="O21" s="1230">
        <f>'Haver Pivoted'!GZ55</f>
        <v>0</v>
      </c>
      <c r="P21" s="526">
        <f t="shared" ref="P21:AC21" si="8">P36</f>
        <v>1.7329999999999999</v>
      </c>
      <c r="Q21" s="526">
        <f t="shared" si="8"/>
        <v>1.7329999999999999</v>
      </c>
      <c r="R21" s="526">
        <f t="shared" si="8"/>
        <v>1.7329999999999999</v>
      </c>
      <c r="S21" s="526">
        <f t="shared" si="8"/>
        <v>1.7329999999999999</v>
      </c>
      <c r="T21" s="526">
        <f t="shared" si="8"/>
        <v>0</v>
      </c>
      <c r="U21" s="526">
        <f t="shared" si="8"/>
        <v>0</v>
      </c>
      <c r="V21" s="526">
        <f t="shared" si="8"/>
        <v>0</v>
      </c>
      <c r="W21" s="526">
        <f t="shared" si="8"/>
        <v>0</v>
      </c>
      <c r="X21" s="526">
        <f t="shared" si="8"/>
        <v>0</v>
      </c>
      <c r="Y21" s="526">
        <f t="shared" si="8"/>
        <v>0</v>
      </c>
      <c r="Z21" s="526">
        <f t="shared" si="8"/>
        <v>0</v>
      </c>
      <c r="AA21" s="526">
        <f t="shared" si="8"/>
        <v>0</v>
      </c>
      <c r="AB21" s="526">
        <f t="shared" si="8"/>
        <v>0</v>
      </c>
      <c r="AC21" s="969">
        <f t="shared" si="8"/>
        <v>0</v>
      </c>
    </row>
    <row r="22" spans="1:78" s="518" customFormat="1" x14ac:dyDescent="0.35">
      <c r="B22" s="1271" t="s">
        <v>303</v>
      </c>
      <c r="C22" s="786"/>
      <c r="D22" s="1022"/>
      <c r="E22" s="786"/>
      <c r="F22" s="787"/>
      <c r="G22" s="787"/>
      <c r="H22" s="347"/>
      <c r="I22" s="347"/>
      <c r="J22" s="347"/>
      <c r="K22" s="347"/>
      <c r="L22" s="347"/>
      <c r="M22" s="347"/>
      <c r="N22" s="1269">
        <v>11.3</v>
      </c>
      <c r="O22" s="1270"/>
      <c r="P22" s="526">
        <f t="shared" ref="P22:AC22" si="9">P37+P30</f>
        <v>1.0687500000000001</v>
      </c>
      <c r="Q22" s="526">
        <f t="shared" si="9"/>
        <v>1.0687500000000001</v>
      </c>
      <c r="R22" s="526">
        <f t="shared" si="9"/>
        <v>1.0687500000000001</v>
      </c>
      <c r="S22" s="526">
        <f t="shared" si="9"/>
        <v>1.0687500000000001</v>
      </c>
      <c r="T22" s="526">
        <f t="shared" si="9"/>
        <v>0.78750000000000009</v>
      </c>
      <c r="U22" s="526">
        <f t="shared" si="9"/>
        <v>0.78750000000000009</v>
      </c>
      <c r="V22" s="526">
        <f t="shared" si="9"/>
        <v>0.78750000000000009</v>
      </c>
      <c r="W22" s="526">
        <f t="shared" si="9"/>
        <v>0.78750000000000009</v>
      </c>
      <c r="X22" s="526">
        <f t="shared" si="9"/>
        <v>0</v>
      </c>
      <c r="Y22" s="526">
        <f t="shared" si="9"/>
        <v>0</v>
      </c>
      <c r="Z22" s="526">
        <f t="shared" si="9"/>
        <v>0</v>
      </c>
      <c r="AA22" s="526">
        <f t="shared" si="9"/>
        <v>0</v>
      </c>
      <c r="AB22" s="526">
        <f t="shared" si="9"/>
        <v>0</v>
      </c>
      <c r="AC22" s="969">
        <f t="shared" si="9"/>
        <v>0</v>
      </c>
      <c r="AD22" s="527"/>
      <c r="AE22" s="527"/>
      <c r="AF22" s="527"/>
      <c r="AG22" s="527"/>
      <c r="AH22" s="527"/>
      <c r="AI22" s="527"/>
      <c r="AJ22" s="527"/>
      <c r="AK22" s="527"/>
      <c r="AL22" s="527"/>
      <c r="AM22" s="527"/>
      <c r="AN22" s="527"/>
      <c r="AO22" s="527"/>
      <c r="AP22" s="527"/>
      <c r="AQ22" s="527"/>
      <c r="AR22" s="527"/>
      <c r="AS22" s="527"/>
      <c r="AT22" s="527"/>
      <c r="AU22" s="527"/>
      <c r="AV22" s="527"/>
      <c r="AW22" s="527"/>
      <c r="AX22" s="527"/>
      <c r="AY22" s="527"/>
      <c r="AZ22" s="527"/>
      <c r="BA22" s="527"/>
      <c r="BB22" s="527"/>
      <c r="BC22" s="527"/>
      <c r="BD22" s="527"/>
      <c r="BE22" s="527"/>
      <c r="BF22" s="527"/>
      <c r="BG22" s="527"/>
      <c r="BH22" s="527"/>
      <c r="BI22" s="527"/>
      <c r="BJ22" s="527"/>
      <c r="BK22" s="527"/>
      <c r="BL22" s="527"/>
      <c r="BM22" s="527"/>
      <c r="BN22" s="527"/>
      <c r="BO22" s="527"/>
      <c r="BP22" s="527"/>
      <c r="BQ22" s="527"/>
      <c r="BR22" s="527"/>
      <c r="BS22" s="527"/>
      <c r="BT22" s="527"/>
      <c r="BU22" s="527"/>
      <c r="BV22" s="527"/>
      <c r="BW22" s="527"/>
      <c r="BX22" s="527"/>
      <c r="BY22" s="527"/>
      <c r="BZ22" s="527"/>
    </row>
    <row r="23" spans="1:78" s="518" customFormat="1" x14ac:dyDescent="0.35">
      <c r="B23" s="1271" t="s">
        <v>1142</v>
      </c>
      <c r="C23" s="786"/>
      <c r="D23" s="810"/>
      <c r="E23" s="786"/>
      <c r="F23" s="787"/>
      <c r="G23" s="787"/>
      <c r="H23" s="347"/>
      <c r="I23" s="347"/>
      <c r="J23" s="347"/>
      <c r="K23" s="347"/>
      <c r="L23" s="347"/>
      <c r="M23" s="347"/>
      <c r="N23" s="1269">
        <v>21.4</v>
      </c>
      <c r="O23" s="1270">
        <f>O38+O31</f>
        <v>160.92150000000004</v>
      </c>
      <c r="P23" s="526">
        <f t="shared" ref="P23:AC23" si="10">P38+P31</f>
        <v>1.7812500000000002</v>
      </c>
      <c r="Q23" s="526">
        <f t="shared" si="10"/>
        <v>1.7812500000000002</v>
      </c>
      <c r="R23" s="526">
        <f t="shared" si="10"/>
        <v>1.7812500000000002</v>
      </c>
      <c r="S23" s="526">
        <f t="shared" si="10"/>
        <v>1.7812500000000002</v>
      </c>
      <c r="T23" s="526">
        <f t="shared" si="10"/>
        <v>1.3125000000000002</v>
      </c>
      <c r="U23" s="526">
        <f t="shared" si="10"/>
        <v>1.3125000000000002</v>
      </c>
      <c r="V23" s="526">
        <f t="shared" si="10"/>
        <v>1.3125000000000002</v>
      </c>
      <c r="W23" s="526">
        <f t="shared" si="10"/>
        <v>1.3125000000000002</v>
      </c>
      <c r="X23" s="526">
        <f t="shared" si="10"/>
        <v>0</v>
      </c>
      <c r="Y23" s="526">
        <f t="shared" si="10"/>
        <v>0</v>
      </c>
      <c r="Z23" s="526">
        <f t="shared" si="10"/>
        <v>0</v>
      </c>
      <c r="AA23" s="526">
        <f t="shared" si="10"/>
        <v>0</v>
      </c>
      <c r="AB23" s="526">
        <f t="shared" si="10"/>
        <v>0</v>
      </c>
      <c r="AC23" s="969">
        <f t="shared" si="10"/>
        <v>0</v>
      </c>
      <c r="AD23" s="527"/>
      <c r="AE23" s="527"/>
      <c r="AF23" s="527"/>
      <c r="AG23" s="527"/>
      <c r="AH23" s="527"/>
      <c r="AI23" s="527"/>
      <c r="AJ23" s="527"/>
      <c r="AK23" s="527"/>
      <c r="AL23" s="527"/>
      <c r="AM23" s="527"/>
      <c r="AN23" s="527"/>
      <c r="AO23" s="527"/>
      <c r="AP23" s="527"/>
      <c r="AQ23" s="527"/>
      <c r="AR23" s="527"/>
      <c r="AS23" s="527"/>
      <c r="AT23" s="527"/>
      <c r="AU23" s="527"/>
      <c r="AV23" s="527"/>
      <c r="AW23" s="527"/>
      <c r="AX23" s="527"/>
      <c r="AY23" s="527"/>
      <c r="AZ23" s="527"/>
      <c r="BA23" s="527"/>
      <c r="BB23" s="527"/>
      <c r="BC23" s="527"/>
      <c r="BD23" s="527"/>
      <c r="BE23" s="527"/>
      <c r="BF23" s="527"/>
      <c r="BG23" s="527"/>
      <c r="BH23" s="527"/>
      <c r="BI23" s="527"/>
      <c r="BJ23" s="527"/>
      <c r="BK23" s="527"/>
      <c r="BL23" s="527"/>
      <c r="BM23" s="527"/>
      <c r="BN23" s="527"/>
      <c r="BO23" s="527"/>
      <c r="BP23" s="527"/>
      <c r="BQ23" s="527"/>
      <c r="BR23" s="527"/>
      <c r="BS23" s="527"/>
      <c r="BT23" s="527"/>
      <c r="BU23" s="527"/>
      <c r="BV23" s="527"/>
      <c r="BW23" s="527"/>
      <c r="BX23" s="527"/>
      <c r="BY23" s="527"/>
      <c r="BZ23" s="527"/>
    </row>
    <row r="24" spans="1:78" s="518" customFormat="1" x14ac:dyDescent="0.35">
      <c r="B24" s="917" t="s">
        <v>1181</v>
      </c>
      <c r="C24" s="786"/>
      <c r="D24" s="810"/>
      <c r="E24" s="786"/>
      <c r="F24" s="787"/>
      <c r="G24" s="787"/>
      <c r="H24" s="347"/>
      <c r="I24" s="347"/>
      <c r="J24" s="347"/>
      <c r="K24" s="347"/>
      <c r="L24" s="347"/>
      <c r="M24" s="347"/>
      <c r="N24" s="347"/>
      <c r="O24" s="1229">
        <f>O39+O40</f>
        <v>12.51648</v>
      </c>
      <c r="P24" s="526">
        <f t="shared" ref="P24:AC24" si="11">P39+P40</f>
        <v>92.908999999999992</v>
      </c>
      <c r="Q24" s="526">
        <f t="shared" si="11"/>
        <v>92.908999999999992</v>
      </c>
      <c r="R24" s="526">
        <f t="shared" si="11"/>
        <v>92.908999999999992</v>
      </c>
      <c r="S24" s="526">
        <f t="shared" si="11"/>
        <v>92.908999999999992</v>
      </c>
      <c r="T24" s="526">
        <f t="shared" si="11"/>
        <v>9.7759999999999998</v>
      </c>
      <c r="U24" s="526">
        <f t="shared" si="11"/>
        <v>9.7759999999999998</v>
      </c>
      <c r="V24" s="526">
        <f t="shared" si="11"/>
        <v>9.7759999999999998</v>
      </c>
      <c r="W24" s="526">
        <f t="shared" si="11"/>
        <v>9.7759999999999998</v>
      </c>
      <c r="X24" s="526">
        <f t="shared" si="11"/>
        <v>-0.67500000000000004</v>
      </c>
      <c r="Y24" s="526">
        <f t="shared" si="11"/>
        <v>-0.67500000000000004</v>
      </c>
      <c r="Z24" s="526">
        <f t="shared" si="11"/>
        <v>-0.67500000000000004</v>
      </c>
      <c r="AA24" s="526">
        <f t="shared" si="11"/>
        <v>-0.67500000000000004</v>
      </c>
      <c r="AB24" s="526">
        <f t="shared" si="11"/>
        <v>0</v>
      </c>
      <c r="AC24" s="969">
        <f t="shared" si="11"/>
        <v>0</v>
      </c>
      <c r="AD24" s="527"/>
      <c r="AE24" s="527"/>
      <c r="AF24" s="527"/>
      <c r="AG24" s="527"/>
      <c r="AH24" s="527"/>
      <c r="AI24" s="527"/>
      <c r="AJ24" s="527"/>
      <c r="AK24" s="527"/>
      <c r="AL24" s="527"/>
      <c r="AM24" s="527"/>
      <c r="AN24" s="527"/>
      <c r="AO24" s="527"/>
      <c r="AP24" s="527"/>
      <c r="AQ24" s="527"/>
      <c r="AR24" s="527"/>
      <c r="AS24" s="527"/>
      <c r="AT24" s="527"/>
      <c r="AU24" s="527"/>
      <c r="AV24" s="527"/>
      <c r="AW24" s="527"/>
      <c r="AX24" s="527"/>
      <c r="AY24" s="527"/>
      <c r="AZ24" s="527"/>
      <c r="BA24" s="527"/>
      <c r="BB24" s="527"/>
      <c r="BC24" s="527"/>
      <c r="BD24" s="527"/>
      <c r="BE24" s="527"/>
      <c r="BF24" s="527"/>
      <c r="BG24" s="527"/>
      <c r="BH24" s="527"/>
      <c r="BI24" s="527"/>
      <c r="BJ24" s="527"/>
      <c r="BK24" s="527"/>
      <c r="BL24" s="527"/>
      <c r="BM24" s="527"/>
      <c r="BN24" s="527"/>
      <c r="BO24" s="527"/>
      <c r="BP24" s="527"/>
      <c r="BQ24" s="527"/>
      <c r="BR24" s="527"/>
      <c r="BS24" s="527"/>
      <c r="BT24" s="527"/>
      <c r="BU24" s="527"/>
      <c r="BV24" s="527"/>
      <c r="BW24" s="527"/>
      <c r="BX24" s="527"/>
      <c r="BY24" s="527"/>
      <c r="BZ24" s="527"/>
    </row>
    <row r="25" spans="1:78" s="285" customFormat="1" x14ac:dyDescent="0.35">
      <c r="A25" s="362"/>
      <c r="B25" s="185" t="s">
        <v>497</v>
      </c>
      <c r="C25" s="112"/>
      <c r="D25" s="810"/>
      <c r="E25" s="786"/>
      <c r="F25" s="128"/>
      <c r="G25" s="128"/>
      <c r="H25" s="171"/>
      <c r="I25" s="171"/>
      <c r="J25" s="171"/>
      <c r="K25" s="171"/>
      <c r="L25" s="171"/>
      <c r="M25" s="171"/>
      <c r="N25" s="130"/>
      <c r="O25" s="1229">
        <f>O32</f>
        <v>12</v>
      </c>
      <c r="P25" s="888">
        <f t="shared" ref="P25:AC25" si="12">P32</f>
        <v>0</v>
      </c>
      <c r="Q25" s="888">
        <f t="shared" si="12"/>
        <v>0</v>
      </c>
      <c r="R25" s="888">
        <f t="shared" si="12"/>
        <v>0</v>
      </c>
      <c r="S25" s="888">
        <f t="shared" si="12"/>
        <v>0</v>
      </c>
      <c r="T25" s="888">
        <f t="shared" si="12"/>
        <v>0</v>
      </c>
      <c r="U25" s="888">
        <f t="shared" si="12"/>
        <v>0</v>
      </c>
      <c r="V25" s="888">
        <f t="shared" si="12"/>
        <v>0</v>
      </c>
      <c r="W25" s="888">
        <f t="shared" si="12"/>
        <v>0</v>
      </c>
      <c r="X25" s="888">
        <f t="shared" si="12"/>
        <v>0</v>
      </c>
      <c r="Y25" s="888">
        <f t="shared" si="12"/>
        <v>0</v>
      </c>
      <c r="Z25" s="888">
        <f t="shared" si="12"/>
        <v>0</v>
      </c>
      <c r="AA25" s="888">
        <f t="shared" si="12"/>
        <v>0</v>
      </c>
      <c r="AB25" s="888">
        <f t="shared" si="12"/>
        <v>0</v>
      </c>
      <c r="AC25" s="972">
        <f t="shared" si="12"/>
        <v>0</v>
      </c>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c r="BC25" s="191"/>
      <c r="BD25" s="191"/>
      <c r="BE25" s="191"/>
      <c r="BF25" s="191"/>
      <c r="BG25" s="191"/>
      <c r="BH25" s="191"/>
      <c r="BI25" s="191"/>
      <c r="BJ25" s="191"/>
      <c r="BK25" s="191"/>
      <c r="BL25" s="191"/>
      <c r="BM25" s="191"/>
      <c r="BN25" s="191"/>
      <c r="BO25" s="191"/>
      <c r="BP25" s="191"/>
      <c r="BQ25" s="191"/>
      <c r="BR25" s="191"/>
      <c r="BS25" s="191"/>
      <c r="BT25" s="191"/>
      <c r="BU25" s="191"/>
      <c r="BV25" s="191"/>
      <c r="BW25" s="191"/>
      <c r="BX25" s="191"/>
      <c r="BY25" s="191"/>
      <c r="BZ25" s="191"/>
    </row>
    <row r="26" spans="1:78" ht="15" customHeight="1" x14ac:dyDescent="0.35">
      <c r="B26" s="1418" t="s">
        <v>496</v>
      </c>
      <c r="C26" s="1419"/>
      <c r="D26" s="1262"/>
      <c r="E26" s="1263"/>
      <c r="F26" s="1263"/>
      <c r="G26" s="1263"/>
      <c r="H26" s="128"/>
      <c r="I26" s="128"/>
      <c r="J26" s="128"/>
      <c r="K26" s="128"/>
      <c r="L26" s="128"/>
      <c r="M26" s="128"/>
      <c r="N26" s="130"/>
      <c r="O26" s="1229"/>
      <c r="P26" s="526"/>
      <c r="Q26" s="526"/>
      <c r="R26" s="526"/>
      <c r="S26" s="526"/>
      <c r="T26" s="526"/>
      <c r="U26" s="526"/>
      <c r="V26" s="232"/>
      <c r="W26" s="232"/>
      <c r="X26" s="232"/>
      <c r="Y26" s="232"/>
      <c r="Z26" s="232"/>
      <c r="AA26" s="232"/>
      <c r="AB26" s="232"/>
      <c r="AC26" s="968"/>
    </row>
    <row r="27" spans="1:78" x14ac:dyDescent="0.35">
      <c r="B27" s="107" t="s">
        <v>545</v>
      </c>
      <c r="C27" s="82"/>
      <c r="D27" s="71"/>
      <c r="E27" s="132"/>
      <c r="F27" s="171"/>
      <c r="G27" s="171"/>
      <c r="H27" s="130"/>
      <c r="I27" s="130"/>
      <c r="J27" s="130"/>
      <c r="K27" s="130"/>
      <c r="L27" s="130"/>
      <c r="M27" s="130"/>
      <c r="N27" s="130">
        <f>SUM(N28:N32)</f>
        <v>23</v>
      </c>
      <c r="O27" s="1229">
        <f>SUM(O28:O32)</f>
        <v>162</v>
      </c>
      <c r="P27" s="526"/>
      <c r="Q27" s="526"/>
      <c r="R27" s="526"/>
      <c r="S27" s="526"/>
      <c r="T27" s="526"/>
      <c r="U27" s="526"/>
      <c r="V27" s="232"/>
      <c r="W27" s="232"/>
      <c r="X27" s="232"/>
      <c r="Y27" s="232"/>
      <c r="Z27" s="232"/>
      <c r="AA27" s="232"/>
      <c r="AB27" s="232"/>
      <c r="AC27" s="227"/>
    </row>
    <row r="28" spans="1:78" x14ac:dyDescent="0.35">
      <c r="B28" s="92" t="s">
        <v>498</v>
      </c>
      <c r="C28" s="82"/>
      <c r="D28" s="71"/>
      <c r="E28" s="132"/>
      <c r="F28" s="171"/>
      <c r="G28" s="171"/>
      <c r="H28" s="130"/>
      <c r="I28" s="130"/>
      <c r="J28" s="130"/>
      <c r="K28" s="130"/>
      <c r="L28" s="1264"/>
      <c r="M28" s="130"/>
      <c r="N28" s="130">
        <f>(4*'Response and Relief Act Score'!$F$15-$M$18)/2</f>
        <v>11</v>
      </c>
      <c r="O28" s="1229">
        <f>(4*'Response and Relief Act Score'!$F$15-$M$18)/2</f>
        <v>11</v>
      </c>
      <c r="P28" s="526"/>
      <c r="Q28" s="526"/>
      <c r="R28" s="526"/>
      <c r="S28" s="526"/>
      <c r="T28" s="526"/>
      <c r="U28" s="526"/>
      <c r="V28" s="232"/>
      <c r="W28" s="232"/>
      <c r="X28" s="232"/>
      <c r="Y28" s="232"/>
      <c r="Z28" s="232"/>
      <c r="AA28" s="232"/>
      <c r="AB28" s="232"/>
      <c r="AC28" s="227"/>
    </row>
    <row r="29" spans="1:78" s="285" customFormat="1" x14ac:dyDescent="0.35">
      <c r="A29" s="362"/>
      <c r="B29" s="92" t="s">
        <v>497</v>
      </c>
      <c r="C29" s="82"/>
      <c r="D29" s="71"/>
      <c r="E29" s="132"/>
      <c r="F29" s="171"/>
      <c r="G29" s="171"/>
      <c r="H29" s="130"/>
      <c r="I29" s="130"/>
      <c r="J29" s="130"/>
      <c r="K29" s="130"/>
      <c r="L29" s="1264"/>
      <c r="M29" s="130"/>
      <c r="N29" s="130"/>
      <c r="O29" s="1229"/>
      <c r="P29" s="526"/>
      <c r="Q29" s="526"/>
      <c r="R29" s="526"/>
      <c r="S29" s="526"/>
      <c r="T29" s="526"/>
      <c r="U29" s="526"/>
      <c r="V29" s="232"/>
      <c r="W29" s="232"/>
      <c r="X29" s="232"/>
      <c r="Y29" s="232"/>
      <c r="Z29" s="232"/>
      <c r="AA29" s="232"/>
      <c r="AB29" s="232"/>
      <c r="AC29" s="227"/>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c r="BC29" s="191"/>
      <c r="BD29" s="191"/>
      <c r="BE29" s="191"/>
      <c r="BF29" s="191"/>
      <c r="BG29" s="191"/>
      <c r="BH29" s="191"/>
      <c r="BI29" s="191"/>
      <c r="BJ29" s="191"/>
      <c r="BK29" s="191"/>
      <c r="BL29" s="191"/>
      <c r="BM29" s="191"/>
      <c r="BN29" s="191"/>
      <c r="BO29" s="191"/>
      <c r="BP29" s="191"/>
      <c r="BQ29" s="191"/>
      <c r="BR29" s="191"/>
      <c r="BS29" s="191"/>
      <c r="BT29" s="191"/>
      <c r="BU29" s="191"/>
      <c r="BV29" s="191"/>
      <c r="BW29" s="191"/>
      <c r="BX29" s="191"/>
      <c r="BY29" s="191"/>
      <c r="BZ29" s="191"/>
    </row>
    <row r="30" spans="1:78" x14ac:dyDescent="0.35">
      <c r="B30" s="276" t="s">
        <v>303</v>
      </c>
      <c r="C30" s="82"/>
      <c r="D30" s="71"/>
      <c r="E30" s="132"/>
      <c r="F30" s="171"/>
      <c r="G30" s="171"/>
      <c r="H30" s="130"/>
      <c r="I30" s="130"/>
      <c r="J30" s="130"/>
      <c r="K30" s="130"/>
      <c r="L30" s="130"/>
      <c r="M30" s="130"/>
      <c r="N30" s="130"/>
      <c r="O30" s="1229">
        <v>79</v>
      </c>
      <c r="P30" s="526"/>
      <c r="Q30" s="88"/>
      <c r="R30" s="88"/>
      <c r="S30" s="88"/>
      <c r="T30" s="88"/>
      <c r="U30" s="88"/>
      <c r="V30" s="232"/>
      <c r="W30" s="232"/>
      <c r="X30" s="232"/>
      <c r="Y30" s="232"/>
      <c r="Z30" s="232"/>
      <c r="AA30" s="232"/>
      <c r="AB30" s="232"/>
      <c r="AC30" s="227"/>
    </row>
    <row r="31" spans="1:78" x14ac:dyDescent="0.35">
      <c r="B31" s="281" t="s">
        <v>304</v>
      </c>
      <c r="C31" s="82"/>
      <c r="D31" s="71"/>
      <c r="E31" s="132"/>
      <c r="F31" s="171"/>
      <c r="G31" s="171"/>
      <c r="H31" s="130"/>
      <c r="I31" s="130"/>
      <c r="J31" s="130"/>
      <c r="K31" s="130"/>
      <c r="L31" s="130"/>
      <c r="M31" s="130"/>
      <c r="N31" s="130"/>
      <c r="O31" s="1229">
        <f>'Response and Relief Act Score'!F13*4</f>
        <v>60</v>
      </c>
      <c r="P31" s="526"/>
      <c r="Q31" s="88"/>
      <c r="R31" s="88"/>
      <c r="S31" s="88"/>
      <c r="T31" s="88"/>
      <c r="U31" s="88"/>
      <c r="V31" s="232"/>
      <c r="W31" s="232"/>
      <c r="X31" s="232"/>
      <c r="Y31" s="232"/>
      <c r="Z31" s="232"/>
      <c r="AA31" s="232"/>
      <c r="AB31" s="232"/>
      <c r="AC31" s="227"/>
    </row>
    <row r="32" spans="1:78" ht="28" x14ac:dyDescent="0.35">
      <c r="B32" s="281" t="s">
        <v>305</v>
      </c>
      <c r="C32" s="82"/>
      <c r="D32" s="71"/>
      <c r="E32" s="132"/>
      <c r="F32" s="171"/>
      <c r="G32" s="171"/>
      <c r="H32" s="130"/>
      <c r="I32" s="130"/>
      <c r="J32" s="130"/>
      <c r="K32" s="130"/>
      <c r="L32" s="1264"/>
      <c r="M32" s="130"/>
      <c r="N32" s="130">
        <f>'Response and Relief Act Score'!F14*4/2</f>
        <v>12</v>
      </c>
      <c r="O32" s="1229">
        <f>'Response and Relief Act Score'!F14*4/2</f>
        <v>12</v>
      </c>
      <c r="P32" s="526"/>
      <c r="Q32" s="526"/>
      <c r="R32" s="526"/>
      <c r="S32" s="526"/>
      <c r="T32" s="526"/>
      <c r="U32" s="526"/>
      <c r="V32" s="232"/>
      <c r="W32" s="232"/>
      <c r="X32" s="232"/>
      <c r="Y32" s="232"/>
      <c r="Z32" s="232"/>
      <c r="AA32" s="232"/>
      <c r="AB32" s="232"/>
      <c r="AC32" s="968"/>
    </row>
    <row r="33" spans="1:78" s="518" customFormat="1" x14ac:dyDescent="0.35">
      <c r="B33" s="1416" t="s">
        <v>1182</v>
      </c>
      <c r="C33" s="1417"/>
      <c r="D33" s="71"/>
      <c r="E33" s="132"/>
      <c r="F33" s="171"/>
      <c r="G33" s="171"/>
      <c r="H33" s="130"/>
      <c r="I33" s="130"/>
      <c r="J33" s="130"/>
      <c r="K33" s="130"/>
      <c r="L33" s="1264"/>
      <c r="M33" s="130"/>
      <c r="N33" s="130"/>
      <c r="O33" s="1229"/>
      <c r="P33" s="886"/>
      <c r="Q33" s="886"/>
      <c r="R33" s="886"/>
      <c r="S33" s="886"/>
      <c r="T33" s="886"/>
      <c r="U33" s="886"/>
      <c r="V33" s="889"/>
      <c r="W33" s="889"/>
      <c r="X33" s="889"/>
      <c r="Y33" s="889"/>
      <c r="Z33" s="889"/>
      <c r="AA33" s="889"/>
      <c r="AB33" s="889"/>
      <c r="AC33" s="480"/>
      <c r="AD33" s="527"/>
      <c r="AE33" s="527"/>
      <c r="AF33" s="527"/>
      <c r="AG33" s="527"/>
      <c r="AH33" s="527"/>
      <c r="AI33" s="527"/>
      <c r="AJ33" s="527"/>
      <c r="AK33" s="527"/>
      <c r="AL33" s="527"/>
      <c r="AM33" s="527"/>
      <c r="AN33" s="527"/>
      <c r="AO33" s="527"/>
      <c r="AP33" s="527"/>
      <c r="AQ33" s="527"/>
      <c r="AR33" s="527"/>
      <c r="AS33" s="527"/>
      <c r="AT33" s="527"/>
      <c r="AU33" s="527"/>
      <c r="AV33" s="527"/>
      <c r="AW33" s="527"/>
      <c r="AX33" s="527"/>
      <c r="AY33" s="527"/>
      <c r="AZ33" s="527"/>
      <c r="BA33" s="527"/>
      <c r="BB33" s="527"/>
      <c r="BC33" s="527"/>
      <c r="BD33" s="527"/>
      <c r="BE33" s="527"/>
      <c r="BF33" s="527"/>
      <c r="BG33" s="527"/>
      <c r="BH33" s="527"/>
      <c r="BI33" s="527"/>
      <c r="BJ33" s="527"/>
      <c r="BK33" s="527"/>
      <c r="BL33" s="527"/>
      <c r="BM33" s="527"/>
      <c r="BN33" s="527"/>
      <c r="BO33" s="527"/>
      <c r="BP33" s="527"/>
      <c r="BQ33" s="527"/>
      <c r="BR33" s="527"/>
      <c r="BS33" s="527"/>
      <c r="BT33" s="527"/>
      <c r="BU33" s="527"/>
      <c r="BV33" s="527"/>
      <c r="BW33" s="527"/>
      <c r="BX33" s="527"/>
      <c r="BY33" s="527"/>
      <c r="BZ33" s="527"/>
    </row>
    <row r="34" spans="1:78" s="518" customFormat="1" ht="13.5" customHeight="1" x14ac:dyDescent="0.35">
      <c r="B34" s="281" t="s">
        <v>407</v>
      </c>
      <c r="C34" s="82"/>
      <c r="D34" s="71"/>
      <c r="E34" s="132"/>
      <c r="F34" s="171"/>
      <c r="G34" s="171"/>
      <c r="H34" s="130"/>
      <c r="I34" s="130"/>
      <c r="J34" s="130"/>
      <c r="K34" s="130"/>
      <c r="L34" s="1264"/>
      <c r="M34" s="130">
        <f>'ARP Quarterly'!C18</f>
        <v>0</v>
      </c>
      <c r="N34" s="130">
        <f>'ARP Quarterly'!D18</f>
        <v>2.2132800000000001</v>
      </c>
      <c r="O34" s="1229">
        <f>'ARP Quarterly'!E18</f>
        <v>10.082720000000002</v>
      </c>
      <c r="P34" s="526">
        <f>'ARP Quarterly'!F18</f>
        <v>7.1439999999999992</v>
      </c>
      <c r="Q34" s="526">
        <f>'ARP Quarterly'!G18</f>
        <v>7.1439999999999992</v>
      </c>
      <c r="R34" s="526">
        <f>'ARP Quarterly'!H18</f>
        <v>7.1439999999999992</v>
      </c>
      <c r="S34" s="526">
        <f>'ARP Quarterly'!I18</f>
        <v>7.1439999999999992</v>
      </c>
      <c r="T34" s="526">
        <f>'ARP Quarterly'!J18</f>
        <v>0</v>
      </c>
      <c r="U34" s="526">
        <f>'ARP Quarterly'!K18</f>
        <v>0</v>
      </c>
      <c r="V34" s="526">
        <f>'ARP Quarterly'!L18</f>
        <v>0</v>
      </c>
      <c r="W34" s="526">
        <f>'ARP Quarterly'!M18</f>
        <v>0</v>
      </c>
      <c r="X34" s="526">
        <f>'ARP Quarterly'!N18</f>
        <v>0</v>
      </c>
      <c r="Y34" s="526">
        <f>'ARP Quarterly'!O18</f>
        <v>0</v>
      </c>
      <c r="Z34" s="526">
        <f>'ARP Quarterly'!P18</f>
        <v>0</v>
      </c>
      <c r="AA34" s="526">
        <f>'ARP Quarterly'!Q18</f>
        <v>0</v>
      </c>
      <c r="AB34" s="526">
        <f>'ARP Quarterly'!R18</f>
        <v>0</v>
      </c>
      <c r="AC34" s="969">
        <f>'ARP Quarterly'!S18</f>
        <v>0</v>
      </c>
      <c r="AD34" s="527"/>
      <c r="AE34" s="527"/>
      <c r="AF34" s="527"/>
      <c r="AG34" s="527"/>
      <c r="AH34" s="527"/>
      <c r="AI34" s="527"/>
      <c r="AJ34" s="527"/>
      <c r="AK34" s="527"/>
      <c r="AL34" s="527"/>
      <c r="AM34" s="527"/>
      <c r="AN34" s="527"/>
      <c r="AO34" s="527"/>
      <c r="AP34" s="527"/>
      <c r="AQ34" s="527"/>
      <c r="AR34" s="527"/>
      <c r="AS34" s="527"/>
      <c r="AT34" s="527"/>
      <c r="AU34" s="527"/>
      <c r="AV34" s="527"/>
      <c r="AW34" s="527"/>
      <c r="AX34" s="527"/>
      <c r="AY34" s="527"/>
      <c r="AZ34" s="527"/>
      <c r="BA34" s="527"/>
      <c r="BB34" s="527"/>
      <c r="BC34" s="527"/>
      <c r="BD34" s="527"/>
      <c r="BE34" s="527"/>
      <c r="BF34" s="527"/>
      <c r="BG34" s="527"/>
      <c r="BH34" s="527"/>
      <c r="BI34" s="527"/>
      <c r="BJ34" s="527"/>
      <c r="BK34" s="527"/>
      <c r="BL34" s="527"/>
      <c r="BM34" s="527"/>
      <c r="BN34" s="527"/>
      <c r="BO34" s="527"/>
      <c r="BP34" s="527"/>
      <c r="BQ34" s="527"/>
      <c r="BR34" s="527"/>
      <c r="BS34" s="527"/>
      <c r="BT34" s="527"/>
      <c r="BU34" s="527"/>
      <c r="BV34" s="527"/>
      <c r="BW34" s="527"/>
      <c r="BX34" s="527"/>
      <c r="BY34" s="527"/>
      <c r="BZ34" s="527"/>
    </row>
    <row r="35" spans="1:78" s="518" customFormat="1" x14ac:dyDescent="0.35">
      <c r="B35" s="281" t="s">
        <v>1183</v>
      </c>
      <c r="C35" s="82"/>
      <c r="D35" s="71"/>
      <c r="E35" s="132"/>
      <c r="F35" s="171"/>
      <c r="G35" s="171"/>
      <c r="H35" s="130"/>
      <c r="I35" s="130"/>
      <c r="J35" s="130"/>
      <c r="K35" s="130"/>
      <c r="L35" s="1264"/>
      <c r="M35" s="130">
        <f>'ARP Quarterly'!C19</f>
        <v>0</v>
      </c>
      <c r="N35" s="130">
        <f>'ARP Quarterly'!D19</f>
        <v>15.128640000000001</v>
      </c>
      <c r="O35" s="1229">
        <f>'ARP Quarterly'!E19</f>
        <v>68.919360000000012</v>
      </c>
      <c r="P35" s="526">
        <f>'ARP Quarterly'!F19</f>
        <v>5.6120000000000001</v>
      </c>
      <c r="Q35" s="526">
        <f>'ARP Quarterly'!G19</f>
        <v>5.6120000000000001</v>
      </c>
      <c r="R35" s="526">
        <f>'ARP Quarterly'!H19</f>
        <v>5.6120000000000001</v>
      </c>
      <c r="S35" s="526">
        <f>'ARP Quarterly'!I19</f>
        <v>5.6120000000000001</v>
      </c>
      <c r="T35" s="526">
        <f>'ARP Quarterly'!J19</f>
        <v>0.48599999999999993</v>
      </c>
      <c r="U35" s="526">
        <f>'ARP Quarterly'!K19</f>
        <v>0.48599999999999993</v>
      </c>
      <c r="V35" s="526">
        <f>'ARP Quarterly'!L19</f>
        <v>0.48599999999999993</v>
      </c>
      <c r="W35" s="526">
        <f>'ARP Quarterly'!M19</f>
        <v>0.48599999999999993</v>
      </c>
      <c r="X35" s="526">
        <f>'ARP Quarterly'!N19</f>
        <v>0</v>
      </c>
      <c r="Y35" s="526">
        <f>'ARP Quarterly'!O19</f>
        <v>0</v>
      </c>
      <c r="Z35" s="526">
        <f>'ARP Quarterly'!P19</f>
        <v>0</v>
      </c>
      <c r="AA35" s="526">
        <f>'ARP Quarterly'!Q19</f>
        <v>0</v>
      </c>
      <c r="AB35" s="526">
        <f>'ARP Quarterly'!R19</f>
        <v>0</v>
      </c>
      <c r="AC35" s="969">
        <f>'ARP Quarterly'!S19</f>
        <v>0</v>
      </c>
      <c r="AD35" s="527"/>
      <c r="AE35" s="527"/>
      <c r="AF35" s="527"/>
      <c r="AG35" s="527"/>
      <c r="AH35" s="527"/>
      <c r="AI35" s="527"/>
      <c r="AJ35" s="527"/>
      <c r="AK35" s="527"/>
      <c r="AL35" s="527"/>
      <c r="AM35" s="527"/>
      <c r="AN35" s="527"/>
      <c r="AO35" s="527"/>
      <c r="AP35" s="527"/>
      <c r="AQ35" s="527"/>
      <c r="AR35" s="527"/>
      <c r="AS35" s="527"/>
      <c r="AT35" s="527"/>
      <c r="AU35" s="527"/>
      <c r="AV35" s="527"/>
      <c r="AW35" s="527"/>
      <c r="AX35" s="527"/>
      <c r="AY35" s="527"/>
      <c r="AZ35" s="527"/>
      <c r="BA35" s="527"/>
      <c r="BB35" s="527"/>
      <c r="BC35" s="527"/>
      <c r="BD35" s="527"/>
      <c r="BE35" s="527"/>
      <c r="BF35" s="527"/>
      <c r="BG35" s="527"/>
      <c r="BH35" s="527"/>
      <c r="BI35" s="527"/>
      <c r="BJ35" s="527"/>
      <c r="BK35" s="527"/>
      <c r="BL35" s="527"/>
      <c r="BM35" s="527"/>
      <c r="BN35" s="527"/>
      <c r="BO35" s="527"/>
      <c r="BP35" s="527"/>
      <c r="BQ35" s="527"/>
      <c r="BR35" s="527"/>
      <c r="BS35" s="527"/>
      <c r="BT35" s="527"/>
      <c r="BU35" s="527"/>
      <c r="BV35" s="527"/>
      <c r="BW35" s="527"/>
      <c r="BX35" s="527"/>
      <c r="BY35" s="527"/>
      <c r="BZ35" s="527"/>
    </row>
    <row r="36" spans="1:78" s="518" customFormat="1" x14ac:dyDescent="0.35">
      <c r="B36" s="281" t="s">
        <v>412</v>
      </c>
      <c r="C36" s="82"/>
      <c r="D36" s="71"/>
      <c r="E36" s="132"/>
      <c r="F36" s="171"/>
      <c r="G36" s="171"/>
      <c r="H36" s="130"/>
      <c r="I36" s="130"/>
      <c r="J36" s="130"/>
      <c r="K36" s="130"/>
      <c r="L36" s="1264"/>
      <c r="M36" s="130">
        <f>'ARP Quarterly'!C20</f>
        <v>0</v>
      </c>
      <c r="N36" s="130">
        <f>'ARP Quarterly'!D20</f>
        <v>3.2479199999999997</v>
      </c>
      <c r="O36" s="1229">
        <f>'ARP Quarterly'!E20</f>
        <v>14.796080000000002</v>
      </c>
      <c r="P36" s="526">
        <f>'ARP Quarterly'!F20</f>
        <v>1.7329999999999999</v>
      </c>
      <c r="Q36" s="526">
        <f>'ARP Quarterly'!G20</f>
        <v>1.7329999999999999</v>
      </c>
      <c r="R36" s="526">
        <f>'ARP Quarterly'!H20</f>
        <v>1.7329999999999999</v>
      </c>
      <c r="S36" s="526">
        <f>'ARP Quarterly'!I20</f>
        <v>1.7329999999999999</v>
      </c>
      <c r="T36" s="526">
        <f>'ARP Quarterly'!J20</f>
        <v>0</v>
      </c>
      <c r="U36" s="526">
        <f>'ARP Quarterly'!K20</f>
        <v>0</v>
      </c>
      <c r="V36" s="526">
        <f>'ARP Quarterly'!L20</f>
        <v>0</v>
      </c>
      <c r="W36" s="526">
        <f>'ARP Quarterly'!M20</f>
        <v>0</v>
      </c>
      <c r="X36" s="526">
        <f>'ARP Quarterly'!N20</f>
        <v>0</v>
      </c>
      <c r="Y36" s="526">
        <f>'ARP Quarterly'!O20</f>
        <v>0</v>
      </c>
      <c r="Z36" s="526">
        <f>'ARP Quarterly'!P20</f>
        <v>0</v>
      </c>
      <c r="AA36" s="526">
        <f>'ARP Quarterly'!Q20</f>
        <v>0</v>
      </c>
      <c r="AB36" s="526">
        <f>'ARP Quarterly'!R20</f>
        <v>0</v>
      </c>
      <c r="AC36" s="969">
        <f>'ARP Quarterly'!S20</f>
        <v>0</v>
      </c>
      <c r="AD36" s="527"/>
      <c r="AE36" s="527"/>
      <c r="AF36" s="527"/>
      <c r="AG36" s="527"/>
      <c r="AH36" s="527"/>
      <c r="AI36" s="527"/>
      <c r="AJ36" s="527"/>
      <c r="AK36" s="527"/>
      <c r="AL36" s="527"/>
      <c r="AM36" s="527"/>
      <c r="AN36" s="527"/>
      <c r="AO36" s="527"/>
      <c r="AP36" s="527"/>
      <c r="AQ36" s="527"/>
      <c r="AR36" s="527"/>
      <c r="AS36" s="527"/>
      <c r="AT36" s="527"/>
      <c r="AU36" s="527"/>
      <c r="AV36" s="527"/>
      <c r="AW36" s="527"/>
      <c r="AX36" s="527"/>
      <c r="AY36" s="527"/>
      <c r="AZ36" s="527"/>
      <c r="BA36" s="527"/>
      <c r="BB36" s="527"/>
      <c r="BC36" s="527"/>
      <c r="BD36" s="527"/>
      <c r="BE36" s="527"/>
      <c r="BF36" s="527"/>
      <c r="BG36" s="527"/>
      <c r="BH36" s="527"/>
      <c r="BI36" s="527"/>
      <c r="BJ36" s="527"/>
      <c r="BK36" s="527"/>
      <c r="BL36" s="527"/>
      <c r="BM36" s="527"/>
      <c r="BN36" s="527"/>
      <c r="BO36" s="527"/>
      <c r="BP36" s="527"/>
      <c r="BQ36" s="527"/>
      <c r="BR36" s="527"/>
      <c r="BS36" s="527"/>
      <c r="BT36" s="527"/>
      <c r="BU36" s="527"/>
      <c r="BV36" s="527"/>
      <c r="BW36" s="527"/>
      <c r="BX36" s="527"/>
      <c r="BY36" s="527"/>
      <c r="BZ36" s="527"/>
    </row>
    <row r="37" spans="1:78" s="518" customFormat="1" x14ac:dyDescent="0.35">
      <c r="B37" s="281" t="s">
        <v>303</v>
      </c>
      <c r="C37" s="82"/>
      <c r="D37" s="71"/>
      <c r="E37" s="132"/>
      <c r="F37" s="171"/>
      <c r="G37" s="171"/>
      <c r="H37" s="130"/>
      <c r="I37" s="130"/>
      <c r="J37" s="130"/>
      <c r="K37" s="130"/>
      <c r="L37" s="1264"/>
      <c r="M37" s="130">
        <f>'ARP Quarterly'!C21</f>
        <v>0</v>
      </c>
      <c r="N37" s="130">
        <f>'ARP Quarterly'!D21</f>
        <v>13.2921</v>
      </c>
      <c r="O37" s="1229">
        <f>'ARP Quarterly'!E21</f>
        <v>60.552900000000008</v>
      </c>
      <c r="P37" s="526">
        <f>'ARP Quarterly'!F21</f>
        <v>1.0687500000000001</v>
      </c>
      <c r="Q37" s="526">
        <f>'ARP Quarterly'!G21</f>
        <v>1.0687500000000001</v>
      </c>
      <c r="R37" s="526">
        <f>'ARP Quarterly'!H21</f>
        <v>1.0687500000000001</v>
      </c>
      <c r="S37" s="526">
        <f>'ARP Quarterly'!I21</f>
        <v>1.0687500000000001</v>
      </c>
      <c r="T37" s="526">
        <f>'ARP Quarterly'!J21</f>
        <v>0.78750000000000009</v>
      </c>
      <c r="U37" s="526">
        <f>'ARP Quarterly'!K21</f>
        <v>0.78750000000000009</v>
      </c>
      <c r="V37" s="526">
        <f>'ARP Quarterly'!L21</f>
        <v>0.78750000000000009</v>
      </c>
      <c r="W37" s="526">
        <f>'ARP Quarterly'!M21</f>
        <v>0.78750000000000009</v>
      </c>
      <c r="X37" s="526">
        <f>'ARP Quarterly'!N21</f>
        <v>0</v>
      </c>
      <c r="Y37" s="526">
        <f>'ARP Quarterly'!O21</f>
        <v>0</v>
      </c>
      <c r="Z37" s="526">
        <f>'ARP Quarterly'!P21</f>
        <v>0</v>
      </c>
      <c r="AA37" s="526">
        <f>'ARP Quarterly'!Q21</f>
        <v>0</v>
      </c>
      <c r="AB37" s="526">
        <f>'ARP Quarterly'!R21</f>
        <v>0</v>
      </c>
      <c r="AC37" s="969">
        <f>'ARP Quarterly'!S21</f>
        <v>0</v>
      </c>
      <c r="AD37" s="527"/>
      <c r="AE37" s="527"/>
      <c r="AF37" s="527"/>
      <c r="AG37" s="527"/>
      <c r="AH37" s="527"/>
      <c r="AI37" s="527"/>
      <c r="AJ37" s="527"/>
      <c r="AK37" s="527"/>
      <c r="AL37" s="527"/>
      <c r="AM37" s="527"/>
      <c r="AN37" s="527"/>
      <c r="AO37" s="527"/>
      <c r="AP37" s="527"/>
      <c r="AQ37" s="527"/>
      <c r="AR37" s="527"/>
      <c r="AS37" s="527"/>
      <c r="AT37" s="527"/>
      <c r="AU37" s="527"/>
      <c r="AV37" s="527"/>
      <c r="AW37" s="527"/>
      <c r="AX37" s="527"/>
      <c r="AY37" s="527"/>
      <c r="AZ37" s="527"/>
      <c r="BA37" s="527"/>
      <c r="BB37" s="527"/>
      <c r="BC37" s="527"/>
      <c r="BD37" s="527"/>
      <c r="BE37" s="527"/>
      <c r="BF37" s="527"/>
      <c r="BG37" s="527"/>
      <c r="BH37" s="527"/>
      <c r="BI37" s="527"/>
      <c r="BJ37" s="527"/>
      <c r="BK37" s="527"/>
      <c r="BL37" s="527"/>
      <c r="BM37" s="527"/>
      <c r="BN37" s="527"/>
      <c r="BO37" s="527"/>
      <c r="BP37" s="527"/>
      <c r="BQ37" s="527"/>
      <c r="BR37" s="527"/>
      <c r="BS37" s="527"/>
      <c r="BT37" s="527"/>
      <c r="BU37" s="527"/>
      <c r="BV37" s="527"/>
      <c r="BW37" s="527"/>
      <c r="BX37" s="527"/>
      <c r="BY37" s="527"/>
      <c r="BZ37" s="527"/>
    </row>
    <row r="38" spans="1:78" s="518" customFormat="1" ht="30" customHeight="1" x14ac:dyDescent="0.35">
      <c r="B38" s="281" t="s">
        <v>1184</v>
      </c>
      <c r="C38" s="82"/>
      <c r="D38" s="71"/>
      <c r="E38" s="132"/>
      <c r="F38" s="171"/>
      <c r="G38" s="171"/>
      <c r="H38" s="130"/>
      <c r="I38" s="130"/>
      <c r="J38" s="130"/>
      <c r="K38" s="130"/>
      <c r="L38" s="1264"/>
      <c r="M38" s="130">
        <f>'ARP Quarterly'!C22</f>
        <v>0</v>
      </c>
      <c r="N38" s="130">
        <f>'ARP Quarterly'!D22</f>
        <v>22.153499999999998</v>
      </c>
      <c r="O38" s="1229">
        <f>'ARP Quarterly'!E22</f>
        <v>100.92150000000002</v>
      </c>
      <c r="P38" s="526">
        <f>'ARP Quarterly'!F22</f>
        <v>1.7812500000000002</v>
      </c>
      <c r="Q38" s="526">
        <f>'ARP Quarterly'!G22</f>
        <v>1.7812500000000002</v>
      </c>
      <c r="R38" s="526">
        <f>'ARP Quarterly'!H22</f>
        <v>1.7812500000000002</v>
      </c>
      <c r="S38" s="526">
        <f>'ARP Quarterly'!I22</f>
        <v>1.7812500000000002</v>
      </c>
      <c r="T38" s="526">
        <f>'ARP Quarterly'!J22</f>
        <v>1.3125000000000002</v>
      </c>
      <c r="U38" s="526">
        <f>'ARP Quarterly'!K22</f>
        <v>1.3125000000000002</v>
      </c>
      <c r="V38" s="526">
        <f>'ARP Quarterly'!L22</f>
        <v>1.3125000000000002</v>
      </c>
      <c r="W38" s="526">
        <f>'ARP Quarterly'!M22</f>
        <v>1.3125000000000002</v>
      </c>
      <c r="X38" s="526">
        <f>'ARP Quarterly'!N22</f>
        <v>0</v>
      </c>
      <c r="Y38" s="526">
        <f>'ARP Quarterly'!O22</f>
        <v>0</v>
      </c>
      <c r="Z38" s="526">
        <f>'ARP Quarterly'!P22</f>
        <v>0</v>
      </c>
      <c r="AA38" s="526">
        <f>'ARP Quarterly'!Q22</f>
        <v>0</v>
      </c>
      <c r="AB38" s="526">
        <f>'ARP Quarterly'!R22</f>
        <v>0</v>
      </c>
      <c r="AC38" s="969">
        <f>'ARP Quarterly'!S22</f>
        <v>0</v>
      </c>
      <c r="AD38" s="527"/>
      <c r="AE38" s="527"/>
      <c r="AF38" s="527"/>
      <c r="AG38" s="527"/>
      <c r="AH38" s="527"/>
      <c r="AI38" s="527"/>
      <c r="AJ38" s="527"/>
      <c r="AK38" s="527"/>
      <c r="AL38" s="527"/>
      <c r="AM38" s="527"/>
      <c r="AN38" s="527"/>
      <c r="AO38" s="527"/>
      <c r="AP38" s="527"/>
      <c r="AQ38" s="527"/>
      <c r="AR38" s="527"/>
      <c r="AS38" s="527"/>
      <c r="AT38" s="527"/>
      <c r="AU38" s="527"/>
      <c r="AV38" s="527"/>
      <c r="AW38" s="527"/>
      <c r="AX38" s="527"/>
      <c r="AY38" s="527"/>
      <c r="AZ38" s="527"/>
      <c r="BA38" s="527"/>
      <c r="BB38" s="527"/>
      <c r="BC38" s="527"/>
      <c r="BD38" s="527"/>
      <c r="BE38" s="527"/>
      <c r="BF38" s="527"/>
      <c r="BG38" s="527"/>
      <c r="BH38" s="527"/>
      <c r="BI38" s="527"/>
      <c r="BJ38" s="527"/>
      <c r="BK38" s="527"/>
      <c r="BL38" s="527"/>
      <c r="BM38" s="527"/>
      <c r="BN38" s="527"/>
      <c r="BO38" s="527"/>
      <c r="BP38" s="527"/>
      <c r="BQ38" s="527"/>
      <c r="BR38" s="527"/>
      <c r="BS38" s="527"/>
      <c r="BT38" s="527"/>
      <c r="BU38" s="527"/>
      <c r="BV38" s="527"/>
      <c r="BW38" s="527"/>
      <c r="BX38" s="527"/>
      <c r="BY38" s="527"/>
      <c r="BZ38" s="527"/>
    </row>
    <row r="39" spans="1:78" s="518" customFormat="1" x14ac:dyDescent="0.35">
      <c r="B39" s="281" t="s">
        <v>93</v>
      </c>
      <c r="C39" s="82"/>
      <c r="D39" s="71"/>
      <c r="E39" s="132"/>
      <c r="F39" s="171"/>
      <c r="G39" s="171"/>
      <c r="H39" s="130"/>
      <c r="I39" s="130"/>
      <c r="J39" s="130"/>
      <c r="K39" s="130"/>
      <c r="L39" s="1264"/>
      <c r="M39" s="130">
        <f>'ARP Quarterly'!C23</f>
        <v>0</v>
      </c>
      <c r="N39" s="130">
        <f>'ARP Quarterly'!D23</f>
        <v>2.9519999999999995</v>
      </c>
      <c r="O39" s="1229">
        <f>'ARP Quarterly'!E23</f>
        <v>13.448</v>
      </c>
      <c r="P39" s="526">
        <f>'ARP Quarterly'!F23</f>
        <v>11.3</v>
      </c>
      <c r="Q39" s="526">
        <f>'ARP Quarterly'!G23</f>
        <v>11.3</v>
      </c>
      <c r="R39" s="526">
        <f>'ARP Quarterly'!H23</f>
        <v>11.3</v>
      </c>
      <c r="S39" s="526">
        <f>'ARP Quarterly'!I23</f>
        <v>11.3</v>
      </c>
      <c r="T39" s="526">
        <f>'ARP Quarterly'!J23</f>
        <v>8.4</v>
      </c>
      <c r="U39" s="526">
        <f>'ARP Quarterly'!K23</f>
        <v>8.4</v>
      </c>
      <c r="V39" s="526">
        <f>'ARP Quarterly'!L23</f>
        <v>8.4</v>
      </c>
      <c r="W39" s="526">
        <f>'ARP Quarterly'!M23</f>
        <v>8.4</v>
      </c>
      <c r="X39" s="526">
        <f>'ARP Quarterly'!N23</f>
        <v>0.2</v>
      </c>
      <c r="Y39" s="526">
        <f>'ARP Quarterly'!O23</f>
        <v>0.2</v>
      </c>
      <c r="Z39" s="526">
        <f>'ARP Quarterly'!P23</f>
        <v>0.2</v>
      </c>
      <c r="AA39" s="526">
        <f>'ARP Quarterly'!Q23</f>
        <v>0.2</v>
      </c>
      <c r="AB39" s="526">
        <f>'ARP Quarterly'!R23</f>
        <v>0</v>
      </c>
      <c r="AC39" s="969">
        <f>'ARP Quarterly'!S23</f>
        <v>0</v>
      </c>
      <c r="AD39" s="527"/>
      <c r="AE39" s="527"/>
      <c r="AF39" s="527"/>
      <c r="AG39" s="527"/>
      <c r="AH39" s="527"/>
      <c r="AI39" s="527"/>
      <c r="AJ39" s="527"/>
      <c r="AK39" s="527"/>
      <c r="AL39" s="527"/>
      <c r="AM39" s="527"/>
      <c r="AN39" s="527"/>
      <c r="AO39" s="527"/>
      <c r="AP39" s="527"/>
      <c r="AQ39" s="527"/>
      <c r="AR39" s="527"/>
      <c r="AS39" s="527"/>
      <c r="AT39" s="527"/>
      <c r="AU39" s="527"/>
      <c r="AV39" s="527"/>
      <c r="AW39" s="527"/>
      <c r="AX39" s="527"/>
      <c r="AY39" s="527"/>
      <c r="AZ39" s="527"/>
      <c r="BA39" s="527"/>
      <c r="BB39" s="527"/>
      <c r="BC39" s="527"/>
      <c r="BD39" s="527"/>
      <c r="BE39" s="527"/>
      <c r="BF39" s="527"/>
      <c r="BG39" s="527"/>
      <c r="BH39" s="527"/>
      <c r="BI39" s="527"/>
      <c r="BJ39" s="527"/>
      <c r="BK39" s="527"/>
      <c r="BL39" s="527"/>
      <c r="BM39" s="527"/>
      <c r="BN39" s="527"/>
      <c r="BO39" s="527"/>
      <c r="BP39" s="527"/>
      <c r="BQ39" s="527"/>
      <c r="BR39" s="527"/>
      <c r="BS39" s="527"/>
      <c r="BT39" s="527"/>
      <c r="BU39" s="527"/>
      <c r="BV39" s="527"/>
      <c r="BW39" s="527"/>
      <c r="BX39" s="527"/>
      <c r="BY39" s="527"/>
      <c r="BZ39" s="527"/>
    </row>
    <row r="40" spans="1:78" s="518" customFormat="1" x14ac:dyDescent="0.35">
      <c r="B40" s="281" t="s">
        <v>1166</v>
      </c>
      <c r="C40" s="82"/>
      <c r="D40" s="71"/>
      <c r="E40" s="132"/>
      <c r="F40" s="171"/>
      <c r="G40" s="171"/>
      <c r="H40" s="130"/>
      <c r="I40" s="130"/>
      <c r="J40" s="130"/>
      <c r="K40" s="130"/>
      <c r="L40" s="1264"/>
      <c r="M40" s="130">
        <f>'ARP Quarterly'!C24</f>
        <v>0</v>
      </c>
      <c r="N40" s="130">
        <f>'ARP Quarterly'!D24</f>
        <v>-0.20447999999999997</v>
      </c>
      <c r="O40" s="1229">
        <f>'ARP Quarterly'!E24</f>
        <v>-0.93152000000000001</v>
      </c>
      <c r="P40" s="526">
        <f>'ARP Quarterly'!F24</f>
        <v>81.608999999999995</v>
      </c>
      <c r="Q40" s="526">
        <f>'ARP Quarterly'!G24</f>
        <v>81.608999999999995</v>
      </c>
      <c r="R40" s="526">
        <f>'ARP Quarterly'!H24</f>
        <v>81.608999999999995</v>
      </c>
      <c r="S40" s="526">
        <f>'ARP Quarterly'!I24</f>
        <v>81.608999999999995</v>
      </c>
      <c r="T40" s="526">
        <f>'ARP Quarterly'!J24</f>
        <v>1.3759999999999999</v>
      </c>
      <c r="U40" s="526">
        <f>'ARP Quarterly'!K24</f>
        <v>1.3759999999999999</v>
      </c>
      <c r="V40" s="526">
        <f>'ARP Quarterly'!L24</f>
        <v>1.3759999999999999</v>
      </c>
      <c r="W40" s="526">
        <f>'ARP Quarterly'!M24</f>
        <v>1.3759999999999999</v>
      </c>
      <c r="X40" s="526">
        <f>'ARP Quarterly'!N24</f>
        <v>-0.87500000000000011</v>
      </c>
      <c r="Y40" s="526">
        <f>'ARP Quarterly'!O24</f>
        <v>-0.87500000000000011</v>
      </c>
      <c r="Z40" s="526">
        <f>'ARP Quarterly'!P24</f>
        <v>-0.87500000000000011</v>
      </c>
      <c r="AA40" s="526">
        <f>'ARP Quarterly'!Q24</f>
        <v>-0.87500000000000011</v>
      </c>
      <c r="AB40" s="526">
        <f>'ARP Quarterly'!R24</f>
        <v>0</v>
      </c>
      <c r="AC40" s="969">
        <f>'ARP Quarterly'!S24</f>
        <v>0</v>
      </c>
      <c r="AD40" s="527"/>
      <c r="AE40" s="527"/>
      <c r="AF40" s="527"/>
      <c r="AG40" s="527"/>
      <c r="AH40" s="527"/>
      <c r="AI40" s="527"/>
      <c r="AJ40" s="527"/>
      <c r="AK40" s="527"/>
      <c r="AL40" s="527"/>
      <c r="AM40" s="527"/>
      <c r="AN40" s="527"/>
      <c r="AO40" s="527"/>
      <c r="AP40" s="527"/>
      <c r="AQ40" s="527"/>
      <c r="AR40" s="527"/>
      <c r="AS40" s="527"/>
      <c r="AT40" s="527"/>
      <c r="AU40" s="527"/>
      <c r="AV40" s="527"/>
      <c r="AW40" s="527"/>
      <c r="AX40" s="527"/>
      <c r="AY40" s="527"/>
      <c r="AZ40" s="527"/>
      <c r="BA40" s="527"/>
      <c r="BB40" s="527"/>
      <c r="BC40" s="527"/>
      <c r="BD40" s="527"/>
      <c r="BE40" s="527"/>
      <c r="BF40" s="527"/>
      <c r="BG40" s="527"/>
      <c r="BH40" s="527"/>
      <c r="BI40" s="527"/>
      <c r="BJ40" s="527"/>
      <c r="BK40" s="527"/>
      <c r="BL40" s="527"/>
      <c r="BM40" s="527"/>
      <c r="BN40" s="527"/>
      <c r="BO40" s="527"/>
      <c r="BP40" s="527"/>
      <c r="BQ40" s="527"/>
      <c r="BR40" s="527"/>
      <c r="BS40" s="527"/>
      <c r="BT40" s="527"/>
      <c r="BU40" s="527"/>
      <c r="BV40" s="527"/>
      <c r="BW40" s="527"/>
      <c r="BX40" s="527"/>
      <c r="BY40" s="527"/>
      <c r="BZ40" s="527"/>
    </row>
    <row r="41" spans="1:78" s="518" customFormat="1" x14ac:dyDescent="0.35">
      <c r="B41" s="281" t="s">
        <v>5</v>
      </c>
      <c r="C41" s="82"/>
      <c r="D41" s="71"/>
      <c r="E41" s="132"/>
      <c r="F41" s="171"/>
      <c r="G41" s="171"/>
      <c r="H41" s="130"/>
      <c r="I41" s="130"/>
      <c r="J41" s="130"/>
      <c r="K41" s="130"/>
      <c r="L41" s="1264"/>
      <c r="M41" s="130">
        <f>'ARP Quarterly'!C25</f>
        <v>0</v>
      </c>
      <c r="N41" s="130">
        <f>'ARP Quarterly'!D25</f>
        <v>58.782959999999996</v>
      </c>
      <c r="O41" s="1229">
        <f>'ARP Quarterly'!E25</f>
        <v>267.78904000000006</v>
      </c>
      <c r="P41" s="526">
        <f>'ARP Quarterly'!F25</f>
        <v>110.24799999999999</v>
      </c>
      <c r="Q41" s="526">
        <f>'ARP Quarterly'!G25</f>
        <v>110.24799999999999</v>
      </c>
      <c r="R41" s="526">
        <f>'ARP Quarterly'!H25</f>
        <v>110.24799999999999</v>
      </c>
      <c r="S41" s="526">
        <f>'ARP Quarterly'!I25</f>
        <v>110.24799999999999</v>
      </c>
      <c r="T41" s="526">
        <f>'ARP Quarterly'!J25</f>
        <v>12.362</v>
      </c>
      <c r="U41" s="526">
        <f>'ARP Quarterly'!K25</f>
        <v>12.362</v>
      </c>
      <c r="V41" s="526">
        <f>'ARP Quarterly'!L25</f>
        <v>12.362</v>
      </c>
      <c r="W41" s="526">
        <f>'ARP Quarterly'!M25</f>
        <v>12.362</v>
      </c>
      <c r="X41" s="526">
        <f>'ARP Quarterly'!N25</f>
        <v>-0.67500000000000004</v>
      </c>
      <c r="Y41" s="526">
        <f>'ARP Quarterly'!O25</f>
        <v>-0.67500000000000004</v>
      </c>
      <c r="Z41" s="526">
        <f>'ARP Quarterly'!P25</f>
        <v>-0.67500000000000004</v>
      </c>
      <c r="AA41" s="526">
        <f>'ARP Quarterly'!Q25</f>
        <v>-0.67500000000000004</v>
      </c>
      <c r="AB41" s="526">
        <f>'ARP Quarterly'!R25</f>
        <v>0</v>
      </c>
      <c r="AC41" s="969">
        <f>'ARP Quarterly'!S25</f>
        <v>0</v>
      </c>
      <c r="AD41" s="527"/>
      <c r="AE41" s="527"/>
      <c r="AF41" s="527"/>
      <c r="AG41" s="527"/>
      <c r="AH41" s="527"/>
      <c r="AI41" s="527"/>
      <c r="AJ41" s="527"/>
      <c r="AK41" s="527"/>
      <c r="AL41" s="527"/>
      <c r="AM41" s="527"/>
      <c r="AN41" s="527"/>
      <c r="AO41" s="527"/>
      <c r="AP41" s="527"/>
      <c r="AQ41" s="527"/>
      <c r="AR41" s="527"/>
      <c r="AS41" s="527"/>
      <c r="AT41" s="527"/>
      <c r="AU41" s="527"/>
      <c r="AV41" s="527"/>
      <c r="AW41" s="527"/>
      <c r="AX41" s="527"/>
      <c r="AY41" s="527"/>
      <c r="AZ41" s="527"/>
      <c r="BA41" s="527"/>
      <c r="BB41" s="527"/>
      <c r="BC41" s="527"/>
      <c r="BD41" s="527"/>
      <c r="BE41" s="527"/>
      <c r="BF41" s="527"/>
      <c r="BG41" s="527"/>
      <c r="BH41" s="527"/>
      <c r="BI41" s="527"/>
      <c r="BJ41" s="527"/>
      <c r="BK41" s="527"/>
      <c r="BL41" s="527"/>
      <c r="BM41" s="527"/>
      <c r="BN41" s="527"/>
      <c r="BO41" s="527"/>
      <c r="BP41" s="527"/>
      <c r="BQ41" s="527"/>
      <c r="BR41" s="527"/>
      <c r="BS41" s="527"/>
      <c r="BT41" s="527"/>
      <c r="BU41" s="527"/>
      <c r="BV41" s="527"/>
      <c r="BW41" s="527"/>
      <c r="BX41" s="527"/>
      <c r="BY41" s="527"/>
      <c r="BZ41" s="527"/>
    </row>
    <row r="42" spans="1:78" s="362" customFormat="1" x14ac:dyDescent="0.35">
      <c r="B42" s="1416" t="s">
        <v>633</v>
      </c>
      <c r="C42" s="1417"/>
      <c r="D42" s="1179"/>
      <c r="E42" s="1180"/>
      <c r="F42" s="171"/>
      <c r="G42" s="171"/>
      <c r="H42" s="130"/>
      <c r="I42" s="130"/>
      <c r="J42" s="130"/>
      <c r="K42" s="130"/>
      <c r="L42" s="1264"/>
      <c r="M42" s="130"/>
      <c r="N42" s="130"/>
      <c r="O42" s="1229"/>
      <c r="P42" s="886"/>
      <c r="Q42" s="886"/>
      <c r="R42" s="886"/>
      <c r="S42" s="886"/>
      <c r="T42" s="886"/>
      <c r="U42" s="886"/>
      <c r="V42" s="889"/>
      <c r="W42" s="889"/>
      <c r="X42" s="889"/>
      <c r="Y42" s="889"/>
      <c r="Z42" s="889"/>
      <c r="AA42" s="889"/>
      <c r="AB42" s="889"/>
      <c r="AC42" s="480"/>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c r="BC42" s="191"/>
      <c r="BD42" s="191"/>
      <c r="BE42" s="191"/>
      <c r="BF42" s="191"/>
      <c r="BG42" s="191"/>
      <c r="BH42" s="191"/>
      <c r="BI42" s="191"/>
      <c r="BJ42" s="191"/>
      <c r="BK42" s="191"/>
      <c r="BL42" s="191"/>
      <c r="BM42" s="191"/>
      <c r="BN42" s="191"/>
      <c r="BO42" s="191"/>
      <c r="BP42" s="191"/>
      <c r="BQ42" s="191"/>
      <c r="BR42" s="191"/>
      <c r="BS42" s="191"/>
      <c r="BT42" s="191"/>
      <c r="BU42" s="191"/>
      <c r="BV42" s="191"/>
      <c r="BW42" s="191"/>
      <c r="BX42" s="191"/>
      <c r="BY42" s="191"/>
      <c r="BZ42" s="191"/>
    </row>
    <row r="43" spans="1:78" s="398" customFormat="1" ht="21" customHeight="1" x14ac:dyDescent="0.35">
      <c r="B43" s="402" t="s">
        <v>567</v>
      </c>
      <c r="C43" s="597"/>
      <c r="D43" s="1265"/>
      <c r="E43" s="1266"/>
      <c r="F43" s="1235"/>
      <c r="G43" s="1235"/>
      <c r="H43" s="1017"/>
      <c r="I43" s="1017"/>
      <c r="J43" s="1017"/>
      <c r="K43" s="1017"/>
      <c r="L43" s="1018"/>
      <c r="M43" s="1017">
        <f>'ARP Quarterly'!C6</f>
        <v>0</v>
      </c>
      <c r="N43" s="1017">
        <f>'ARP Quarterly'!D6</f>
        <v>58.782959999999989</v>
      </c>
      <c r="O43" s="1267">
        <f>'ARP Quarterly'!E6</f>
        <v>267.78904</v>
      </c>
      <c r="P43" s="807">
        <f>'ARP Quarterly'!F6</f>
        <v>110.24799999999999</v>
      </c>
      <c r="Q43" s="807">
        <f>'ARP Quarterly'!G6</f>
        <v>110.24799999999999</v>
      </c>
      <c r="R43" s="807">
        <f>'ARP Quarterly'!H6</f>
        <v>110.24799999999999</v>
      </c>
      <c r="S43" s="807">
        <f>'ARP Quarterly'!I6</f>
        <v>110.24799999999999</v>
      </c>
      <c r="T43" s="807">
        <f>'ARP Quarterly'!J6</f>
        <v>12.726000000000001</v>
      </c>
      <c r="U43" s="807">
        <f>'ARP Quarterly'!K6</f>
        <v>12.726000000000001</v>
      </c>
      <c r="V43" s="807">
        <f>'ARP Quarterly'!L6</f>
        <v>12.726000000000001</v>
      </c>
      <c r="W43" s="807">
        <f>'ARP Quarterly'!M6</f>
        <v>12.726000000000001</v>
      </c>
      <c r="X43" s="807">
        <f>'ARP Quarterly'!N6</f>
        <v>1.365</v>
      </c>
      <c r="Y43" s="807">
        <f>'ARP Quarterly'!O6</f>
        <v>1.365</v>
      </c>
      <c r="Z43" s="807">
        <f>'ARP Quarterly'!P6</f>
        <v>1.365</v>
      </c>
      <c r="AA43" s="807">
        <f>'ARP Quarterly'!Q6</f>
        <v>1.365</v>
      </c>
      <c r="AB43" s="807">
        <f>'ARP Quarterly'!R6</f>
        <v>-0.90100000000000025</v>
      </c>
      <c r="AC43" s="1020">
        <f>'ARP Quarterly'!S6</f>
        <v>-0.90100000000000025</v>
      </c>
      <c r="AD43" s="399"/>
      <c r="AE43" s="399"/>
      <c r="AF43" s="399"/>
      <c r="AG43" s="399"/>
      <c r="AH43" s="399"/>
      <c r="AI43" s="399"/>
      <c r="AJ43" s="399"/>
      <c r="AK43" s="399"/>
      <c r="AL43" s="399"/>
      <c r="AM43" s="399"/>
      <c r="AN43" s="399"/>
      <c r="AO43" s="399"/>
      <c r="AP43" s="399"/>
      <c r="AQ43" s="399"/>
      <c r="AR43" s="399"/>
      <c r="AS43" s="399"/>
      <c r="AT43" s="399"/>
      <c r="AU43" s="399"/>
      <c r="AV43" s="399"/>
      <c r="AW43" s="399"/>
      <c r="AX43" s="399"/>
      <c r="AY43" s="399"/>
      <c r="AZ43" s="399"/>
      <c r="BA43" s="399"/>
      <c r="BB43" s="399"/>
      <c r="BC43" s="399"/>
      <c r="BD43" s="399"/>
      <c r="BE43" s="399"/>
      <c r="BF43" s="399"/>
      <c r="BG43" s="399"/>
      <c r="BH43" s="399"/>
      <c r="BI43" s="399"/>
      <c r="BJ43" s="399"/>
      <c r="BK43" s="399"/>
      <c r="BL43" s="399"/>
      <c r="BM43" s="399"/>
      <c r="BN43" s="399"/>
      <c r="BO43" s="399"/>
      <c r="BP43" s="399"/>
      <c r="BQ43" s="399"/>
      <c r="BR43" s="399"/>
      <c r="BS43" s="399"/>
      <c r="BT43" s="399"/>
      <c r="BU43" s="399"/>
      <c r="BV43" s="399"/>
      <c r="BW43" s="399"/>
      <c r="BX43" s="399"/>
      <c r="BY43" s="399"/>
      <c r="BZ43" s="399"/>
    </row>
    <row r="44" spans="1:78" s="403" customFormat="1" ht="19.5" customHeight="1" x14ac:dyDescent="0.35">
      <c r="A44" s="399"/>
      <c r="B44" s="183" t="s">
        <v>568</v>
      </c>
      <c r="C44" s="184"/>
      <c r="D44" s="825"/>
      <c r="E44" s="826"/>
      <c r="F44" s="916">
        <f t="shared" ref="F44:AC44" si="13">F11-F43</f>
        <v>60.5</v>
      </c>
      <c r="G44" s="916">
        <f t="shared" si="13"/>
        <v>81.400000000000006</v>
      </c>
      <c r="H44" s="916">
        <f t="shared" si="13"/>
        <v>82.2</v>
      </c>
      <c r="I44" s="916">
        <f t="shared" si="13"/>
        <v>80.3</v>
      </c>
      <c r="J44" s="916">
        <f t="shared" si="13"/>
        <v>1123.5999999999999</v>
      </c>
      <c r="K44" s="916">
        <f t="shared" si="13"/>
        <v>1220.5</v>
      </c>
      <c r="L44" s="916">
        <f t="shared" si="13"/>
        <v>618.6</v>
      </c>
      <c r="M44" s="916">
        <f t="shared" si="13"/>
        <v>403.8</v>
      </c>
      <c r="N44" s="916">
        <f t="shared" si="13"/>
        <v>638.21704</v>
      </c>
      <c r="O44" s="1268">
        <f t="shared" si="13"/>
        <v>-267.78904</v>
      </c>
      <c r="P44" s="1019" t="e">
        <f t="shared" si="13"/>
        <v>#DIV/0!</v>
      </c>
      <c r="Q44" s="1019" t="e">
        <f t="shared" si="13"/>
        <v>#DIV/0!</v>
      </c>
      <c r="R44" s="1019" t="e">
        <f t="shared" si="13"/>
        <v>#DIV/0!</v>
      </c>
      <c r="S44" s="1019" t="e">
        <f t="shared" si="13"/>
        <v>#DIV/0!</v>
      </c>
      <c r="T44" s="1019">
        <f t="shared" si="13"/>
        <v>75.736000000000004</v>
      </c>
      <c r="U44" s="1019">
        <f t="shared" si="13"/>
        <v>75.736000000000004</v>
      </c>
      <c r="V44" s="1019">
        <f t="shared" si="13"/>
        <v>75.736000000000004</v>
      </c>
      <c r="W44" s="1019">
        <f t="shared" si="13"/>
        <v>75.736000000000004</v>
      </c>
      <c r="X44" s="1019">
        <f t="shared" si="13"/>
        <v>74.060000000000016</v>
      </c>
      <c r="Y44" s="1019">
        <f t="shared" si="13"/>
        <v>74.060000000000016</v>
      </c>
      <c r="Z44" s="1019">
        <f t="shared" si="13"/>
        <v>74.060000000000016</v>
      </c>
      <c r="AA44" s="1019">
        <f t="shared" si="13"/>
        <v>74.060000000000016</v>
      </c>
      <c r="AB44" s="1019">
        <f t="shared" si="13"/>
        <v>77.001000000000005</v>
      </c>
      <c r="AC44" s="1021">
        <f t="shared" si="13"/>
        <v>77.001000000000005</v>
      </c>
      <c r="AD44" s="399"/>
      <c r="AE44" s="399"/>
      <c r="AF44" s="399"/>
      <c r="AG44" s="399"/>
      <c r="AH44" s="399"/>
      <c r="AI44" s="399"/>
      <c r="AJ44" s="399"/>
      <c r="AK44" s="399"/>
      <c r="AL44" s="399"/>
      <c r="AM44" s="399"/>
      <c r="AN44" s="399"/>
      <c r="AO44" s="399"/>
      <c r="AP44" s="399"/>
      <c r="AQ44" s="399"/>
      <c r="AR44" s="399"/>
      <c r="AS44" s="399"/>
      <c r="AT44" s="399"/>
      <c r="AU44" s="399"/>
      <c r="AV44" s="399"/>
      <c r="AW44" s="399"/>
      <c r="AX44" s="399"/>
      <c r="AY44" s="399"/>
      <c r="AZ44" s="399"/>
      <c r="BA44" s="399"/>
      <c r="BB44" s="399"/>
      <c r="BC44" s="399"/>
      <c r="BD44" s="399"/>
      <c r="BE44" s="399"/>
      <c r="BF44" s="399"/>
      <c r="BG44" s="399"/>
      <c r="BH44" s="399"/>
      <c r="BI44" s="399"/>
      <c r="BJ44" s="399"/>
      <c r="BK44" s="399"/>
      <c r="BL44" s="399"/>
      <c r="BM44" s="399"/>
      <c r="BN44" s="399"/>
      <c r="BO44" s="399"/>
      <c r="BP44" s="399"/>
      <c r="BQ44" s="399"/>
      <c r="BR44" s="399"/>
      <c r="BS44" s="399"/>
      <c r="BT44" s="399"/>
      <c r="BU44" s="399"/>
      <c r="BV44" s="399"/>
      <c r="BW44" s="399"/>
      <c r="BX44" s="399"/>
      <c r="BY44" s="399"/>
      <c r="BZ44" s="399"/>
    </row>
    <row r="45" spans="1:78" x14ac:dyDescent="0.35">
      <c r="A45" s="191"/>
      <c r="B45" s="114"/>
      <c r="C45" s="115"/>
      <c r="D45" s="115"/>
      <c r="E45" s="286"/>
      <c r="F45" s="286"/>
      <c r="G45" s="286"/>
      <c r="H45" s="286"/>
      <c r="I45" s="286"/>
      <c r="J45" s="286"/>
      <c r="K45" s="286"/>
      <c r="L45" s="286"/>
      <c r="M45" s="286"/>
      <c r="N45" s="286"/>
      <c r="O45" s="286"/>
      <c r="P45" s="286"/>
      <c r="Q45" s="286"/>
      <c r="R45" s="286"/>
      <c r="S45" s="286"/>
      <c r="T45" s="286"/>
      <c r="U45" s="286"/>
      <c r="V45" s="286"/>
      <c r="W45" s="286"/>
      <c r="X45" s="286"/>
      <c r="Y45" s="286"/>
    </row>
    <row r="46" spans="1:78" x14ac:dyDescent="0.35">
      <c r="B46" s="283"/>
      <c r="C46" s="283"/>
      <c r="D46" s="283"/>
    </row>
    <row r="47" spans="1:78" x14ac:dyDescent="0.35">
      <c r="B47" s="1016"/>
      <c r="C47" s="283"/>
      <c r="D47" s="283"/>
      <c r="M47" s="191"/>
      <c r="N47" s="191"/>
      <c r="O47" s="191"/>
      <c r="P47" s="191"/>
      <c r="Q47" s="191"/>
      <c r="R47" s="191"/>
      <c r="S47" s="191"/>
      <c r="T47" s="191"/>
      <c r="U47" s="191"/>
      <c r="V47" s="191"/>
      <c r="W47" s="191"/>
      <c r="X47" s="191"/>
      <c r="Y47" s="191"/>
      <c r="BJ47" s="102"/>
      <c r="BK47" s="102"/>
      <c r="BL47" s="102"/>
      <c r="BM47" s="102"/>
      <c r="BN47" s="102"/>
      <c r="BO47" s="102"/>
      <c r="BP47" s="102"/>
      <c r="BQ47" s="102"/>
      <c r="BR47" s="102"/>
      <c r="BS47" s="102"/>
      <c r="BT47" s="102"/>
      <c r="BU47" s="102"/>
      <c r="BV47" s="102"/>
      <c r="BW47" s="102"/>
      <c r="BX47" s="102"/>
      <c r="BY47" s="102"/>
      <c r="BZ47" s="102"/>
    </row>
    <row r="48" spans="1:78" x14ac:dyDescent="0.35">
      <c r="B48" s="1016"/>
      <c r="C48" s="283"/>
      <c r="D48" s="283"/>
      <c r="M48" s="191"/>
      <c r="N48" s="191"/>
      <c r="O48" s="191"/>
      <c r="P48" s="191"/>
      <c r="Q48" s="191"/>
      <c r="R48" s="191"/>
      <c r="S48" s="191"/>
      <c r="T48" s="191"/>
      <c r="U48" s="191"/>
      <c r="V48" s="191"/>
      <c r="W48" s="191"/>
      <c r="X48" s="191"/>
      <c r="Y48" s="191"/>
      <c r="BJ48" s="102"/>
      <c r="BK48" s="102"/>
      <c r="BL48" s="102"/>
      <c r="BM48" s="102"/>
      <c r="BN48" s="102"/>
      <c r="BO48" s="102"/>
      <c r="BP48" s="102"/>
      <c r="BQ48" s="102"/>
      <c r="BR48" s="102"/>
      <c r="BS48" s="102"/>
      <c r="BT48" s="102"/>
      <c r="BU48" s="102"/>
      <c r="BV48" s="102"/>
      <c r="BW48" s="102"/>
      <c r="BX48" s="102"/>
      <c r="BY48" s="102"/>
      <c r="BZ48" s="102"/>
    </row>
    <row r="49" spans="2:78" x14ac:dyDescent="0.35">
      <c r="B49" s="1016"/>
      <c r="C49" s="283"/>
      <c r="D49" s="283"/>
      <c r="M49" s="191"/>
      <c r="N49" s="191"/>
      <c r="O49" s="191"/>
      <c r="P49" s="191"/>
      <c r="Q49" s="191"/>
      <c r="R49" s="191"/>
      <c r="S49" s="191"/>
      <c r="T49" s="191"/>
      <c r="U49" s="191"/>
      <c r="V49" s="191"/>
      <c r="W49" s="191"/>
      <c r="X49" s="191"/>
      <c r="Y49" s="191"/>
      <c r="BJ49" s="102"/>
      <c r="BK49" s="102"/>
      <c r="BL49" s="102"/>
      <c r="BM49" s="102"/>
      <c r="BN49" s="102"/>
      <c r="BO49" s="102"/>
      <c r="BP49" s="102"/>
      <c r="BQ49" s="102"/>
      <c r="BR49" s="102"/>
      <c r="BS49" s="102"/>
      <c r="BT49" s="102"/>
      <c r="BU49" s="102"/>
      <c r="BV49" s="102"/>
      <c r="BW49" s="102"/>
      <c r="BX49" s="102"/>
      <c r="BY49" s="102"/>
      <c r="BZ49" s="102"/>
    </row>
    <row r="50" spans="2:78" x14ac:dyDescent="0.35">
      <c r="B50" s="1016"/>
      <c r="C50" s="283"/>
      <c r="D50" s="283"/>
      <c r="M50" s="191"/>
      <c r="N50" s="191"/>
      <c r="O50" s="191"/>
      <c r="P50" s="191"/>
      <c r="Q50" s="191"/>
      <c r="R50" s="191"/>
      <c r="S50" s="191"/>
      <c r="T50" s="191"/>
      <c r="U50" s="191"/>
      <c r="V50" s="191"/>
      <c r="W50" s="191"/>
      <c r="X50" s="191"/>
      <c r="Y50" s="191"/>
      <c r="BJ50" s="102"/>
      <c r="BK50" s="102"/>
      <c r="BL50" s="102"/>
      <c r="BM50" s="102"/>
      <c r="BN50" s="102"/>
      <c r="BO50" s="102"/>
      <c r="BP50" s="102"/>
      <c r="BQ50" s="102"/>
      <c r="BR50" s="102"/>
      <c r="BS50" s="102"/>
      <c r="BT50" s="102"/>
      <c r="BU50" s="102"/>
      <c r="BV50" s="102"/>
      <c r="BW50" s="102"/>
      <c r="BX50" s="102"/>
      <c r="BY50" s="102"/>
      <c r="BZ50" s="102"/>
    </row>
    <row r="51" spans="2:78" x14ac:dyDescent="0.35">
      <c r="B51" s="1016"/>
      <c r="C51" s="283"/>
      <c r="D51" s="283"/>
      <c r="M51" s="191"/>
      <c r="N51" s="191"/>
      <c r="O51" s="191"/>
      <c r="P51" s="191"/>
      <c r="Q51" s="191"/>
      <c r="R51" s="191"/>
      <c r="S51" s="191"/>
      <c r="T51" s="191"/>
      <c r="U51" s="191"/>
      <c r="V51" s="191"/>
      <c r="W51" s="191"/>
      <c r="X51" s="191"/>
      <c r="Y51" s="191"/>
      <c r="BJ51" s="102"/>
      <c r="BK51" s="102"/>
      <c r="BL51" s="102"/>
      <c r="BM51" s="102"/>
      <c r="BN51" s="102"/>
      <c r="BO51" s="102"/>
      <c r="BP51" s="102"/>
      <c r="BQ51" s="102"/>
      <c r="BR51" s="102"/>
      <c r="BS51" s="102"/>
      <c r="BT51" s="102"/>
      <c r="BU51" s="102"/>
      <c r="BV51" s="102"/>
      <c r="BW51" s="102"/>
      <c r="BX51" s="102"/>
      <c r="BY51" s="102"/>
      <c r="BZ51" s="102"/>
    </row>
    <row r="52" spans="2:78" x14ac:dyDescent="0.35">
      <c r="B52" s="1016"/>
      <c r="C52" s="283"/>
      <c r="D52" s="283"/>
      <c r="M52" s="191"/>
      <c r="N52" s="191"/>
      <c r="O52" s="191"/>
      <c r="P52" s="191"/>
      <c r="Q52" s="191"/>
      <c r="R52" s="191"/>
      <c r="S52" s="191"/>
      <c r="T52" s="191"/>
      <c r="U52" s="191"/>
      <c r="V52" s="191"/>
      <c r="W52" s="191"/>
      <c r="X52" s="191"/>
      <c r="Y52" s="191"/>
      <c r="BJ52" s="102"/>
      <c r="BK52" s="102"/>
      <c r="BL52" s="102"/>
      <c r="BM52" s="102"/>
      <c r="BN52" s="102"/>
      <c r="BO52" s="102"/>
      <c r="BP52" s="102"/>
      <c r="BQ52" s="102"/>
      <c r="BR52" s="102"/>
      <c r="BS52" s="102"/>
      <c r="BT52" s="102"/>
      <c r="BU52" s="102"/>
      <c r="BV52" s="102"/>
      <c r="BW52" s="102"/>
      <c r="BX52" s="102"/>
      <c r="BY52" s="102"/>
      <c r="BZ52" s="102"/>
    </row>
    <row r="53" spans="2:78" x14ac:dyDescent="0.35">
      <c r="B53" s="1016"/>
      <c r="C53" s="283"/>
      <c r="D53" s="283"/>
      <c r="M53" s="191"/>
      <c r="N53" s="191"/>
      <c r="O53" s="191"/>
      <c r="P53" s="191"/>
      <c r="Q53" s="191"/>
      <c r="R53" s="191"/>
      <c r="S53" s="191"/>
      <c r="T53" s="191"/>
      <c r="U53" s="191"/>
      <c r="V53" s="191"/>
      <c r="W53" s="191"/>
      <c r="X53" s="191"/>
      <c r="Y53" s="191"/>
      <c r="BJ53" s="102"/>
      <c r="BK53" s="102"/>
      <c r="BL53" s="102"/>
      <c r="BM53" s="102"/>
      <c r="BN53" s="102"/>
      <c r="BO53" s="102"/>
      <c r="BP53" s="102"/>
      <c r="BQ53" s="102"/>
      <c r="BR53" s="102"/>
      <c r="BS53" s="102"/>
      <c r="BT53" s="102"/>
      <c r="BU53" s="102"/>
      <c r="BV53" s="102"/>
      <c r="BW53" s="102"/>
      <c r="BX53" s="102"/>
      <c r="BY53" s="102"/>
      <c r="BZ53" s="102"/>
    </row>
    <row r="54" spans="2:78" x14ac:dyDescent="0.35">
      <c r="B54" s="1016"/>
      <c r="C54" s="283"/>
      <c r="D54" s="283"/>
      <c r="M54" s="191"/>
      <c r="N54" s="191"/>
      <c r="O54" s="191"/>
      <c r="P54" s="191"/>
      <c r="Q54" s="191"/>
      <c r="R54" s="191"/>
      <c r="S54" s="191"/>
      <c r="T54" s="191"/>
      <c r="U54" s="191"/>
      <c r="V54" s="191"/>
      <c r="W54" s="191"/>
      <c r="X54" s="191"/>
      <c r="Y54" s="191"/>
      <c r="BJ54" s="102"/>
      <c r="BK54" s="102"/>
      <c r="BL54" s="102"/>
      <c r="BM54" s="102"/>
      <c r="BN54" s="102"/>
      <c r="BO54" s="102"/>
      <c r="BP54" s="102"/>
      <c r="BQ54" s="102"/>
      <c r="BR54" s="102"/>
      <c r="BS54" s="102"/>
      <c r="BT54" s="102"/>
      <c r="BU54" s="102"/>
      <c r="BV54" s="102"/>
      <c r="BW54" s="102"/>
      <c r="BX54" s="102"/>
      <c r="BY54" s="102"/>
      <c r="BZ54" s="102"/>
    </row>
    <row r="55" spans="2:78" x14ac:dyDescent="0.35">
      <c r="B55" s="283"/>
      <c r="C55" s="283"/>
      <c r="D55" s="283"/>
      <c r="M55" s="191"/>
      <c r="N55" s="191"/>
      <c r="O55" s="191"/>
      <c r="P55" s="191"/>
      <c r="Q55" s="191"/>
      <c r="R55" s="191"/>
      <c r="S55" s="191"/>
      <c r="T55" s="191"/>
      <c r="U55" s="191"/>
      <c r="V55" s="191"/>
      <c r="W55" s="191"/>
      <c r="X55" s="191"/>
      <c r="Y55" s="191"/>
      <c r="BJ55" s="102"/>
      <c r="BK55" s="102"/>
      <c r="BL55" s="102"/>
      <c r="BM55" s="102"/>
      <c r="BN55" s="102"/>
      <c r="BO55" s="102"/>
      <c r="BP55" s="102"/>
      <c r="BQ55" s="102"/>
      <c r="BR55" s="102"/>
      <c r="BS55" s="102"/>
      <c r="BT55" s="102"/>
      <c r="BU55" s="102"/>
      <c r="BV55" s="102"/>
      <c r="BW55" s="102"/>
      <c r="BX55" s="102"/>
      <c r="BY55" s="102"/>
      <c r="BZ55" s="102"/>
    </row>
    <row r="56" spans="2:78" x14ac:dyDescent="0.35">
      <c r="B56" s="283"/>
      <c r="C56" s="283"/>
      <c r="D56" s="283"/>
    </row>
    <row r="57" spans="2:78" x14ac:dyDescent="0.35">
      <c r="B57" s="283"/>
      <c r="C57" s="283"/>
      <c r="D57" s="283"/>
    </row>
    <row r="58" spans="2:78" x14ac:dyDescent="0.35">
      <c r="B58" s="283"/>
      <c r="C58" s="283"/>
      <c r="D58" s="283"/>
    </row>
    <row r="59" spans="2:78" x14ac:dyDescent="0.35">
      <c r="B59" s="283"/>
      <c r="C59" s="283"/>
      <c r="D59" s="283"/>
    </row>
    <row r="60" spans="2:78" x14ac:dyDescent="0.35">
      <c r="B60" s="283"/>
      <c r="C60" s="283"/>
      <c r="D60" s="283"/>
    </row>
    <row r="61" spans="2:78" x14ac:dyDescent="0.35">
      <c r="B61" s="283"/>
      <c r="C61" s="283"/>
      <c r="D61" s="283"/>
    </row>
    <row r="62" spans="2:78" x14ac:dyDescent="0.35">
      <c r="B62" s="283"/>
      <c r="C62" s="283"/>
      <c r="D62" s="283"/>
    </row>
  </sheetData>
  <mergeCells count="15">
    <mergeCell ref="B2:AC6"/>
    <mergeCell ref="B1:AC1"/>
    <mergeCell ref="B42:C42"/>
    <mergeCell ref="U9:X9"/>
    <mergeCell ref="B26:C26"/>
    <mergeCell ref="B8:C10"/>
    <mergeCell ref="I9:L9"/>
    <mergeCell ref="Q9:T9"/>
    <mergeCell ref="B11:C11"/>
    <mergeCell ref="E9:H9"/>
    <mergeCell ref="B33:C33"/>
    <mergeCell ref="D8:O8"/>
    <mergeCell ref="P8:AC8"/>
    <mergeCell ref="M9:O9"/>
    <mergeCell ref="Y9:AB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D6" sqref="D6:AC8"/>
    </sheetView>
  </sheetViews>
  <sheetFormatPr defaultColWidth="8.6328125" defaultRowHeight="14" x14ac:dyDescent="0.3"/>
  <cols>
    <col min="1" max="1" width="8.6328125" style="286"/>
    <col min="2" max="2" width="31.81640625" style="286" customWidth="1"/>
    <col min="3" max="7" width="7.6328125" style="286" customWidth="1"/>
    <col min="8" max="8" width="8.6328125" style="286"/>
    <col min="9" max="9" width="8.6328125" style="286" customWidth="1"/>
    <col min="10" max="24" width="9.1796875" style="286" bestFit="1" customWidth="1"/>
    <col min="25" max="16384" width="8.6328125" style="286"/>
  </cols>
  <sheetData>
    <row r="1" spans="2:29" x14ac:dyDescent="0.3">
      <c r="B1" s="1333" t="s">
        <v>141</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29" ht="14" customHeight="1" x14ac:dyDescent="0.3">
      <c r="B2" s="1334" t="s">
        <v>1226</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29" ht="59.5" customHeight="1"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29" ht="60.5" customHeight="1"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2:29" x14ac:dyDescent="0.3">
      <c r="B5" s="170" t="s">
        <v>397</v>
      </c>
    </row>
    <row r="6" spans="2:29" ht="14.5" customHeight="1" x14ac:dyDescent="0.3">
      <c r="B6" s="1434" t="s">
        <v>290</v>
      </c>
      <c r="C6" s="1435"/>
      <c r="D6" s="1346" t="s">
        <v>261</v>
      </c>
      <c r="E6" s="1347"/>
      <c r="F6" s="1347"/>
      <c r="G6" s="1347"/>
      <c r="H6" s="1347"/>
      <c r="I6" s="1347"/>
      <c r="J6" s="1347"/>
      <c r="K6" s="1347"/>
      <c r="L6" s="1347"/>
      <c r="M6" s="1347"/>
      <c r="N6" s="1347"/>
      <c r="O6" s="1348"/>
      <c r="P6" s="1378" t="s">
        <v>143</v>
      </c>
      <c r="Q6" s="1379"/>
      <c r="R6" s="1379"/>
      <c r="S6" s="1379"/>
      <c r="T6" s="1379"/>
      <c r="U6" s="1379"/>
      <c r="V6" s="1379"/>
      <c r="W6" s="1379"/>
      <c r="X6" s="1379"/>
      <c r="Y6" s="1379"/>
      <c r="Z6" s="1379"/>
      <c r="AA6" s="1379"/>
      <c r="AB6" s="1379"/>
      <c r="AC6" s="1380"/>
    </row>
    <row r="7" spans="2:29" x14ac:dyDescent="0.3">
      <c r="B7" s="1340"/>
      <c r="C7" s="1436"/>
      <c r="D7" s="1183">
        <v>2018</v>
      </c>
      <c r="E7" s="1335">
        <v>2019</v>
      </c>
      <c r="F7" s="1342"/>
      <c r="G7" s="1342"/>
      <c r="H7" s="1337"/>
      <c r="I7" s="1335">
        <v>2020</v>
      </c>
      <c r="J7" s="1342"/>
      <c r="K7" s="1342"/>
      <c r="L7" s="1337"/>
      <c r="M7" s="1335">
        <v>2021</v>
      </c>
      <c r="N7" s="1336"/>
      <c r="O7" s="1337"/>
      <c r="P7" s="803">
        <v>2021</v>
      </c>
      <c r="Q7" s="1343">
        <v>2022</v>
      </c>
      <c r="R7" s="1385"/>
      <c r="S7" s="1385"/>
      <c r="T7" s="1345"/>
      <c r="U7" s="1343">
        <v>2023</v>
      </c>
      <c r="V7" s="1385"/>
      <c r="W7" s="1385"/>
      <c r="X7" s="1344"/>
      <c r="Y7" s="1343">
        <v>2024</v>
      </c>
      <c r="Z7" s="1344"/>
      <c r="AA7" s="1344"/>
      <c r="AB7" s="1345"/>
      <c r="AC7" s="439">
        <v>2025</v>
      </c>
    </row>
    <row r="8" spans="2:29" x14ac:dyDescent="0.3">
      <c r="B8" s="1340"/>
      <c r="C8" s="1408"/>
      <c r="D8" s="211" t="s">
        <v>138</v>
      </c>
      <c r="E8" s="211" t="s">
        <v>135</v>
      </c>
      <c r="F8" s="189" t="s">
        <v>136</v>
      </c>
      <c r="G8" s="189" t="s">
        <v>137</v>
      </c>
      <c r="H8" s="1056" t="s">
        <v>138</v>
      </c>
      <c r="I8" s="190" t="s">
        <v>135</v>
      </c>
      <c r="J8" s="190" t="s">
        <v>136</v>
      </c>
      <c r="K8" s="190" t="s">
        <v>137</v>
      </c>
      <c r="L8" s="190" t="s">
        <v>138</v>
      </c>
      <c r="M8" s="205" t="s">
        <v>135</v>
      </c>
      <c r="N8" s="190" t="s">
        <v>136</v>
      </c>
      <c r="O8" s="1056" t="s">
        <v>137</v>
      </c>
      <c r="P8" s="1184" t="s">
        <v>138</v>
      </c>
      <c r="Q8" s="1173" t="s">
        <v>135</v>
      </c>
      <c r="R8" s="1174" t="s">
        <v>136</v>
      </c>
      <c r="S8" s="1174" t="s">
        <v>137</v>
      </c>
      <c r="T8" s="1174" t="s">
        <v>138</v>
      </c>
      <c r="U8" s="1173" t="s">
        <v>135</v>
      </c>
      <c r="V8" s="1174" t="s">
        <v>136</v>
      </c>
      <c r="W8" s="1174" t="s">
        <v>137</v>
      </c>
      <c r="X8" s="1174" t="s">
        <v>138</v>
      </c>
      <c r="Y8" s="1173" t="s">
        <v>135</v>
      </c>
      <c r="Z8" s="533" t="s">
        <v>136</v>
      </c>
      <c r="AA8" s="1174" t="s">
        <v>137</v>
      </c>
      <c r="AB8" s="1175" t="s">
        <v>138</v>
      </c>
      <c r="AC8" s="80" t="s">
        <v>135</v>
      </c>
    </row>
    <row r="9" spans="2:29" x14ac:dyDescent="0.3">
      <c r="B9" s="305" t="s">
        <v>413</v>
      </c>
      <c r="C9" s="306" t="s">
        <v>211</v>
      </c>
      <c r="D9" s="638">
        <f>'Haver Pivoted'!GO13</f>
        <v>589.5</v>
      </c>
      <c r="E9" s="334">
        <f>'Haver Pivoted'!GP13</f>
        <v>598.79999999999995</v>
      </c>
      <c r="F9" s="334">
        <f>'Haver Pivoted'!GQ13</f>
        <v>614.5</v>
      </c>
      <c r="G9" s="334">
        <f>'Haver Pivoted'!GR13</f>
        <v>622.4</v>
      </c>
      <c r="H9" s="334">
        <f>'Haver Pivoted'!GS13</f>
        <v>620.5</v>
      </c>
      <c r="I9" s="334">
        <f>'Haver Pivoted'!GT13</f>
        <v>606.20000000000005</v>
      </c>
      <c r="J9" s="334">
        <f>'Haver Pivoted'!GU13</f>
        <v>654.20000000000005</v>
      </c>
      <c r="K9" s="334">
        <f>'Haver Pivoted'!GV13</f>
        <v>690.4</v>
      </c>
      <c r="L9" s="334">
        <f>'Haver Pivoted'!GW13</f>
        <v>678.3</v>
      </c>
      <c r="M9" s="334">
        <f>'Haver Pivoted'!GX13</f>
        <v>695.9</v>
      </c>
      <c r="N9" s="334">
        <f>'Haver Pivoted'!GY13</f>
        <v>730.5</v>
      </c>
      <c r="O9" s="1279">
        <f>'Haver Pivoted'!GZ13</f>
        <v>0</v>
      </c>
      <c r="P9" s="819"/>
      <c r="Q9" s="819"/>
      <c r="R9" s="819"/>
      <c r="S9" s="779"/>
      <c r="T9" s="779"/>
      <c r="U9" s="779"/>
      <c r="V9" s="779"/>
      <c r="W9" s="779"/>
      <c r="X9" s="779"/>
      <c r="Y9" s="779"/>
      <c r="Z9" s="779"/>
      <c r="AA9" s="779"/>
      <c r="AB9" s="779"/>
      <c r="AC9" s="780"/>
    </row>
    <row r="10" spans="2:29" x14ac:dyDescent="0.3">
      <c r="B10" s="45" t="s">
        <v>414</v>
      </c>
      <c r="C10" s="35" t="s">
        <v>236</v>
      </c>
      <c r="D10" s="199">
        <f>'Haver Pivoted'!GO40</f>
        <v>390.86599999999999</v>
      </c>
      <c r="E10" s="200">
        <f>'Haver Pivoted'!GP40</f>
        <v>408.75599999999997</v>
      </c>
      <c r="F10" s="200">
        <f>'Haver Pivoted'!GQ40</f>
        <v>413.34399999999999</v>
      </c>
      <c r="G10" s="200">
        <f>'Haver Pivoted'!GR40</f>
        <v>418.529</v>
      </c>
      <c r="H10" s="200">
        <f>'Haver Pivoted'!GS40</f>
        <v>413.80599999999998</v>
      </c>
      <c r="I10" s="200">
        <f>'Haver Pivoted'!GT40</f>
        <v>428.11799999999999</v>
      </c>
      <c r="J10" s="200">
        <f>'Haver Pivoted'!GU40</f>
        <v>502.49</v>
      </c>
      <c r="K10" s="200">
        <f>'Haver Pivoted'!GV40</f>
        <v>481.71699999999998</v>
      </c>
      <c r="L10" s="200">
        <f>'Haver Pivoted'!GW40</f>
        <v>507.83699999999999</v>
      </c>
      <c r="M10" s="200">
        <f>'Haver Pivoted'!GX40</f>
        <v>511.34500000000003</v>
      </c>
      <c r="N10" s="200">
        <f>'Haver Pivoted'!GY40</f>
        <v>520.72900000000004</v>
      </c>
      <c r="O10" s="1280">
        <f>'Haver Pivoted'!GZ40</f>
        <v>0</v>
      </c>
      <c r="P10" s="202"/>
      <c r="Q10" s="202"/>
      <c r="R10" s="202"/>
      <c r="S10" s="777"/>
      <c r="T10" s="777"/>
      <c r="U10" s="777"/>
      <c r="V10" s="777"/>
      <c r="W10" s="777"/>
      <c r="X10" s="777"/>
      <c r="Y10" s="777"/>
      <c r="Z10" s="777"/>
      <c r="AA10" s="777"/>
      <c r="AB10" s="777"/>
      <c r="AC10" s="778"/>
    </row>
    <row r="11" spans="2:29" x14ac:dyDescent="0.3">
      <c r="B11" s="60" t="s">
        <v>521</v>
      </c>
      <c r="C11" s="35"/>
      <c r="D11" s="223">
        <f t="shared" ref="D11:N11" si="0">D10/D9</f>
        <v>0.6630466497031382</v>
      </c>
      <c r="E11" s="639">
        <f t="shared" si="0"/>
        <v>0.68262525050100198</v>
      </c>
      <c r="F11" s="639">
        <f t="shared" si="0"/>
        <v>0.6726509357200976</v>
      </c>
      <c r="G11" s="639">
        <f t="shared" si="0"/>
        <v>0.67244376606683809</v>
      </c>
      <c r="H11" s="639">
        <f t="shared" si="0"/>
        <v>0.66689121676067686</v>
      </c>
      <c r="I11" s="639">
        <f t="shared" si="0"/>
        <v>0.70623226657868687</v>
      </c>
      <c r="J11" s="639">
        <f t="shared" si="0"/>
        <v>0.76809844084377865</v>
      </c>
      <c r="K11" s="639">
        <f t="shared" si="0"/>
        <v>0.69773609501738121</v>
      </c>
      <c r="L11" s="639">
        <f t="shared" si="0"/>
        <v>0.7486908447589562</v>
      </c>
      <c r="M11" s="639">
        <f t="shared" si="0"/>
        <v>0.7347966661876707</v>
      </c>
      <c r="N11" s="639">
        <f t="shared" si="0"/>
        <v>0.71283915126625608</v>
      </c>
      <c r="O11" s="1281" t="e">
        <f t="shared" ref="O11" si="1">O10/O9</f>
        <v>#DIV/0!</v>
      </c>
      <c r="P11" s="885">
        <f t="shared" ref="P11:R11" si="2">AVERAGE($L$11:$M$11)</f>
        <v>0.7417437554733135</v>
      </c>
      <c r="Q11" s="885">
        <f t="shared" si="2"/>
        <v>0.7417437554733135</v>
      </c>
      <c r="R11" s="885">
        <f t="shared" si="2"/>
        <v>0.7417437554733135</v>
      </c>
      <c r="S11" s="885">
        <f>AVERAGE(D11:G11)</f>
        <v>0.67269165049776891</v>
      </c>
      <c r="T11" s="885">
        <f>AVERAGE(D11:G11)</f>
        <v>0.67269165049776891</v>
      </c>
      <c r="U11" s="885">
        <f t="shared" ref="U11:Y12" si="3">T11</f>
        <v>0.67269165049776891</v>
      </c>
      <c r="V11" s="885">
        <f t="shared" si="3"/>
        <v>0.67269165049776891</v>
      </c>
      <c r="W11" s="885">
        <f t="shared" si="3"/>
        <v>0.67269165049776891</v>
      </c>
      <c r="X11" s="885">
        <f t="shared" si="3"/>
        <v>0.67269165049776891</v>
      </c>
      <c r="Y11" s="885">
        <f t="shared" si="3"/>
        <v>0.67269165049776891</v>
      </c>
      <c r="Z11" s="885">
        <f t="shared" ref="Z11:Z12" si="4">Y11</f>
        <v>0.67269165049776891</v>
      </c>
      <c r="AA11" s="885">
        <f t="shared" ref="AA11:AA12" si="5">Z11</f>
        <v>0.67269165049776891</v>
      </c>
      <c r="AB11" s="885">
        <f t="shared" ref="AB11:AB12" si="6">AA11</f>
        <v>0.67269165049776891</v>
      </c>
      <c r="AC11" s="894">
        <f t="shared" ref="AC11:AC12" si="7">AB11</f>
        <v>0.67269165049776891</v>
      </c>
    </row>
    <row r="12" spans="2:29" x14ac:dyDescent="0.3">
      <c r="B12" s="215" t="s">
        <v>522</v>
      </c>
      <c r="C12" s="46"/>
      <c r="D12" s="640">
        <f t="shared" ref="D12:M12" si="8">D11</f>
        <v>0.6630466497031382</v>
      </c>
      <c r="E12" s="237">
        <f t="shared" si="8"/>
        <v>0.68262525050100198</v>
      </c>
      <c r="F12" s="237">
        <f t="shared" si="8"/>
        <v>0.6726509357200976</v>
      </c>
      <c r="G12" s="237">
        <f t="shared" si="8"/>
        <v>0.67244376606683809</v>
      </c>
      <c r="H12" s="237">
        <f t="shared" si="8"/>
        <v>0.66689121676067686</v>
      </c>
      <c r="I12" s="237">
        <f t="shared" si="8"/>
        <v>0.70623226657868687</v>
      </c>
      <c r="J12" s="237">
        <f t="shared" si="8"/>
        <v>0.76809844084377865</v>
      </c>
      <c r="K12" s="237">
        <f t="shared" si="8"/>
        <v>0.69773609501738121</v>
      </c>
      <c r="L12" s="237">
        <f t="shared" si="8"/>
        <v>0.7486908447589562</v>
      </c>
      <c r="M12" s="237">
        <f t="shared" si="8"/>
        <v>0.7347966661876707</v>
      </c>
      <c r="N12" s="1278">
        <f>N11+F44</f>
        <v>0.72226866700127546</v>
      </c>
      <c r="O12" s="1282">
        <f>N12</f>
        <v>0.72226866700127546</v>
      </c>
      <c r="P12" s="446">
        <f>O12</f>
        <v>0.72226866700127546</v>
      </c>
      <c r="Q12" s="446" t="e">
        <f>Q11+G44</f>
        <v>#DIV/0!</v>
      </c>
      <c r="R12" s="446" t="e">
        <f>Q12</f>
        <v>#DIV/0!</v>
      </c>
      <c r="S12" s="446" t="e">
        <f>S11+G44</f>
        <v>#DIV/0!</v>
      </c>
      <c r="T12" s="446" t="e">
        <f>T11+H44</f>
        <v>#DIV/0!</v>
      </c>
      <c r="U12" s="446" t="e">
        <f t="shared" si="3"/>
        <v>#DIV/0!</v>
      </c>
      <c r="V12" s="446" t="e">
        <f t="shared" si="3"/>
        <v>#DIV/0!</v>
      </c>
      <c r="W12" s="446" t="e">
        <f t="shared" si="3"/>
        <v>#DIV/0!</v>
      </c>
      <c r="X12" s="446" t="e">
        <f t="shared" si="3"/>
        <v>#DIV/0!</v>
      </c>
      <c r="Y12" s="446" t="e">
        <f t="shared" si="3"/>
        <v>#DIV/0!</v>
      </c>
      <c r="Z12" s="446" t="e">
        <f t="shared" si="4"/>
        <v>#DIV/0!</v>
      </c>
      <c r="AA12" s="446" t="e">
        <f t="shared" si="5"/>
        <v>#DIV/0!</v>
      </c>
      <c r="AB12" s="446" t="e">
        <f t="shared" si="6"/>
        <v>#DIV/0!</v>
      </c>
      <c r="AC12" s="895" t="e">
        <f t="shared" si="7"/>
        <v>#DIV/0!</v>
      </c>
    </row>
    <row r="14" spans="2:29" x14ac:dyDescent="0.3">
      <c r="B14" s="56" t="s">
        <v>398</v>
      </c>
    </row>
    <row r="15" spans="2:29" ht="25" customHeight="1" x14ac:dyDescent="0.3">
      <c r="B15" s="442" t="s">
        <v>420</v>
      </c>
      <c r="C15" s="732">
        <v>2020</v>
      </c>
      <c r="D15" s="733">
        <v>2021</v>
      </c>
      <c r="E15" s="733">
        <v>2022</v>
      </c>
      <c r="F15" s="733">
        <v>2023</v>
      </c>
      <c r="G15" s="734">
        <v>2024</v>
      </c>
      <c r="H15" s="441"/>
      <c r="I15" s="441"/>
      <c r="J15" s="441"/>
    </row>
    <row r="16" spans="2:29" ht="31.5" customHeight="1" x14ac:dyDescent="0.3">
      <c r="B16" s="53" t="s">
        <v>415</v>
      </c>
      <c r="C16" s="729">
        <v>458.46800000000002</v>
      </c>
      <c r="D16" s="730">
        <v>519.15800000000002</v>
      </c>
      <c r="E16" s="730">
        <v>545.428</v>
      </c>
      <c r="F16" s="730">
        <v>512.61800000000005</v>
      </c>
      <c r="G16" s="731">
        <v>601.92600000000004</v>
      </c>
    </row>
    <row r="17" spans="2:25" x14ac:dyDescent="0.3">
      <c r="B17" s="45" t="s">
        <v>416</v>
      </c>
      <c r="C17" s="223">
        <f>AVERAGE(H11:K11)</f>
        <v>0.70973950480013093</v>
      </c>
      <c r="D17" s="440" t="e">
        <f>AVERAGE(L11:O11)</f>
        <v>#DIV/0!</v>
      </c>
      <c r="E17" s="440">
        <f>AVERAGE(P11:S11)</f>
        <v>0.7244807292294273</v>
      </c>
      <c r="F17" s="440">
        <f>AVERAGE(T11:W11)</f>
        <v>0.67269165049776891</v>
      </c>
      <c r="G17" s="222">
        <f>F17</f>
        <v>0.67269165049776891</v>
      </c>
    </row>
    <row r="18" spans="2:25" x14ac:dyDescent="0.3">
      <c r="B18" s="45" t="s">
        <v>1048</v>
      </c>
      <c r="C18" s="187">
        <f>C16/C17</f>
        <v>645.96657914527214</v>
      </c>
      <c r="D18" s="368" t="e">
        <f>D16/D17</f>
        <v>#DIV/0!</v>
      </c>
      <c r="E18" s="368">
        <f>E16/E17</f>
        <v>752.8537033416037</v>
      </c>
      <c r="F18" s="368">
        <f>F16/F17</f>
        <v>762.04008124774577</v>
      </c>
      <c r="G18" s="358">
        <f>G16/G17</f>
        <v>894.80224640010817</v>
      </c>
    </row>
    <row r="19" spans="2:25" ht="32" customHeight="1" x14ac:dyDescent="0.3">
      <c r="B19" s="192" t="s">
        <v>417</v>
      </c>
      <c r="C19" s="188"/>
      <c r="D19" s="237" t="e">
        <f>D18/C18-1</f>
        <v>#DIV/0!</v>
      </c>
      <c r="E19" s="237" t="e">
        <f>E18/D18-1</f>
        <v>#DIV/0!</v>
      </c>
      <c r="F19" s="237">
        <f>F18/E18-1</f>
        <v>1.2202075735787243E-2</v>
      </c>
      <c r="G19" s="214">
        <f>G18/F18-1</f>
        <v>0.17421939924076035</v>
      </c>
      <c r="I19" s="219"/>
      <c r="J19" s="219"/>
      <c r="K19" s="219"/>
      <c r="L19" s="219"/>
    </row>
    <row r="21" spans="2:25" x14ac:dyDescent="0.3">
      <c r="B21" s="56" t="s">
        <v>399</v>
      </c>
    </row>
    <row r="22" spans="2:25" x14ac:dyDescent="0.3">
      <c r="B22" s="1434" t="s">
        <v>418</v>
      </c>
      <c r="C22" s="1407"/>
      <c r="D22" s="1346" t="s">
        <v>261</v>
      </c>
      <c r="E22" s="1347"/>
      <c r="F22" s="1347"/>
      <c r="G22" s="1347"/>
      <c r="H22" s="1347"/>
      <c r="I22" s="1347"/>
      <c r="J22" s="1347"/>
      <c r="K22" s="1348"/>
      <c r="L22" s="1378" t="s">
        <v>143</v>
      </c>
      <c r="M22" s="1379"/>
      <c r="N22" s="1379"/>
      <c r="O22" s="1379"/>
      <c r="P22" s="1379"/>
      <c r="Q22" s="1379"/>
      <c r="R22" s="1379"/>
      <c r="S22" s="1379"/>
      <c r="T22" s="1379"/>
      <c r="U22" s="1379"/>
      <c r="V22" s="1379"/>
      <c r="W22" s="1379"/>
      <c r="X22" s="1379"/>
      <c r="Y22" s="1380"/>
    </row>
    <row r="23" spans="2:25" x14ac:dyDescent="0.3">
      <c r="B23" s="1340"/>
      <c r="C23" s="1436"/>
      <c r="D23" s="820"/>
      <c r="E23" s="1342">
        <v>2020</v>
      </c>
      <c r="F23" s="1342"/>
      <c r="G23" s="1342"/>
      <c r="H23" s="1342"/>
      <c r="I23" s="1335">
        <v>2021</v>
      </c>
      <c r="J23" s="1336"/>
      <c r="K23" s="1337"/>
      <c r="L23" s="803">
        <v>2021</v>
      </c>
      <c r="M23" s="1440">
        <v>2022</v>
      </c>
      <c r="N23" s="1441"/>
      <c r="O23" s="1441"/>
      <c r="P23" s="1441"/>
      <c r="Q23" s="1440">
        <v>2023</v>
      </c>
      <c r="R23" s="1441"/>
      <c r="S23" s="1441"/>
      <c r="T23" s="1441"/>
      <c r="U23" s="1343">
        <v>2024</v>
      </c>
      <c r="V23" s="1344"/>
      <c r="W23" s="1344"/>
      <c r="X23" s="1344"/>
      <c r="Y23" s="439">
        <v>2025</v>
      </c>
    </row>
    <row r="24" spans="2:25" x14ac:dyDescent="0.3">
      <c r="B24" s="1383"/>
      <c r="C24" s="1409"/>
      <c r="D24" s="213" t="s">
        <v>138</v>
      </c>
      <c r="E24" s="190" t="s">
        <v>135</v>
      </c>
      <c r="F24" s="190" t="s">
        <v>136</v>
      </c>
      <c r="G24" s="190" t="s">
        <v>137</v>
      </c>
      <c r="H24" s="190" t="s">
        <v>138</v>
      </c>
      <c r="I24" s="205" t="s">
        <v>135</v>
      </c>
      <c r="J24" s="190" t="s">
        <v>136</v>
      </c>
      <c r="K24" s="1056" t="s">
        <v>137</v>
      </c>
      <c r="L24" s="778" t="s">
        <v>138</v>
      </c>
      <c r="M24" s="776" t="s">
        <v>135</v>
      </c>
      <c r="N24" s="777" t="s">
        <v>136</v>
      </c>
      <c r="O24" s="777" t="s">
        <v>137</v>
      </c>
      <c r="P24" s="777" t="s">
        <v>138</v>
      </c>
      <c r="Q24" s="776" t="s">
        <v>135</v>
      </c>
      <c r="R24" s="777" t="s">
        <v>136</v>
      </c>
      <c r="S24" s="777" t="s">
        <v>137</v>
      </c>
      <c r="T24" s="777" t="s">
        <v>138</v>
      </c>
      <c r="U24" s="911" t="s">
        <v>135</v>
      </c>
      <c r="V24" s="533" t="s">
        <v>136</v>
      </c>
      <c r="W24" s="912" t="s">
        <v>137</v>
      </c>
      <c r="X24" s="912" t="s">
        <v>138</v>
      </c>
      <c r="Y24" s="80" t="s">
        <v>135</v>
      </c>
    </row>
    <row r="25" spans="2:25" ht="19.5" customHeight="1" x14ac:dyDescent="0.35">
      <c r="B25" s="930" t="s">
        <v>1147</v>
      </c>
      <c r="C25" s="931"/>
      <c r="D25" s="1272">
        <f t="shared" ref="D25:K25" si="9">H9</f>
        <v>620.5</v>
      </c>
      <c r="E25" s="1273">
        <f t="shared" si="9"/>
        <v>606.20000000000005</v>
      </c>
      <c r="F25" s="1273">
        <f t="shared" si="9"/>
        <v>654.20000000000005</v>
      </c>
      <c r="G25" s="1273">
        <f t="shared" si="9"/>
        <v>690.4</v>
      </c>
      <c r="H25" s="1273">
        <f t="shared" si="9"/>
        <v>678.3</v>
      </c>
      <c r="I25" s="1273">
        <f t="shared" si="9"/>
        <v>695.9</v>
      </c>
      <c r="J25" s="1273">
        <f t="shared" si="9"/>
        <v>730.5</v>
      </c>
      <c r="K25" s="1274">
        <f t="shared" si="9"/>
        <v>0</v>
      </c>
      <c r="L25" s="932" t="e">
        <f>K25*(1+$E$19)^0.25</f>
        <v>#DIV/0!</v>
      </c>
      <c r="M25" s="932" t="e">
        <f>L25*(1+$E$19)^0.25</f>
        <v>#DIV/0!</v>
      </c>
      <c r="N25" s="932" t="e">
        <f>M25*(1+$E$19)^0.25</f>
        <v>#DIV/0!</v>
      </c>
      <c r="O25" s="932" t="e">
        <f>N25*(1+$E$19)^0.25</f>
        <v>#DIV/0!</v>
      </c>
      <c r="P25" s="932" t="e">
        <f>O25*(1+$F$19)^0.25</f>
        <v>#DIV/0!</v>
      </c>
      <c r="Q25" s="932" t="e">
        <f>P25*(1+$F$19)^0.25</f>
        <v>#DIV/0!</v>
      </c>
      <c r="R25" s="932" t="e">
        <f>Q25*(1+$F$19)^0.25</f>
        <v>#DIV/0!</v>
      </c>
      <c r="S25" s="932" t="e">
        <f>R25*(1+$F$19)^0.25</f>
        <v>#DIV/0!</v>
      </c>
      <c r="T25" s="932" t="e">
        <f t="shared" ref="T25:Y25" si="10">S25*(1+$G$19)^0.25</f>
        <v>#DIV/0!</v>
      </c>
      <c r="U25" s="932" t="e">
        <f t="shared" si="10"/>
        <v>#DIV/0!</v>
      </c>
      <c r="V25" s="932" t="e">
        <f t="shared" si="10"/>
        <v>#DIV/0!</v>
      </c>
      <c r="W25" s="932" t="e">
        <f t="shared" si="10"/>
        <v>#DIV/0!</v>
      </c>
      <c r="X25" s="932" t="e">
        <f t="shared" si="10"/>
        <v>#DIV/0!</v>
      </c>
      <c r="Y25" s="933" t="e">
        <f t="shared" si="10"/>
        <v>#DIV/0!</v>
      </c>
    </row>
    <row r="26" spans="2:25" ht="19" customHeight="1" x14ac:dyDescent="0.35">
      <c r="B26" s="181" t="s">
        <v>140</v>
      </c>
      <c r="C26" s="182"/>
      <c r="D26" s="853">
        <f>D25*H12</f>
        <v>413.80599999999998</v>
      </c>
      <c r="E26" s="244">
        <f t="shared" ref="E26:Y26" si="11">E25*I12</f>
        <v>428.11799999999999</v>
      </c>
      <c r="F26" s="244">
        <f t="shared" si="11"/>
        <v>502.49</v>
      </c>
      <c r="G26" s="244">
        <f t="shared" si="11"/>
        <v>481.71699999999998</v>
      </c>
      <c r="H26" s="244">
        <f t="shared" si="11"/>
        <v>507.83699999999993</v>
      </c>
      <c r="I26" s="244">
        <f t="shared" si="11"/>
        <v>511.34500000000003</v>
      </c>
      <c r="J26" s="244">
        <f t="shared" si="11"/>
        <v>527.61726124443169</v>
      </c>
      <c r="K26" s="1275">
        <f t="shared" si="11"/>
        <v>0</v>
      </c>
      <c r="L26" s="444" t="e">
        <f t="shared" si="11"/>
        <v>#DIV/0!</v>
      </c>
      <c r="M26" s="444" t="e">
        <f t="shared" si="11"/>
        <v>#DIV/0!</v>
      </c>
      <c r="N26" s="444" t="e">
        <f t="shared" si="11"/>
        <v>#DIV/0!</v>
      </c>
      <c r="O26" s="444" t="e">
        <f t="shared" si="11"/>
        <v>#DIV/0!</v>
      </c>
      <c r="P26" s="444" t="e">
        <f t="shared" si="11"/>
        <v>#DIV/0!</v>
      </c>
      <c r="Q26" s="444" t="e">
        <f t="shared" si="11"/>
        <v>#DIV/0!</v>
      </c>
      <c r="R26" s="444" t="e">
        <f t="shared" si="11"/>
        <v>#DIV/0!</v>
      </c>
      <c r="S26" s="444" t="e">
        <f t="shared" si="11"/>
        <v>#DIV/0!</v>
      </c>
      <c r="T26" s="444" t="e">
        <f t="shared" si="11"/>
        <v>#DIV/0!</v>
      </c>
      <c r="U26" s="444" t="e">
        <f t="shared" si="11"/>
        <v>#DIV/0!</v>
      </c>
      <c r="V26" s="444" t="e">
        <f t="shared" si="11"/>
        <v>#DIV/0!</v>
      </c>
      <c r="W26" s="444" t="e">
        <f t="shared" si="11"/>
        <v>#DIV/0!</v>
      </c>
      <c r="X26" s="444" t="e">
        <f t="shared" si="11"/>
        <v>#DIV/0!</v>
      </c>
      <c r="Y26" s="445" t="e">
        <f t="shared" si="11"/>
        <v>#DIV/0!</v>
      </c>
    </row>
    <row r="27" spans="2:25" ht="19" customHeight="1" x14ac:dyDescent="0.3">
      <c r="B27" s="215" t="s">
        <v>419</v>
      </c>
      <c r="C27" s="46"/>
      <c r="D27" s="1276">
        <f t="shared" ref="D27:Y27" si="12">D25-D26</f>
        <v>206.69400000000002</v>
      </c>
      <c r="E27" s="927">
        <f t="shared" si="12"/>
        <v>178.08200000000005</v>
      </c>
      <c r="F27" s="927">
        <f t="shared" si="12"/>
        <v>151.71000000000004</v>
      </c>
      <c r="G27" s="927">
        <f t="shared" si="12"/>
        <v>208.68299999999999</v>
      </c>
      <c r="H27" s="927">
        <f t="shared" si="12"/>
        <v>170.46300000000002</v>
      </c>
      <c r="I27" s="927">
        <f t="shared" si="12"/>
        <v>184.55499999999995</v>
      </c>
      <c r="J27" s="927">
        <f t="shared" si="12"/>
        <v>202.88273875556831</v>
      </c>
      <c r="K27" s="1277">
        <f t="shared" si="12"/>
        <v>0</v>
      </c>
      <c r="L27" s="928" t="e">
        <f t="shared" si="12"/>
        <v>#DIV/0!</v>
      </c>
      <c r="M27" s="928" t="e">
        <f t="shared" si="12"/>
        <v>#DIV/0!</v>
      </c>
      <c r="N27" s="928" t="e">
        <f t="shared" si="12"/>
        <v>#DIV/0!</v>
      </c>
      <c r="O27" s="928" t="e">
        <f t="shared" si="12"/>
        <v>#DIV/0!</v>
      </c>
      <c r="P27" s="928" t="e">
        <f t="shared" si="12"/>
        <v>#DIV/0!</v>
      </c>
      <c r="Q27" s="928" t="e">
        <f t="shared" si="12"/>
        <v>#DIV/0!</v>
      </c>
      <c r="R27" s="928" t="e">
        <f t="shared" si="12"/>
        <v>#DIV/0!</v>
      </c>
      <c r="S27" s="928" t="e">
        <f t="shared" si="12"/>
        <v>#DIV/0!</v>
      </c>
      <c r="T27" s="928" t="e">
        <f t="shared" si="12"/>
        <v>#DIV/0!</v>
      </c>
      <c r="U27" s="928" t="e">
        <f t="shared" si="12"/>
        <v>#DIV/0!</v>
      </c>
      <c r="V27" s="928" t="e">
        <f t="shared" si="12"/>
        <v>#DIV/0!</v>
      </c>
      <c r="W27" s="928" t="e">
        <f t="shared" si="12"/>
        <v>#DIV/0!</v>
      </c>
      <c r="X27" s="928" t="e">
        <f t="shared" si="12"/>
        <v>#DIV/0!</v>
      </c>
      <c r="Y27" s="929" t="e">
        <f t="shared" si="12"/>
        <v>#DIV/0!</v>
      </c>
    </row>
    <row r="28" spans="2:25" x14ac:dyDescent="0.3">
      <c r="D28" s="220"/>
      <c r="E28" s="220"/>
      <c r="F28" s="220"/>
      <c r="G28" s="220"/>
      <c r="H28" s="220"/>
      <c r="I28" s="307"/>
      <c r="J28" s="220"/>
      <c r="K28" s="220"/>
      <c r="L28" s="220"/>
      <c r="M28" s="220"/>
      <c r="N28" s="220"/>
      <c r="O28" s="220"/>
      <c r="P28" s="220"/>
      <c r="Q28" s="220"/>
      <c r="R28" s="220"/>
      <c r="S28" s="220"/>
    </row>
    <row r="29" spans="2:25" x14ac:dyDescent="0.3">
      <c r="D29" s="220"/>
      <c r="E29" s="220"/>
      <c r="F29" s="220"/>
      <c r="G29" s="220"/>
      <c r="H29" s="220"/>
      <c r="I29" s="307"/>
      <c r="J29" s="220"/>
      <c r="K29" s="220"/>
      <c r="L29" s="220"/>
      <c r="M29" s="220"/>
      <c r="N29" s="220"/>
      <c r="O29" s="220"/>
      <c r="P29" s="220"/>
      <c r="Q29" s="220"/>
      <c r="R29" s="220"/>
      <c r="S29" s="220"/>
    </row>
    <row r="32" spans="2:25" x14ac:dyDescent="0.3">
      <c r="B32" s="455" t="s">
        <v>523</v>
      </c>
      <c r="C32" s="456"/>
      <c r="D32" s="456"/>
      <c r="E32" s="457"/>
      <c r="F32" s="458">
        <v>2021</v>
      </c>
      <c r="G32" s="458">
        <v>2022</v>
      </c>
      <c r="H32" s="458">
        <v>2023</v>
      </c>
      <c r="I32" s="458">
        <v>2024</v>
      </c>
      <c r="J32" s="458">
        <v>2025</v>
      </c>
      <c r="K32" s="458">
        <v>2025</v>
      </c>
      <c r="L32" s="458">
        <v>2027</v>
      </c>
      <c r="M32" s="458">
        <v>2028</v>
      </c>
      <c r="N32" s="458">
        <v>2029</v>
      </c>
      <c r="O32" s="458">
        <v>2030</v>
      </c>
      <c r="P32" s="459">
        <v>2031</v>
      </c>
    </row>
    <row r="33" spans="2:17" x14ac:dyDescent="0.3">
      <c r="B33" s="1428" t="s">
        <v>662</v>
      </c>
      <c r="C33" s="1429"/>
      <c r="D33" s="1429"/>
      <c r="E33" s="1430"/>
      <c r="F33" s="47">
        <v>287</v>
      </c>
      <c r="G33" s="47">
        <v>534</v>
      </c>
      <c r="H33" s="47">
        <v>247</v>
      </c>
      <c r="I33" s="47">
        <v>63</v>
      </c>
      <c r="J33" s="47"/>
      <c r="K33" s="47"/>
      <c r="L33" s="47"/>
      <c r="M33" s="47"/>
      <c r="N33" s="47"/>
      <c r="O33" s="47"/>
      <c r="P33" s="358"/>
    </row>
    <row r="34" spans="2:17" x14ac:dyDescent="0.3">
      <c r="B34" s="1428" t="s">
        <v>663</v>
      </c>
      <c r="C34" s="1429"/>
      <c r="D34" s="1429"/>
      <c r="E34" s="1430"/>
      <c r="F34" s="47">
        <v>0</v>
      </c>
      <c r="G34" s="47">
        <v>0</v>
      </c>
      <c r="H34" s="47">
        <v>756</v>
      </c>
      <c r="I34" s="47">
        <v>1249</v>
      </c>
      <c r="J34" s="47">
        <v>1417</v>
      </c>
      <c r="K34" s="47">
        <v>1522</v>
      </c>
      <c r="L34" s="47">
        <v>1107</v>
      </c>
      <c r="M34" s="47"/>
      <c r="N34" s="47"/>
      <c r="O34" s="47"/>
      <c r="P34" s="358"/>
    </row>
    <row r="35" spans="2:17" x14ac:dyDescent="0.3">
      <c r="B35" s="1428" t="s">
        <v>664</v>
      </c>
      <c r="C35" s="1429"/>
      <c r="D35" s="1429"/>
      <c r="E35" s="1430"/>
      <c r="F35" s="47">
        <v>0</v>
      </c>
      <c r="G35" s="47">
        <v>5</v>
      </c>
      <c r="H35" s="47">
        <v>77</v>
      </c>
      <c r="I35" s="47">
        <v>307</v>
      </c>
      <c r="J35" s="47">
        <v>332</v>
      </c>
      <c r="K35" s="47">
        <v>270</v>
      </c>
      <c r="L35" s="47">
        <v>25</v>
      </c>
      <c r="M35" s="47">
        <v>32</v>
      </c>
      <c r="N35" s="47">
        <v>40</v>
      </c>
      <c r="O35" s="47">
        <v>49</v>
      </c>
      <c r="P35" s="358">
        <v>58</v>
      </c>
    </row>
    <row r="36" spans="2:17" ht="32.5" customHeight="1" x14ac:dyDescent="0.3">
      <c r="B36" s="1437" t="s">
        <v>665</v>
      </c>
      <c r="C36" s="1438"/>
      <c r="D36" s="1438"/>
      <c r="E36" s="1439"/>
      <c r="F36" s="47">
        <v>0</v>
      </c>
      <c r="G36" s="47">
        <v>0</v>
      </c>
      <c r="H36" s="47">
        <v>3768</v>
      </c>
      <c r="I36" s="47">
        <v>3428</v>
      </c>
      <c r="J36" s="47">
        <v>2176</v>
      </c>
      <c r="K36" s="47">
        <v>2304</v>
      </c>
      <c r="L36" s="47">
        <v>2129</v>
      </c>
      <c r="M36" s="47">
        <v>1335</v>
      </c>
      <c r="N36" s="47">
        <v>478</v>
      </c>
      <c r="O36" s="47">
        <v>531</v>
      </c>
      <c r="P36" s="358">
        <v>212</v>
      </c>
    </row>
    <row r="37" spans="2:17" ht="32.5" customHeight="1" x14ac:dyDescent="0.3">
      <c r="B37" s="1437" t="s">
        <v>670</v>
      </c>
      <c r="C37" s="1438"/>
      <c r="D37" s="1438"/>
      <c r="E37" s="1439"/>
      <c r="F37" s="47">
        <v>38</v>
      </c>
      <c r="G37" s="47">
        <v>81</v>
      </c>
      <c r="H37" s="47">
        <v>43</v>
      </c>
      <c r="I37" s="47"/>
      <c r="J37" s="47"/>
      <c r="K37" s="47"/>
      <c r="L37" s="47"/>
      <c r="M37" s="47"/>
      <c r="N37" s="47"/>
      <c r="O37" s="47"/>
      <c r="P37" s="358"/>
    </row>
    <row r="38" spans="2:17" x14ac:dyDescent="0.3">
      <c r="B38" s="1428" t="s">
        <v>666</v>
      </c>
      <c r="C38" s="1429"/>
      <c r="D38" s="1429"/>
      <c r="E38" s="1430"/>
      <c r="F38" s="47"/>
      <c r="G38" s="47"/>
      <c r="H38" s="47"/>
      <c r="I38" s="47">
        <v>-184</v>
      </c>
      <c r="J38" s="47">
        <v>-1830</v>
      </c>
      <c r="K38" s="47">
        <v>-2406</v>
      </c>
      <c r="L38" s="47">
        <v>-2419</v>
      </c>
      <c r="M38" s="47">
        <v>-2467</v>
      </c>
      <c r="N38" s="47">
        <v>-2531</v>
      </c>
      <c r="O38" s="47">
        <v>-2667</v>
      </c>
      <c r="P38" s="358">
        <v>-2809</v>
      </c>
    </row>
    <row r="39" spans="2:17" ht="15.5" customHeight="1" x14ac:dyDescent="0.3">
      <c r="B39" s="1425" t="s">
        <v>667</v>
      </c>
      <c r="C39" s="1426"/>
      <c r="D39" s="1426"/>
      <c r="E39" s="1427"/>
      <c r="F39" s="47">
        <v>6524</v>
      </c>
      <c r="G39" s="47">
        <v>6143</v>
      </c>
      <c r="H39" s="47"/>
      <c r="I39" s="47"/>
      <c r="J39" s="47"/>
      <c r="K39" s="47"/>
      <c r="L39" s="47"/>
      <c r="M39" s="47"/>
      <c r="N39" s="47"/>
      <c r="O39" s="47"/>
      <c r="P39" s="358"/>
    </row>
    <row r="40" spans="2:17" x14ac:dyDescent="0.3">
      <c r="B40" s="1428" t="s">
        <v>668</v>
      </c>
      <c r="C40" s="1429"/>
      <c r="D40" s="1429"/>
      <c r="E40" s="1430"/>
      <c r="F40" s="47">
        <v>50</v>
      </c>
      <c r="G40" s="47">
        <v>175</v>
      </c>
      <c r="H40" s="47">
        <v>25</v>
      </c>
      <c r="I40" s="47"/>
      <c r="J40" s="47"/>
      <c r="K40" s="47"/>
      <c r="L40" s="47"/>
      <c r="M40" s="47"/>
      <c r="N40" s="47"/>
      <c r="O40" s="47"/>
      <c r="P40" s="358"/>
    </row>
    <row r="41" spans="2:17" x14ac:dyDescent="0.3">
      <c r="B41" s="1428" t="s">
        <v>669</v>
      </c>
      <c r="C41" s="1429"/>
      <c r="D41" s="1429"/>
      <c r="E41" s="1430"/>
      <c r="F41" s="47">
        <v>829</v>
      </c>
      <c r="G41" s="47">
        <v>844</v>
      </c>
      <c r="H41" s="47"/>
      <c r="I41" s="47"/>
      <c r="J41" s="47"/>
      <c r="K41" s="47"/>
      <c r="L41" s="47"/>
      <c r="M41" s="47"/>
      <c r="N41" s="47"/>
      <c r="O41" s="47"/>
      <c r="P41" s="358"/>
    </row>
    <row r="42" spans="2:17" x14ac:dyDescent="0.3">
      <c r="B42" s="1431" t="s">
        <v>658</v>
      </c>
      <c r="C42" s="1432"/>
      <c r="D42" s="1432"/>
      <c r="E42" s="1433"/>
      <c r="F42" s="47">
        <f t="shared" ref="F42:P42" si="13">SUM(F33:F41)</f>
        <v>7728</v>
      </c>
      <c r="G42" s="47">
        <f t="shared" si="13"/>
        <v>7782</v>
      </c>
      <c r="H42" s="47">
        <f t="shared" si="13"/>
        <v>4916</v>
      </c>
      <c r="I42" s="47">
        <f t="shared" si="13"/>
        <v>4863</v>
      </c>
      <c r="J42" s="47">
        <f t="shared" si="13"/>
        <v>2095</v>
      </c>
      <c r="K42" s="47">
        <f t="shared" si="13"/>
        <v>1690</v>
      </c>
      <c r="L42" s="47">
        <f t="shared" si="13"/>
        <v>842</v>
      </c>
      <c r="M42" s="47">
        <f t="shared" si="13"/>
        <v>-1100</v>
      </c>
      <c r="N42" s="47">
        <f t="shared" si="13"/>
        <v>-2013</v>
      </c>
      <c r="O42" s="47">
        <f t="shared" si="13"/>
        <v>-2087</v>
      </c>
      <c r="P42" s="358">
        <f t="shared" si="13"/>
        <v>-2539</v>
      </c>
    </row>
    <row r="43" spans="2:17" x14ac:dyDescent="0.3">
      <c r="B43" s="1425" t="s">
        <v>524</v>
      </c>
      <c r="C43" s="1426"/>
      <c r="D43" s="1426"/>
      <c r="E43" s="1427"/>
      <c r="F43" s="47">
        <f t="shared" ref="F43:P43" si="14">F39+F37+F36</f>
        <v>6562</v>
      </c>
      <c r="G43" s="47">
        <f t="shared" si="14"/>
        <v>6224</v>
      </c>
      <c r="H43" s="47">
        <f t="shared" si="14"/>
        <v>3811</v>
      </c>
      <c r="I43" s="47">
        <f t="shared" si="14"/>
        <v>3428</v>
      </c>
      <c r="J43" s="47">
        <f t="shared" si="14"/>
        <v>2176</v>
      </c>
      <c r="K43" s="47">
        <f t="shared" si="14"/>
        <v>2304</v>
      </c>
      <c r="L43" s="47">
        <f t="shared" si="14"/>
        <v>2129</v>
      </c>
      <c r="M43" s="47">
        <f t="shared" si="14"/>
        <v>1335</v>
      </c>
      <c r="N43" s="47">
        <f t="shared" si="14"/>
        <v>478</v>
      </c>
      <c r="O43" s="47">
        <f t="shared" si="14"/>
        <v>531</v>
      </c>
      <c r="P43" s="358">
        <f t="shared" si="14"/>
        <v>212</v>
      </c>
      <c r="Q43" s="286" t="s">
        <v>661</v>
      </c>
    </row>
    <row r="44" spans="2:17" x14ac:dyDescent="0.3">
      <c r="B44" s="1428" t="s">
        <v>525</v>
      </c>
      <c r="C44" s="1429"/>
      <c r="D44" s="1429"/>
      <c r="E44" s="1430"/>
      <c r="F44" s="47">
        <f>(F43/1000)/I25</f>
        <v>9.4295157350194007E-3</v>
      </c>
      <c r="G44" s="47" t="e">
        <f>(G43/1000)/N25</f>
        <v>#DIV/0!</v>
      </c>
      <c r="H44" s="47" t="e">
        <f>(H43/1000)/S25</f>
        <v>#DIV/0!</v>
      </c>
      <c r="I44" s="47" t="e">
        <f>(I43/1000)/T25</f>
        <v>#DIV/0!</v>
      </c>
      <c r="J44" s="47"/>
      <c r="K44" s="47"/>
      <c r="L44" s="47"/>
      <c r="M44" s="47"/>
      <c r="N44" s="47"/>
      <c r="O44" s="47"/>
      <c r="P44" s="358"/>
      <c r="Q44" s="286" t="s">
        <v>660</v>
      </c>
    </row>
    <row r="45" spans="2:17" x14ac:dyDescent="0.3">
      <c r="B45" s="1422" t="s">
        <v>659</v>
      </c>
      <c r="C45" s="1423"/>
      <c r="D45" s="1423"/>
      <c r="E45" s="1424"/>
      <c r="F45" s="186">
        <f t="shared" ref="F45:P45" si="15">F42-F43</f>
        <v>1166</v>
      </c>
      <c r="G45" s="186">
        <f t="shared" si="15"/>
        <v>1558</v>
      </c>
      <c r="H45" s="186">
        <f t="shared" si="15"/>
        <v>1105</v>
      </c>
      <c r="I45" s="186">
        <f t="shared" si="15"/>
        <v>1435</v>
      </c>
      <c r="J45" s="186">
        <f t="shared" si="15"/>
        <v>-81</v>
      </c>
      <c r="K45" s="186">
        <f t="shared" si="15"/>
        <v>-614</v>
      </c>
      <c r="L45" s="186">
        <f t="shared" si="15"/>
        <v>-1287</v>
      </c>
      <c r="M45" s="186">
        <f t="shared" si="15"/>
        <v>-2435</v>
      </c>
      <c r="N45" s="186">
        <f t="shared" si="15"/>
        <v>-2491</v>
      </c>
      <c r="O45" s="186">
        <f t="shared" si="15"/>
        <v>-2618</v>
      </c>
      <c r="P45" s="221">
        <f t="shared" si="15"/>
        <v>-2751</v>
      </c>
    </row>
  </sheetData>
  <mergeCells count="32">
    <mergeCell ref="B2:AC4"/>
    <mergeCell ref="Y7:AB7"/>
    <mergeCell ref="U7:X7"/>
    <mergeCell ref="D6:O6"/>
    <mergeCell ref="P6:AC6"/>
    <mergeCell ref="M7:O7"/>
    <mergeCell ref="B37:E37"/>
    <mergeCell ref="Q23:T23"/>
    <mergeCell ref="U23:X23"/>
    <mergeCell ref="E23:H23"/>
    <mergeCell ref="M23:P23"/>
    <mergeCell ref="I23:K23"/>
    <mergeCell ref="B22:C24"/>
    <mergeCell ref="B34:E34"/>
    <mergeCell ref="B35:E35"/>
    <mergeCell ref="B33:E33"/>
    <mergeCell ref="L22:Y22"/>
    <mergeCell ref="D22:K22"/>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D7" sqref="D7:AC9"/>
    </sheetView>
  </sheetViews>
  <sheetFormatPr defaultColWidth="8.81640625" defaultRowHeight="14" x14ac:dyDescent="0.3"/>
  <cols>
    <col min="1" max="1" width="8.81640625" style="225"/>
    <col min="2" max="2" width="42.81640625" style="225" customWidth="1"/>
    <col min="3" max="3" width="7.453125" style="225" bestFit="1" customWidth="1"/>
    <col min="4" max="4" width="8.81640625" style="225" customWidth="1"/>
    <col min="5" max="5" width="9" style="225" customWidth="1"/>
    <col min="6" max="13" width="8.81640625" style="225" bestFit="1" customWidth="1"/>
    <col min="14" max="14" width="9.1796875" style="225" bestFit="1" customWidth="1"/>
    <col min="15" max="19" width="8.81640625" style="225" bestFit="1" customWidth="1"/>
    <col min="20" max="22" width="9.1796875" style="225" bestFit="1" customWidth="1"/>
    <col min="23" max="16384" width="8.81640625" style="225"/>
  </cols>
  <sheetData>
    <row r="1" spans="2:29" x14ac:dyDescent="0.3">
      <c r="B1" s="1333" t="s">
        <v>383</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2:29" ht="14" customHeight="1" x14ac:dyDescent="0.3">
      <c r="B2" s="1334" t="s">
        <v>1009</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2:29"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2:29"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6" spans="2:29" x14ac:dyDescent="0.3">
      <c r="B6" s="56" t="s">
        <v>397</v>
      </c>
    </row>
    <row r="7" spans="2:29" ht="14.5" customHeight="1" x14ac:dyDescent="0.3">
      <c r="B7" s="1338" t="s">
        <v>290</v>
      </c>
      <c r="C7" s="1407"/>
      <c r="D7" s="1346" t="s">
        <v>261</v>
      </c>
      <c r="E7" s="1347"/>
      <c r="F7" s="1347"/>
      <c r="G7" s="1347"/>
      <c r="H7" s="1347"/>
      <c r="I7" s="1347"/>
      <c r="J7" s="1347"/>
      <c r="K7" s="1347"/>
      <c r="L7" s="1347"/>
      <c r="M7" s="1347"/>
      <c r="N7" s="1347"/>
      <c r="O7" s="1348"/>
      <c r="P7" s="1378" t="s">
        <v>143</v>
      </c>
      <c r="Q7" s="1379"/>
      <c r="R7" s="1379"/>
      <c r="S7" s="1379"/>
      <c r="T7" s="1379"/>
      <c r="U7" s="1379"/>
      <c r="V7" s="1379"/>
      <c r="W7" s="1379"/>
      <c r="X7" s="1379"/>
      <c r="Y7" s="1379"/>
      <c r="Z7" s="1379"/>
      <c r="AA7" s="1379"/>
      <c r="AB7" s="1379"/>
      <c r="AC7" s="1380"/>
    </row>
    <row r="8" spans="2:29" x14ac:dyDescent="0.3">
      <c r="B8" s="1340"/>
      <c r="C8" s="1408"/>
      <c r="D8" s="1183">
        <v>2018</v>
      </c>
      <c r="E8" s="1335">
        <v>2019</v>
      </c>
      <c r="F8" s="1342"/>
      <c r="G8" s="1342"/>
      <c r="H8" s="1337"/>
      <c r="I8" s="1335">
        <v>2020</v>
      </c>
      <c r="J8" s="1342"/>
      <c r="K8" s="1342"/>
      <c r="L8" s="1337"/>
      <c r="M8" s="1335">
        <v>2021</v>
      </c>
      <c r="N8" s="1336"/>
      <c r="O8" s="1337"/>
      <c r="P8" s="803">
        <v>2021</v>
      </c>
      <c r="Q8" s="1343">
        <v>2022</v>
      </c>
      <c r="R8" s="1385"/>
      <c r="S8" s="1385"/>
      <c r="T8" s="1345"/>
      <c r="U8" s="1343">
        <v>2023</v>
      </c>
      <c r="V8" s="1385"/>
      <c r="W8" s="1385"/>
      <c r="X8" s="1344"/>
      <c r="Y8" s="1343">
        <v>2024</v>
      </c>
      <c r="Z8" s="1344"/>
      <c r="AA8" s="1344"/>
      <c r="AB8" s="1345"/>
      <c r="AC8" s="439">
        <v>2025</v>
      </c>
    </row>
    <row r="9" spans="2:29" x14ac:dyDescent="0.3">
      <c r="B9" s="1340"/>
      <c r="C9" s="1408"/>
      <c r="D9" s="211" t="s">
        <v>138</v>
      </c>
      <c r="E9" s="211" t="s">
        <v>135</v>
      </c>
      <c r="F9" s="189" t="s">
        <v>136</v>
      </c>
      <c r="G9" s="189" t="s">
        <v>137</v>
      </c>
      <c r="H9" s="1056" t="s">
        <v>138</v>
      </c>
      <c r="I9" s="190" t="s">
        <v>135</v>
      </c>
      <c r="J9" s="190" t="s">
        <v>136</v>
      </c>
      <c r="K9" s="190" t="s">
        <v>137</v>
      </c>
      <c r="L9" s="190" t="s">
        <v>138</v>
      </c>
      <c r="M9" s="205" t="s">
        <v>135</v>
      </c>
      <c r="N9" s="190" t="s">
        <v>136</v>
      </c>
      <c r="O9" s="1056" t="s">
        <v>137</v>
      </c>
      <c r="P9" s="1184" t="s">
        <v>138</v>
      </c>
      <c r="Q9" s="1173" t="s">
        <v>135</v>
      </c>
      <c r="R9" s="1174" t="s">
        <v>136</v>
      </c>
      <c r="S9" s="1174" t="s">
        <v>137</v>
      </c>
      <c r="T9" s="1174" t="s">
        <v>138</v>
      </c>
      <c r="U9" s="1173" t="s">
        <v>135</v>
      </c>
      <c r="V9" s="1174" t="s">
        <v>136</v>
      </c>
      <c r="W9" s="1174" t="s">
        <v>137</v>
      </c>
      <c r="X9" s="1174" t="s">
        <v>138</v>
      </c>
      <c r="Y9" s="1173" t="s">
        <v>135</v>
      </c>
      <c r="Z9" s="533" t="s">
        <v>136</v>
      </c>
      <c r="AA9" s="1174" t="s">
        <v>137</v>
      </c>
      <c r="AB9" s="1175" t="s">
        <v>138</v>
      </c>
      <c r="AC9" s="80" t="s">
        <v>135</v>
      </c>
    </row>
    <row r="10" spans="2:29" ht="14.5" x14ac:dyDescent="0.35">
      <c r="B10" s="196" t="s">
        <v>422</v>
      </c>
      <c r="C10" s="216"/>
      <c r="D10" s="828">
        <f>D11 +D13</f>
        <v>754.2</v>
      </c>
      <c r="E10" s="1283">
        <f t="shared" ref="E10:AC10" si="0">E11 +E13</f>
        <v>768.3</v>
      </c>
      <c r="F10" s="1283">
        <f t="shared" si="0"/>
        <v>781.1</v>
      </c>
      <c r="G10" s="1283">
        <f t="shared" si="0"/>
        <v>792.1</v>
      </c>
      <c r="H10" s="1283">
        <f t="shared" si="0"/>
        <v>801.3</v>
      </c>
      <c r="I10" s="1283">
        <f t="shared" si="0"/>
        <v>808.5</v>
      </c>
      <c r="J10" s="1283">
        <f t="shared" si="0"/>
        <v>821.6</v>
      </c>
      <c r="K10" s="1283">
        <f t="shared" si="0"/>
        <v>825.8</v>
      </c>
      <c r="L10" s="1283">
        <f t="shared" si="0"/>
        <v>821</v>
      </c>
      <c r="M10" s="1283">
        <f t="shared" si="0"/>
        <v>814.1</v>
      </c>
      <c r="N10" s="1283">
        <f t="shared" si="0"/>
        <v>815.3</v>
      </c>
      <c r="O10" s="1284">
        <f t="shared" si="0"/>
        <v>0</v>
      </c>
      <c r="P10" s="923">
        <f t="shared" si="0"/>
        <v>-0.24817867266275329</v>
      </c>
      <c r="Q10" s="923">
        <f t="shared" si="0"/>
        <v>-16.514588757086585</v>
      </c>
      <c r="R10" s="923">
        <f t="shared" si="0"/>
        <v>-16.78598013313465</v>
      </c>
      <c r="S10" s="923">
        <f t="shared" si="0"/>
        <v>-31.062445940172523</v>
      </c>
      <c r="T10" s="923">
        <f t="shared" si="0"/>
        <v>-31.344081059070202</v>
      </c>
      <c r="U10" s="923">
        <f t="shared" si="0"/>
        <v>-31.630547174254353</v>
      </c>
      <c r="V10" s="923">
        <f t="shared" si="0"/>
        <v>-31.922361464727253</v>
      </c>
      <c r="W10" s="923">
        <f t="shared" si="0"/>
        <v>-32.219623778175603</v>
      </c>
      <c r="X10" s="923">
        <f t="shared" si="0"/>
        <v>-32.52243582639116</v>
      </c>
      <c r="Y10" s="923">
        <f t="shared" si="0"/>
        <v>-32.826488519509027</v>
      </c>
      <c r="Z10" s="923">
        <f t="shared" si="0"/>
        <v>-33.13613651595648</v>
      </c>
      <c r="AA10" s="923">
        <f t="shared" si="0"/>
        <v>-33.45148278281804</v>
      </c>
      <c r="AB10" s="923">
        <f t="shared" si="0"/>
        <v>-33.772632182021063</v>
      </c>
      <c r="AC10" s="924">
        <f t="shared" si="0"/>
        <v>-34.099691505205442</v>
      </c>
    </row>
    <row r="11" spans="2:29" x14ac:dyDescent="0.3">
      <c r="B11" s="92" t="s">
        <v>383</v>
      </c>
      <c r="C11" s="210" t="s">
        <v>210</v>
      </c>
      <c r="D11" s="829">
        <f>'Haver Pivoted'!GO12</f>
        <v>754.2</v>
      </c>
      <c r="E11" s="830">
        <f>'Haver Pivoted'!GP12</f>
        <v>768.3</v>
      </c>
      <c r="F11" s="830">
        <f>'Haver Pivoted'!GQ12</f>
        <v>781.1</v>
      </c>
      <c r="G11" s="830">
        <f>'Haver Pivoted'!GR12</f>
        <v>792.1</v>
      </c>
      <c r="H11" s="830">
        <f>'Haver Pivoted'!GS12</f>
        <v>801.3</v>
      </c>
      <c r="I11" s="830">
        <f>'Haver Pivoted'!GT12</f>
        <v>808.5</v>
      </c>
      <c r="J11" s="830">
        <f>'Haver Pivoted'!GU12</f>
        <v>821.6</v>
      </c>
      <c r="K11" s="830">
        <f>'Haver Pivoted'!GV12</f>
        <v>825.8</v>
      </c>
      <c r="L11" s="830">
        <f>'Haver Pivoted'!GW12</f>
        <v>821</v>
      </c>
      <c r="M11" s="830">
        <f>'Haver Pivoted'!GX12</f>
        <v>814.1</v>
      </c>
      <c r="N11" s="830">
        <f>'Haver Pivoted'!GY12</f>
        <v>815.3</v>
      </c>
      <c r="O11" s="1285">
        <f>'Haver Pivoted'!GZ12</f>
        <v>0</v>
      </c>
      <c r="P11" s="207">
        <f t="shared" ref="P11:AC11" si="1">P12+P14</f>
        <v>-0.24817867266275329</v>
      </c>
      <c r="Q11" s="207">
        <f t="shared" si="1"/>
        <v>-0.51458875708658525</v>
      </c>
      <c r="R11" s="207">
        <f t="shared" si="1"/>
        <v>-0.78598013313465032</v>
      </c>
      <c r="S11" s="207">
        <f t="shared" si="1"/>
        <v>-15.062445940172521</v>
      </c>
      <c r="T11" s="207">
        <f t="shared" si="1"/>
        <v>-15.344081059070202</v>
      </c>
      <c r="U11" s="207">
        <f t="shared" si="1"/>
        <v>-15.630547174254353</v>
      </c>
      <c r="V11" s="207">
        <f t="shared" si="1"/>
        <v>-15.922361464727254</v>
      </c>
      <c r="W11" s="207">
        <f t="shared" si="1"/>
        <v>-16.219623778175606</v>
      </c>
      <c r="X11" s="207">
        <f t="shared" si="1"/>
        <v>-16.522435826391156</v>
      </c>
      <c r="Y11" s="207">
        <f t="shared" si="1"/>
        <v>-16.826488519509027</v>
      </c>
      <c r="Z11" s="207">
        <f t="shared" si="1"/>
        <v>-17.136136515956483</v>
      </c>
      <c r="AA11" s="207">
        <f t="shared" si="1"/>
        <v>-17.45148278281804</v>
      </c>
      <c r="AB11" s="207">
        <f t="shared" si="1"/>
        <v>-17.772632182021063</v>
      </c>
      <c r="AC11" s="898">
        <f t="shared" si="1"/>
        <v>-18.099691505205445</v>
      </c>
    </row>
    <row r="12" spans="2:29" s="286" customFormat="1" x14ac:dyDescent="0.3">
      <c r="B12" s="92" t="s">
        <v>1145</v>
      </c>
      <c r="C12" s="210"/>
      <c r="D12" s="829"/>
      <c r="E12" s="830"/>
      <c r="F12" s="830"/>
      <c r="G12" s="830"/>
      <c r="H12" s="830"/>
      <c r="I12" s="830"/>
      <c r="J12" s="830">
        <f>J11-J14</f>
        <v>812</v>
      </c>
      <c r="K12" s="830">
        <f t="shared" ref="K12:O12" si="2">K11-K14</f>
        <v>811.4</v>
      </c>
      <c r="L12" s="830">
        <f t="shared" si="2"/>
        <v>806.7</v>
      </c>
      <c r="M12" s="830">
        <f t="shared" si="2"/>
        <v>799.9</v>
      </c>
      <c r="N12" s="830">
        <f t="shared" si="2"/>
        <v>801.19999999999993</v>
      </c>
      <c r="O12" s="1285">
        <f t="shared" si="2"/>
        <v>-14</v>
      </c>
      <c r="P12" s="207">
        <f t="shared" ref="P12:AC12" si="3">O12*(1+O15)</f>
        <v>-14.248178672662753</v>
      </c>
      <c r="Q12" s="207">
        <f t="shared" si="3"/>
        <v>-14.514588757086585</v>
      </c>
      <c r="R12" s="207">
        <f t="shared" si="3"/>
        <v>-14.78598013313465</v>
      </c>
      <c r="S12" s="207">
        <f t="shared" si="3"/>
        <v>-15.062445940172521</v>
      </c>
      <c r="T12" s="207">
        <f t="shared" si="3"/>
        <v>-15.344081059070202</v>
      </c>
      <c r="U12" s="207">
        <f t="shared" si="3"/>
        <v>-15.630547174254353</v>
      </c>
      <c r="V12" s="207">
        <f t="shared" si="3"/>
        <v>-15.922361464727254</v>
      </c>
      <c r="W12" s="207">
        <f t="shared" si="3"/>
        <v>-16.219623778175606</v>
      </c>
      <c r="X12" s="207">
        <f t="shared" si="3"/>
        <v>-16.522435826391156</v>
      </c>
      <c r="Y12" s="207">
        <f t="shared" si="3"/>
        <v>-16.826488519509027</v>
      </c>
      <c r="Z12" s="207">
        <f t="shared" si="3"/>
        <v>-17.136136515956483</v>
      </c>
      <c r="AA12" s="207">
        <f t="shared" si="3"/>
        <v>-17.45148278281804</v>
      </c>
      <c r="AB12" s="207">
        <f t="shared" si="3"/>
        <v>-17.772632182021063</v>
      </c>
      <c r="AC12" s="898">
        <f t="shared" si="3"/>
        <v>-18.099691505205445</v>
      </c>
    </row>
    <row r="13" spans="2:29" x14ac:dyDescent="0.3">
      <c r="B13" s="233" t="s">
        <v>1143</v>
      </c>
      <c r="C13" s="235"/>
      <c r="D13" s="829"/>
      <c r="E13" s="830"/>
      <c r="F13" s="830"/>
      <c r="G13" s="830"/>
      <c r="H13" s="830"/>
      <c r="I13" s="830"/>
      <c r="J13" s="830"/>
      <c r="K13" s="830"/>
      <c r="L13" s="830"/>
      <c r="M13" s="830"/>
      <c r="N13" s="922"/>
      <c r="O13" s="1286"/>
      <c r="P13" s="218"/>
      <c r="Q13" s="218">
        <v>-16</v>
      </c>
      <c r="R13" s="218">
        <f>Q13</f>
        <v>-16</v>
      </c>
      <c r="S13" s="218">
        <f t="shared" ref="S13:Y13" si="4">R13</f>
        <v>-16</v>
      </c>
      <c r="T13" s="218">
        <f t="shared" si="4"/>
        <v>-16</v>
      </c>
      <c r="U13" s="218">
        <f t="shared" si="4"/>
        <v>-16</v>
      </c>
      <c r="V13" s="218">
        <f t="shared" si="4"/>
        <v>-16</v>
      </c>
      <c r="W13" s="218">
        <f t="shared" si="4"/>
        <v>-16</v>
      </c>
      <c r="X13" s="218">
        <f t="shared" si="4"/>
        <v>-16</v>
      </c>
      <c r="Y13" s="218">
        <f t="shared" si="4"/>
        <v>-16</v>
      </c>
      <c r="Z13" s="218">
        <f t="shared" ref="Z13" si="5">Y13</f>
        <v>-16</v>
      </c>
      <c r="AA13" s="218">
        <f t="shared" ref="AA13" si="6">Z13</f>
        <v>-16</v>
      </c>
      <c r="AB13" s="218">
        <f t="shared" ref="AB13" si="7">AA13</f>
        <v>-16</v>
      </c>
      <c r="AC13" s="899">
        <f t="shared" ref="AC13" si="8">AB13</f>
        <v>-16</v>
      </c>
    </row>
    <row r="14" spans="2:29" s="286" customFormat="1" x14ac:dyDescent="0.3">
      <c r="B14" s="233" t="s">
        <v>1144</v>
      </c>
      <c r="C14" s="921" t="s">
        <v>1146</v>
      </c>
      <c r="D14" s="829"/>
      <c r="E14" s="830"/>
      <c r="F14" s="830"/>
      <c r="G14" s="830"/>
      <c r="H14" s="830"/>
      <c r="I14" s="830"/>
      <c r="J14" s="830">
        <v>9.6</v>
      </c>
      <c r="K14" s="830">
        <v>14.4</v>
      </c>
      <c r="L14" s="830">
        <v>14.3</v>
      </c>
      <c r="M14" s="830">
        <v>14.2</v>
      </c>
      <c r="N14" s="922">
        <v>14.1</v>
      </c>
      <c r="O14" s="1286">
        <v>14</v>
      </c>
      <c r="P14" s="218">
        <v>14</v>
      </c>
      <c r="Q14" s="218">
        <v>14</v>
      </c>
      <c r="R14" s="218">
        <v>14</v>
      </c>
      <c r="S14" s="218"/>
      <c r="T14" s="218"/>
      <c r="U14" s="218"/>
      <c r="V14" s="218"/>
      <c r="W14" s="218"/>
      <c r="X14" s="218"/>
      <c r="Y14" s="218"/>
      <c r="Z14" s="218"/>
      <c r="AA14" s="218"/>
      <c r="AB14" s="218"/>
      <c r="AC14" s="899"/>
    </row>
    <row r="15" spans="2:29" x14ac:dyDescent="0.3">
      <c r="B15" s="204" t="s">
        <v>425</v>
      </c>
      <c r="C15" s="193"/>
      <c r="D15" s="831"/>
      <c r="E15" s="832"/>
      <c r="F15" s="832"/>
      <c r="G15" s="832"/>
      <c r="H15" s="832"/>
      <c r="I15" s="832"/>
      <c r="J15" s="833"/>
      <c r="K15" s="833"/>
      <c r="L15" s="833"/>
      <c r="M15" s="833"/>
      <c r="N15" s="833">
        <f>(1 + $E$24)^0.25-1</f>
        <v>1.7727048047339489E-2</v>
      </c>
      <c r="O15" s="1287">
        <f>(1 + $E$24)^0.25-1</f>
        <v>1.7727048047339489E-2</v>
      </c>
      <c r="P15" s="228">
        <f>(1 + $F$24)^0.25-1</f>
        <v>1.8697834336888208E-2</v>
      </c>
      <c r="Q15" s="228">
        <f>(1 +$F$24)^0.25-1</f>
        <v>1.8697834336888208E-2</v>
      </c>
      <c r="R15" s="228">
        <f>(1 +$F$24)^0.25-1</f>
        <v>1.8697834336888208E-2</v>
      </c>
      <c r="S15" s="228">
        <f>(1 +$F$24)^0.25-1</f>
        <v>1.8697834336888208E-2</v>
      </c>
      <c r="T15" s="228">
        <f>(1 +$G$24)^0.25-1</f>
        <v>1.8669486564971915E-2</v>
      </c>
      <c r="U15" s="228">
        <f>(1 +$G$24)^0.25-1</f>
        <v>1.8669486564971915E-2</v>
      </c>
      <c r="V15" s="228">
        <f>(1 +$G$24)^0.25-1</f>
        <v>1.8669486564971915E-2</v>
      </c>
      <c r="W15" s="228">
        <f>(1 +$G$24)^0.25-1</f>
        <v>1.8669486564971915E-2</v>
      </c>
      <c r="X15" s="228">
        <f>(1 +$H$24)^0.25-1</f>
        <v>1.8402413319240196E-2</v>
      </c>
      <c r="Y15" s="228">
        <f>(1 +$H$24)^0.25-1</f>
        <v>1.8402413319240196E-2</v>
      </c>
      <c r="Z15" s="228">
        <f t="shared" ref="Z15:AC15" si="9">(1 +$H$24)^0.25-1</f>
        <v>1.8402413319240196E-2</v>
      </c>
      <c r="AA15" s="228">
        <f t="shared" si="9"/>
        <v>1.8402413319240196E-2</v>
      </c>
      <c r="AB15" s="228">
        <f t="shared" si="9"/>
        <v>1.8402413319240196E-2</v>
      </c>
      <c r="AC15" s="900">
        <f t="shared" si="9"/>
        <v>1.8402413319240196E-2</v>
      </c>
    </row>
    <row r="16" spans="2:29" s="286" customFormat="1" x14ac:dyDescent="0.3">
      <c r="B16" s="918"/>
      <c r="C16" s="771"/>
      <c r="D16" s="919"/>
      <c r="E16" s="919"/>
      <c r="F16" s="919"/>
      <c r="G16" s="919"/>
      <c r="H16" s="919"/>
      <c r="I16" s="919"/>
      <c r="J16" s="920"/>
      <c r="K16" s="920"/>
      <c r="L16" s="920"/>
      <c r="M16" s="920"/>
      <c r="N16" s="920"/>
      <c r="O16" s="920"/>
      <c r="P16" s="920"/>
      <c r="Q16" s="920"/>
      <c r="R16" s="920"/>
      <c r="S16" s="920"/>
      <c r="T16" s="920"/>
      <c r="U16" s="920"/>
      <c r="V16" s="920"/>
      <c r="W16" s="920"/>
      <c r="X16" s="920"/>
      <c r="Y16" s="920"/>
      <c r="Z16" s="920"/>
      <c r="AA16" s="920"/>
      <c r="AB16" s="920"/>
      <c r="AC16" s="920"/>
    </row>
    <row r="17" spans="1:29" x14ac:dyDescent="0.3">
      <c r="B17" s="56" t="s">
        <v>398</v>
      </c>
      <c r="O17" s="115"/>
      <c r="P17" s="115"/>
      <c r="Q17" s="115"/>
      <c r="R17" s="115"/>
      <c r="S17" s="115"/>
      <c r="T17" s="115"/>
      <c r="U17" s="115"/>
      <c r="V17" s="115"/>
      <c r="W17" s="115"/>
      <c r="X17" s="115"/>
      <c r="Y17" s="115"/>
      <c r="Z17" s="115"/>
      <c r="AA17" s="115"/>
      <c r="AB17" s="115"/>
      <c r="AC17" s="115"/>
    </row>
    <row r="18" spans="1:29" x14ac:dyDescent="0.3">
      <c r="B18" s="680" t="s">
        <v>420</v>
      </c>
      <c r="C18" s="680">
        <v>2019</v>
      </c>
      <c r="D18" s="681">
        <v>2020</v>
      </c>
      <c r="E18" s="681">
        <v>2021</v>
      </c>
      <c r="F18" s="681">
        <v>2022</v>
      </c>
      <c r="G18" s="681">
        <v>2023</v>
      </c>
      <c r="H18" s="682">
        <v>2024</v>
      </c>
      <c r="I18" s="682">
        <v>2025</v>
      </c>
      <c r="J18" s="682">
        <v>2026</v>
      </c>
    </row>
    <row r="19" spans="1:29" ht="21" customHeight="1" x14ac:dyDescent="0.3">
      <c r="A19" s="286"/>
      <c r="B19" s="179" t="s">
        <v>1068</v>
      </c>
      <c r="C19" s="689">
        <v>775</v>
      </c>
      <c r="D19" s="684">
        <v>912.11599999999999</v>
      </c>
      <c r="E19" s="684">
        <v>831.48500000000001</v>
      </c>
      <c r="F19" s="684">
        <v>862.72400000000005</v>
      </c>
      <c r="G19" s="684">
        <v>1007.266</v>
      </c>
      <c r="H19" s="684">
        <v>1088.671</v>
      </c>
      <c r="I19" s="684">
        <v>1171.1110000000001</v>
      </c>
      <c r="J19" s="685">
        <v>1258.2270000000001</v>
      </c>
      <c r="K19" s="217"/>
      <c r="L19" s="217"/>
      <c r="M19" s="217"/>
      <c r="N19" s="217"/>
      <c r="O19" s="217"/>
    </row>
    <row r="20" spans="1:29" x14ac:dyDescent="0.3">
      <c r="B20" s="521" t="s">
        <v>1006</v>
      </c>
      <c r="C20" s="521"/>
      <c r="D20" s="520">
        <v>47</v>
      </c>
      <c r="E20" s="520">
        <v>-46</v>
      </c>
      <c r="F20" s="520"/>
      <c r="G20" s="520"/>
      <c r="H20" s="520"/>
      <c r="I20" s="520"/>
      <c r="J20" s="44"/>
      <c r="K20" s="286"/>
      <c r="L20" s="286"/>
      <c r="M20" s="286"/>
      <c r="N20" s="580"/>
      <c r="O20" s="307"/>
      <c r="P20" s="307"/>
      <c r="Q20" s="307"/>
    </row>
    <row r="21" spans="1:29" x14ac:dyDescent="0.3">
      <c r="B21" s="521" t="s">
        <v>1007</v>
      </c>
      <c r="C21" s="690">
        <f>C19-C20</f>
        <v>775</v>
      </c>
      <c r="D21" s="683">
        <f t="shared" ref="D21:H21" si="10">D19-D20</f>
        <v>865.11599999999999</v>
      </c>
      <c r="E21" s="683">
        <f t="shared" si="10"/>
        <v>877.48500000000001</v>
      </c>
      <c r="F21" s="683">
        <f t="shared" si="10"/>
        <v>862.72400000000005</v>
      </c>
      <c r="G21" s="683">
        <f t="shared" si="10"/>
        <v>1007.266</v>
      </c>
      <c r="H21" s="683">
        <f t="shared" si="10"/>
        <v>1088.671</v>
      </c>
      <c r="I21" s="520"/>
      <c r="J21" s="44"/>
      <c r="K21" s="286" t="s">
        <v>1004</v>
      </c>
      <c r="L21" s="286"/>
      <c r="M21" s="286"/>
      <c r="N21" s="286"/>
      <c r="O21" s="286"/>
      <c r="P21" s="286"/>
      <c r="Q21" s="286"/>
    </row>
    <row r="22" spans="1:29" x14ac:dyDescent="0.3">
      <c r="B22" s="521" t="s">
        <v>1005</v>
      </c>
      <c r="C22" s="691">
        <f>AVERAGE(D10:G10)</f>
        <v>773.92499999999995</v>
      </c>
      <c r="D22" s="687">
        <f>AVERAGE(H10:K10)</f>
        <v>814.3</v>
      </c>
      <c r="E22" s="688"/>
      <c r="F22" s="520"/>
      <c r="G22" s="520"/>
      <c r="H22" s="520"/>
      <c r="I22" s="520"/>
      <c r="J22" s="44"/>
      <c r="K22" s="115" t="s">
        <v>1008</v>
      </c>
      <c r="L22" s="115"/>
      <c r="M22" s="115"/>
      <c r="N22" s="115"/>
      <c r="O22" s="115"/>
      <c r="P22" s="115"/>
      <c r="Q22" s="115"/>
      <c r="R22" s="115"/>
      <c r="S22" s="115"/>
    </row>
    <row r="23" spans="1:29" x14ac:dyDescent="0.3">
      <c r="B23" s="521" t="s">
        <v>992</v>
      </c>
      <c r="C23" s="692">
        <v>775.32100000000003</v>
      </c>
      <c r="D23" s="449">
        <v>834.85699999999997</v>
      </c>
      <c r="E23" s="449">
        <v>895.64800000000002</v>
      </c>
      <c r="F23" s="449">
        <v>964.53700000000003</v>
      </c>
      <c r="G23" s="449">
        <v>1038.6089999999999</v>
      </c>
      <c r="H23" s="449">
        <v>1117.1969999999999</v>
      </c>
      <c r="I23" s="449">
        <v>1200.6600000000001</v>
      </c>
      <c r="J23" s="450">
        <v>1286.6790000000001</v>
      </c>
      <c r="K23" s="115"/>
      <c r="L23" s="115"/>
      <c r="M23" s="115"/>
      <c r="N23" s="115"/>
      <c r="O23" s="115"/>
      <c r="P23" s="115"/>
      <c r="Q23" s="115"/>
      <c r="R23" s="115"/>
      <c r="S23" s="115"/>
    </row>
    <row r="24" spans="1:29" x14ac:dyDescent="0.3">
      <c r="B24" s="686" t="s">
        <v>442</v>
      </c>
      <c r="C24" s="215"/>
      <c r="D24" s="46">
        <f>D23/C23-1</f>
        <v>7.6788839719290403E-2</v>
      </c>
      <c r="E24" s="46">
        <f>E23/D23-1</f>
        <v>7.2816063110209273E-2</v>
      </c>
      <c r="F24" s="46">
        <f>F23/E23-1</f>
        <v>7.6915261352674236E-2</v>
      </c>
      <c r="G24" s="46">
        <f t="shared" ref="G24:J24" si="11">G23/F23-1</f>
        <v>7.6795395096300068E-2</v>
      </c>
      <c r="H24" s="46">
        <f t="shared" si="11"/>
        <v>7.5666588677741009E-2</v>
      </c>
      <c r="I24" s="46">
        <f t="shared" si="11"/>
        <v>7.4707504585135975E-2</v>
      </c>
      <c r="J24" s="58">
        <f t="shared" si="11"/>
        <v>7.164309629703669E-2</v>
      </c>
      <c r="K24" s="115"/>
      <c r="L24" s="115"/>
      <c r="M24" s="115"/>
      <c r="N24" s="115"/>
      <c r="O24" s="115"/>
      <c r="P24" s="115"/>
      <c r="Q24" s="115"/>
      <c r="R24" s="115"/>
      <c r="S24" s="115"/>
    </row>
    <row r="25" spans="1:29" x14ac:dyDescent="0.3">
      <c r="K25" s="115"/>
      <c r="L25" s="115"/>
      <c r="M25" s="115"/>
      <c r="N25" s="115"/>
      <c r="O25" s="115"/>
      <c r="P25" s="115"/>
      <c r="Q25" s="115"/>
      <c r="R25" s="115"/>
      <c r="S25" s="115"/>
    </row>
    <row r="26" spans="1:29" x14ac:dyDescent="0.3">
      <c r="B26" s="520"/>
      <c r="C26" s="581"/>
      <c r="D26" s="581"/>
      <c r="E26" s="581"/>
      <c r="F26" s="581"/>
      <c r="G26" s="581"/>
      <c r="H26" s="581"/>
      <c r="I26" s="581"/>
      <c r="J26" s="581"/>
      <c r="K26" s="581"/>
      <c r="L26" s="581"/>
      <c r="M26" s="581"/>
      <c r="N26" s="581"/>
    </row>
  </sheetData>
  <mergeCells count="11">
    <mergeCell ref="B2:AC4"/>
    <mergeCell ref="B1:AC1"/>
    <mergeCell ref="B7:C9"/>
    <mergeCell ref="E8:H8"/>
    <mergeCell ref="I8:L8"/>
    <mergeCell ref="Q8:T8"/>
    <mergeCell ref="U8:X8"/>
    <mergeCell ref="Y8:AB8"/>
    <mergeCell ref="D7:O7"/>
    <mergeCell ref="P7:AC7"/>
    <mergeCell ref="M8:O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zoomScale="82" workbookViewId="0">
      <selection activeCell="C3" sqref="C3"/>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748" customFormat="1" ht="47.5" customHeight="1" x14ac:dyDescent="0.35">
      <c r="A1" s="757" t="s">
        <v>191</v>
      </c>
      <c r="B1" s="758" t="s">
        <v>190</v>
      </c>
      <c r="C1" s="758" t="s">
        <v>189</v>
      </c>
      <c r="D1" s="758" t="s">
        <v>188</v>
      </c>
      <c r="E1" s="758" t="s">
        <v>187</v>
      </c>
      <c r="F1" s="759" t="s">
        <v>186</v>
      </c>
    </row>
    <row r="2" spans="1:7" s="748" customFormat="1" ht="16.5" customHeight="1" x14ac:dyDescent="0.35">
      <c r="A2" s="749" t="s">
        <v>185</v>
      </c>
      <c r="B2" s="750"/>
      <c r="C2" s="751"/>
      <c r="D2" s="751"/>
      <c r="E2" s="751"/>
      <c r="F2" s="751"/>
    </row>
    <row r="3" spans="1:7" s="752" customFormat="1" ht="75.5" customHeight="1" x14ac:dyDescent="0.35">
      <c r="A3" s="784" t="s">
        <v>1070</v>
      </c>
      <c r="B3" s="784" t="s">
        <v>721</v>
      </c>
      <c r="C3" s="784" t="s">
        <v>1065</v>
      </c>
      <c r="D3" s="785"/>
      <c r="E3" s="785"/>
      <c r="F3" s="785"/>
    </row>
    <row r="4" spans="1:7" s="752" customFormat="1" ht="61.5" customHeight="1" x14ac:dyDescent="0.35">
      <c r="A4" s="785" t="s">
        <v>1071</v>
      </c>
      <c r="B4" s="784" t="s">
        <v>1130</v>
      </c>
      <c r="C4" s="784" t="s">
        <v>1072</v>
      </c>
      <c r="D4" s="785"/>
      <c r="E4" s="785"/>
      <c r="F4" s="785"/>
    </row>
    <row r="5" spans="1:7" s="752" customFormat="1" ht="61.5" customHeight="1" x14ac:dyDescent="0.35">
      <c r="A5" s="785" t="s">
        <v>1123</v>
      </c>
      <c r="B5" s="784" t="s">
        <v>1128</v>
      </c>
      <c r="C5" s="784" t="s">
        <v>1129</v>
      </c>
      <c r="D5" s="785"/>
      <c r="E5" s="785"/>
      <c r="F5" s="785"/>
    </row>
    <row r="6" spans="1:7" s="752" customFormat="1" ht="63.5" customHeight="1" x14ac:dyDescent="0.35">
      <c r="A6" s="752" t="s">
        <v>1063</v>
      </c>
      <c r="B6" s="753" t="s">
        <v>1064</v>
      </c>
      <c r="C6" s="754" t="s">
        <v>183</v>
      </c>
      <c r="D6" s="785"/>
      <c r="E6" s="909" t="s">
        <v>1136</v>
      </c>
      <c r="F6" s="752" t="s">
        <v>1137</v>
      </c>
      <c r="G6" s="880" t="s">
        <v>1138</v>
      </c>
    </row>
    <row r="7" spans="1:7" s="752" customFormat="1" ht="61.5" customHeight="1" x14ac:dyDescent="0.35">
      <c r="A7" s="752" t="s">
        <v>182</v>
      </c>
      <c r="B7" s="753" t="s">
        <v>720</v>
      </c>
      <c r="C7" s="753" t="s">
        <v>1066</v>
      </c>
      <c r="D7" s="785"/>
    </row>
    <row r="8" spans="1:7" s="752" customFormat="1" ht="54" customHeight="1" x14ac:dyDescent="0.35">
      <c r="A8" s="752" t="s">
        <v>999</v>
      </c>
      <c r="B8" s="753" t="s">
        <v>1000</v>
      </c>
      <c r="C8" s="752" t="s">
        <v>1001</v>
      </c>
    </row>
    <row r="9" spans="1:7" s="752" customFormat="1" ht="43" customHeight="1" x14ac:dyDescent="0.35">
      <c r="A9" s="749" t="s">
        <v>1050</v>
      </c>
      <c r="B9" s="755"/>
      <c r="C9" s="756"/>
      <c r="D9" s="756"/>
      <c r="E9" s="751" t="s">
        <v>1002</v>
      </c>
      <c r="F9" s="756"/>
    </row>
    <row r="10" spans="1:7" s="728" customFormat="1" ht="77.5" customHeight="1" x14ac:dyDescent="0.35">
      <c r="A10" s="578"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7" s="728" customFormat="1" ht="111" customHeight="1" x14ac:dyDescent="0.35">
      <c r="A11" s="578"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7" s="728" customFormat="1" ht="109.5" customHeight="1" x14ac:dyDescent="0.35">
      <c r="A12" s="578"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28" customFormat="1" ht="105" customHeight="1" x14ac:dyDescent="0.35">
      <c r="A13" s="578"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28" customFormat="1" ht="64.5" customHeight="1" x14ac:dyDescent="0.35">
      <c r="A14" s="578"/>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28" customFormat="1" ht="108" customHeight="1" x14ac:dyDescent="0.35">
      <c r="A15" s="578"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28" customFormat="1" ht="107" customHeight="1" x14ac:dyDescent="0.35">
      <c r="A16" s="578"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s="728" customFormat="1" ht="129" customHeight="1" x14ac:dyDescent="0.35">
      <c r="A17" s="578"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s="728" customFormat="1" ht="78" customHeight="1" x14ac:dyDescent="0.35">
      <c r="A18" s="578"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28" customFormat="1" ht="43" customHeight="1" x14ac:dyDescent="0.35">
      <c r="A19" s="578"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28" customFormat="1" ht="145" customHeight="1" x14ac:dyDescent="0.35">
      <c r="A20" s="578"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28" customFormat="1" ht="60.5" customHeight="1" x14ac:dyDescent="0.35">
      <c r="A21" s="578"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28" customFormat="1" ht="37.5" customHeight="1" x14ac:dyDescent="0.35">
      <c r="A22" s="701" t="s">
        <v>715</v>
      </c>
      <c r="B22" s="26" t="s">
        <v>1021</v>
      </c>
    </row>
    <row r="23" spans="1:6" s="728" customFormat="1" ht="36" customHeight="1" x14ac:dyDescent="0.35">
      <c r="A23" s="701" t="s">
        <v>179</v>
      </c>
      <c r="B23" s="26"/>
    </row>
    <row r="24" spans="1:6" s="728" customFormat="1" x14ac:dyDescent="0.35">
      <c r="A24" s="29" t="s">
        <v>177</v>
      </c>
      <c r="B24" s="28"/>
      <c r="C24" s="27"/>
      <c r="D24" s="27"/>
      <c r="E24" s="27"/>
      <c r="F24" s="27"/>
    </row>
    <row r="25" spans="1:6" s="728" customFormat="1" ht="102" customHeight="1" x14ac:dyDescent="0.35">
      <c r="A25" s="728" t="s">
        <v>1055</v>
      </c>
      <c r="B25" s="26" t="s">
        <v>1056</v>
      </c>
      <c r="C25" s="728" t="s">
        <v>1057</v>
      </c>
    </row>
    <row r="26" spans="1:6" s="728" customFormat="1" ht="54" customHeight="1" x14ac:dyDescent="0.35">
      <c r="A26" s="728" t="s">
        <v>1058</v>
      </c>
      <c r="B26" s="26" t="s">
        <v>1059</v>
      </c>
      <c r="C26" s="728" t="s">
        <v>1060</v>
      </c>
    </row>
    <row r="27" spans="1:6" s="728" customFormat="1" x14ac:dyDescent="0.35">
      <c r="B27" s="26"/>
    </row>
    <row r="28" spans="1:6" s="728" customFormat="1" x14ac:dyDescent="0.35">
      <c r="A28" s="29" t="s">
        <v>176</v>
      </c>
      <c r="B28" s="28"/>
      <c r="C28" s="27"/>
      <c r="D28" s="27"/>
      <c r="E28" s="27"/>
      <c r="F28" s="27"/>
    </row>
    <row r="29" spans="1:6" s="728" customFormat="1" ht="29" x14ac:dyDescent="0.35">
      <c r="A29" s="728" t="s">
        <v>175</v>
      </c>
      <c r="B29" s="26"/>
      <c r="C29" s="728" t="s">
        <v>1026</v>
      </c>
    </row>
    <row r="30" spans="1:6" s="728" customFormat="1" ht="72.5" x14ac:dyDescent="0.35">
      <c r="A30" s="728" t="s">
        <v>174</v>
      </c>
      <c r="B30" s="26" t="s">
        <v>1022</v>
      </c>
      <c r="C30" s="728" t="s">
        <v>1023</v>
      </c>
    </row>
    <row r="31" spans="1:6" s="728" customFormat="1" ht="29" x14ac:dyDescent="0.35">
      <c r="A31" s="728" t="s">
        <v>173</v>
      </c>
      <c r="B31" s="26" t="s">
        <v>1027</v>
      </c>
      <c r="C31" s="26" t="s">
        <v>1025</v>
      </c>
    </row>
    <row r="32" spans="1:6" s="728" customFormat="1" ht="87" x14ac:dyDescent="0.35">
      <c r="A32" s="728" t="s">
        <v>172</v>
      </c>
      <c r="B32" s="26" t="s">
        <v>1061</v>
      </c>
      <c r="C32" s="728"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D6" sqref="D6:AC8"/>
    </sheetView>
  </sheetViews>
  <sheetFormatPr defaultColWidth="8.81640625" defaultRowHeight="14.5" x14ac:dyDescent="0.35"/>
  <cols>
    <col min="1" max="1" width="6" customWidth="1"/>
    <col min="2" max="2" width="29.6328125" customWidth="1"/>
    <col min="3" max="3" width="10.6328125" customWidth="1"/>
    <col min="4" max="7" width="10.6328125" style="518" customWidth="1"/>
  </cols>
  <sheetData>
    <row r="1" spans="1:29" x14ac:dyDescent="0.35">
      <c r="B1" s="1333" t="s">
        <v>131</v>
      </c>
      <c r="C1" s="1333"/>
      <c r="D1" s="1333"/>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1:29" ht="14.5" customHeight="1" x14ac:dyDescent="0.35">
      <c r="B2" s="1334" t="s">
        <v>638</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c r="Z2" s="1334"/>
      <c r="AA2" s="1334"/>
      <c r="AB2" s="1334"/>
      <c r="AC2" s="1334"/>
    </row>
    <row r="3" spans="1:29" x14ac:dyDescent="0.35">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c r="Z3" s="1334"/>
      <c r="AA3" s="1334"/>
      <c r="AB3" s="1334"/>
      <c r="AC3" s="1334"/>
    </row>
    <row r="4" spans="1:29" x14ac:dyDescent="0.35">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Z4" s="1334"/>
      <c r="AA4" s="1334"/>
      <c r="AB4" s="1334"/>
      <c r="AC4" s="1334"/>
    </row>
    <row r="5" spans="1:29" x14ac:dyDescent="0.35">
      <c r="B5" s="170"/>
      <c r="C5" s="36"/>
      <c r="D5" s="286"/>
      <c r="E5" s="286"/>
      <c r="F5" s="286"/>
      <c r="G5" s="286"/>
      <c r="H5" s="36"/>
      <c r="I5" s="36"/>
      <c r="J5" s="36"/>
      <c r="K5" s="36"/>
      <c r="L5" s="36"/>
      <c r="M5" s="36"/>
      <c r="N5" s="36"/>
      <c r="O5" s="36"/>
      <c r="P5" s="36"/>
      <c r="Q5" s="36"/>
      <c r="R5" s="36"/>
      <c r="S5" s="36"/>
      <c r="T5" s="36"/>
      <c r="U5" s="36"/>
      <c r="V5" s="36"/>
      <c r="W5" s="36"/>
      <c r="X5" s="36"/>
      <c r="Y5" s="36"/>
    </row>
    <row r="6" spans="1:29" x14ac:dyDescent="0.35">
      <c r="B6" s="1338" t="s">
        <v>290</v>
      </c>
      <c r="C6" s="1339"/>
      <c r="D6" s="1346" t="s">
        <v>261</v>
      </c>
      <c r="E6" s="1347"/>
      <c r="F6" s="1347"/>
      <c r="G6" s="1347"/>
      <c r="H6" s="1347"/>
      <c r="I6" s="1347"/>
      <c r="J6" s="1347"/>
      <c r="K6" s="1347"/>
      <c r="L6" s="1347"/>
      <c r="M6" s="1347"/>
      <c r="N6" s="1347"/>
      <c r="O6" s="1348"/>
      <c r="P6" s="1378" t="s">
        <v>143</v>
      </c>
      <c r="Q6" s="1379"/>
      <c r="R6" s="1379"/>
      <c r="S6" s="1379"/>
      <c r="T6" s="1379"/>
      <c r="U6" s="1379"/>
      <c r="V6" s="1379"/>
      <c r="W6" s="1379"/>
      <c r="X6" s="1379"/>
      <c r="Y6" s="1379"/>
      <c r="Z6" s="1379"/>
      <c r="AA6" s="1379"/>
      <c r="AB6" s="1379"/>
      <c r="AC6" s="1380"/>
    </row>
    <row r="7" spans="1:29" x14ac:dyDescent="0.35">
      <c r="B7" s="1340"/>
      <c r="C7" s="1341"/>
      <c r="D7" s="1183">
        <v>2018</v>
      </c>
      <c r="E7" s="1335">
        <v>2019</v>
      </c>
      <c r="F7" s="1342"/>
      <c r="G7" s="1342"/>
      <c r="H7" s="1337"/>
      <c r="I7" s="1335">
        <v>2020</v>
      </c>
      <c r="J7" s="1342"/>
      <c r="K7" s="1342"/>
      <c r="L7" s="1337"/>
      <c r="M7" s="1335">
        <v>2021</v>
      </c>
      <c r="N7" s="1336"/>
      <c r="O7" s="1337"/>
      <c r="P7" s="803">
        <v>2021</v>
      </c>
      <c r="Q7" s="1343">
        <v>2022</v>
      </c>
      <c r="R7" s="1385"/>
      <c r="S7" s="1385"/>
      <c r="T7" s="1345"/>
      <c r="U7" s="1343">
        <v>2023</v>
      </c>
      <c r="V7" s="1385"/>
      <c r="W7" s="1385"/>
      <c r="X7" s="1344"/>
      <c r="Y7" s="1343">
        <v>2024</v>
      </c>
      <c r="Z7" s="1344"/>
      <c r="AA7" s="1344"/>
      <c r="AB7" s="1345"/>
      <c r="AC7" s="439">
        <v>2025</v>
      </c>
    </row>
    <row r="8" spans="1:29" x14ac:dyDescent="0.35">
      <c r="B8" s="1383"/>
      <c r="C8" s="1384"/>
      <c r="D8" s="211" t="s">
        <v>138</v>
      </c>
      <c r="E8" s="211" t="s">
        <v>135</v>
      </c>
      <c r="F8" s="189" t="s">
        <v>136</v>
      </c>
      <c r="G8" s="189" t="s">
        <v>137</v>
      </c>
      <c r="H8" s="1056" t="s">
        <v>138</v>
      </c>
      <c r="I8" s="190" t="s">
        <v>135</v>
      </c>
      <c r="J8" s="190" t="s">
        <v>136</v>
      </c>
      <c r="K8" s="190" t="s">
        <v>137</v>
      </c>
      <c r="L8" s="190" t="s">
        <v>138</v>
      </c>
      <c r="M8" s="205" t="s">
        <v>135</v>
      </c>
      <c r="N8" s="190" t="s">
        <v>136</v>
      </c>
      <c r="O8" s="1056" t="s">
        <v>137</v>
      </c>
      <c r="P8" s="1184" t="s">
        <v>138</v>
      </c>
      <c r="Q8" s="1173" t="s">
        <v>135</v>
      </c>
      <c r="R8" s="1174" t="s">
        <v>136</v>
      </c>
      <c r="S8" s="1174" t="s">
        <v>137</v>
      </c>
      <c r="T8" s="1174" t="s">
        <v>138</v>
      </c>
      <c r="U8" s="1173" t="s">
        <v>135</v>
      </c>
      <c r="V8" s="1174" t="s">
        <v>136</v>
      </c>
      <c r="W8" s="1174" t="s">
        <v>137</v>
      </c>
      <c r="X8" s="1174" t="s">
        <v>138</v>
      </c>
      <c r="Y8" s="1173" t="s">
        <v>135</v>
      </c>
      <c r="Z8" s="533" t="s">
        <v>136</v>
      </c>
      <c r="AA8" s="1174" t="s">
        <v>137</v>
      </c>
      <c r="AB8" s="1175" t="s">
        <v>138</v>
      </c>
      <c r="AC8" s="80" t="s">
        <v>135</v>
      </c>
    </row>
    <row r="9" spans="1:29" x14ac:dyDescent="0.35">
      <c r="B9" s="179" t="s">
        <v>131</v>
      </c>
      <c r="C9" s="180" t="s">
        <v>241</v>
      </c>
      <c r="D9" s="821"/>
      <c r="E9" s="1149"/>
      <c r="F9" s="1149"/>
      <c r="G9" s="1149"/>
      <c r="H9" s="1149"/>
      <c r="I9" s="1149"/>
      <c r="J9" s="1084">
        <f>'Haver Pivoted'!GU45</f>
        <v>1078.0999999999999</v>
      </c>
      <c r="K9" s="1084">
        <f>'Haver Pivoted'!GV45</f>
        <v>15.6</v>
      </c>
      <c r="L9" s="1084">
        <f>'Haver Pivoted'!GW45</f>
        <v>5</v>
      </c>
      <c r="M9" s="1084">
        <f>'Haver Pivoted'!GX45</f>
        <v>1933.7</v>
      </c>
      <c r="N9" s="1084">
        <f>'Haver Pivoted'!GY45</f>
        <v>290.10000000000002</v>
      </c>
      <c r="O9" s="1085">
        <f>'Haver Pivoted'!GZ45</f>
        <v>0</v>
      </c>
      <c r="P9" s="739"/>
      <c r="Q9" s="739"/>
      <c r="R9" s="739"/>
      <c r="S9" s="739"/>
      <c r="T9" s="739"/>
      <c r="U9" s="739"/>
      <c r="V9" s="739"/>
      <c r="W9" s="739"/>
      <c r="X9" s="739"/>
      <c r="Y9" s="739"/>
      <c r="Z9" s="779"/>
      <c r="AA9" s="779"/>
      <c r="AB9" s="779"/>
      <c r="AC9" s="780"/>
    </row>
    <row r="10" spans="1:29" x14ac:dyDescent="0.35">
      <c r="B10" s="181" t="s">
        <v>462</v>
      </c>
      <c r="C10" s="182"/>
      <c r="D10" s="822"/>
      <c r="E10" s="823"/>
      <c r="F10" s="823"/>
      <c r="G10" s="823"/>
      <c r="H10" s="823"/>
      <c r="I10" s="823"/>
      <c r="J10" s="824"/>
      <c r="K10" s="824"/>
      <c r="L10" s="824"/>
      <c r="M10" s="824">
        <f>M9-M11</f>
        <v>1348.1</v>
      </c>
      <c r="N10" s="824">
        <f>N9-N11</f>
        <v>290.10000000000002</v>
      </c>
      <c r="O10" s="1288">
        <f>O9-O11</f>
        <v>0</v>
      </c>
      <c r="P10" s="1144"/>
      <c r="Q10" s="1144">
        <f>'ARP Score'!B6*4/2 -20</f>
        <v>14.93</v>
      </c>
      <c r="R10" s="1144">
        <f>'ARP Score'!B6*4/2-20</f>
        <v>14.93</v>
      </c>
      <c r="S10" s="610"/>
      <c r="T10" s="610"/>
      <c r="U10" s="610"/>
      <c r="V10" s="610"/>
      <c r="W10" s="610"/>
      <c r="X10" s="610"/>
      <c r="Y10" s="610"/>
      <c r="Z10" s="610"/>
      <c r="AA10" s="610"/>
      <c r="AB10" s="610"/>
      <c r="AC10" s="901"/>
    </row>
    <row r="11" spans="1:29" s="74" customFormat="1" x14ac:dyDescent="0.35">
      <c r="B11" s="183" t="s">
        <v>520</v>
      </c>
      <c r="C11" s="184"/>
      <c r="D11" s="825"/>
      <c r="E11" s="826"/>
      <c r="F11" s="826"/>
      <c r="G11" s="826"/>
      <c r="H11" s="826"/>
      <c r="I11" s="826"/>
      <c r="J11" s="827">
        <f t="shared" ref="J11:L11" si="0">J9-J10</f>
        <v>1078.0999999999999</v>
      </c>
      <c r="K11" s="827">
        <f t="shared" si="0"/>
        <v>15.6</v>
      </c>
      <c r="L11" s="827">
        <f t="shared" si="0"/>
        <v>5</v>
      </c>
      <c r="M11" s="827">
        <f>SUM(C17:D17)/12*4</f>
        <v>585.6</v>
      </c>
      <c r="N11" s="827">
        <v>0</v>
      </c>
      <c r="O11" s="1289">
        <v>0</v>
      </c>
      <c r="P11" s="611"/>
      <c r="Q11" s="611"/>
      <c r="R11" s="611"/>
      <c r="S11" s="611"/>
      <c r="T11" s="611"/>
      <c r="U11" s="611"/>
      <c r="V11" s="611"/>
      <c r="W11" s="611"/>
      <c r="X11" s="611"/>
      <c r="Y11" s="611"/>
      <c r="Z11" s="611"/>
      <c r="AA11" s="611"/>
      <c r="AB11" s="611"/>
      <c r="AC11" s="902"/>
    </row>
    <row r="12" spans="1:29" x14ac:dyDescent="0.35">
      <c r="B12" s="36"/>
      <c r="C12" s="36"/>
      <c r="D12" s="286"/>
      <c r="E12" s="286"/>
      <c r="F12" s="286"/>
      <c r="G12" s="286"/>
      <c r="H12" s="36"/>
      <c r="I12" s="36"/>
      <c r="J12" s="36"/>
      <c r="K12" s="36"/>
      <c r="L12" s="36"/>
      <c r="M12" s="36"/>
      <c r="N12" s="36"/>
      <c r="O12" s="36"/>
      <c r="P12" s="36"/>
      <c r="Q12" s="36"/>
      <c r="R12" s="36"/>
      <c r="S12" s="36"/>
      <c r="T12" s="36"/>
      <c r="U12" s="36"/>
      <c r="V12" s="36"/>
      <c r="W12" s="36"/>
      <c r="X12" s="36"/>
      <c r="Y12" s="36"/>
    </row>
    <row r="13" spans="1:29" x14ac:dyDescent="0.35">
      <c r="A13" s="1447"/>
      <c r="B13" s="1447"/>
      <c r="C13" s="1447"/>
      <c r="D13" s="1447"/>
      <c r="E13" s="1447"/>
      <c r="F13" s="1447"/>
      <c r="G13" s="1447"/>
      <c r="H13" s="1447"/>
      <c r="I13" s="1447"/>
      <c r="J13" s="1447"/>
      <c r="K13" s="1447"/>
      <c r="L13" s="412"/>
      <c r="M13" s="412"/>
      <c r="N13" s="412"/>
      <c r="O13" s="191"/>
      <c r="P13" s="191"/>
      <c r="Q13" s="191"/>
      <c r="R13" s="191"/>
      <c r="S13" s="191"/>
      <c r="T13" s="36"/>
      <c r="U13" s="36"/>
      <c r="V13" s="36"/>
      <c r="W13" s="36"/>
      <c r="X13" s="36"/>
      <c r="Y13" s="36"/>
    </row>
    <row r="14" spans="1:29" x14ac:dyDescent="0.35">
      <c r="A14" s="411"/>
      <c r="B14" s="191"/>
      <c r="C14" s="277"/>
      <c r="D14" s="277"/>
      <c r="E14" s="277"/>
      <c r="F14" s="277"/>
      <c r="G14" s="277"/>
      <c r="H14" s="277"/>
      <c r="I14" s="277"/>
      <c r="J14" s="277"/>
      <c r="K14" s="277"/>
      <c r="L14" s="277"/>
      <c r="M14" s="277"/>
      <c r="N14" s="1442"/>
      <c r="O14" s="1442"/>
      <c r="P14" s="1442"/>
      <c r="Q14" s="1442"/>
      <c r="R14" s="1442"/>
      <c r="S14" s="1442"/>
      <c r="T14" s="36"/>
      <c r="U14" s="36"/>
      <c r="V14" s="36"/>
      <c r="W14" s="36"/>
      <c r="X14" s="36"/>
      <c r="Y14" s="36"/>
    </row>
    <row r="15" spans="1:29" x14ac:dyDescent="0.35">
      <c r="A15" s="364"/>
      <c r="B15" s="1443" t="s">
        <v>637</v>
      </c>
      <c r="C15" s="1445">
        <v>2021</v>
      </c>
      <c r="D15" s="1446"/>
      <c r="E15" s="1446"/>
      <c r="F15" s="1446"/>
      <c r="G15" s="606"/>
      <c r="H15" s="605"/>
      <c r="I15" s="605"/>
      <c r="J15" s="605"/>
      <c r="K15" s="1442"/>
      <c r="L15" s="1442"/>
      <c r="M15" s="1442"/>
      <c r="N15" s="1442"/>
      <c r="O15" s="1442"/>
      <c r="P15" s="1442"/>
      <c r="Q15" s="36"/>
      <c r="R15" s="36"/>
      <c r="S15" s="36"/>
      <c r="T15" s="36"/>
      <c r="U15" s="36"/>
      <c r="V15" s="36"/>
    </row>
    <row r="16" spans="1:29" x14ac:dyDescent="0.35">
      <c r="A16" s="191"/>
      <c r="B16" s="1444"/>
      <c r="C16" s="415" t="s">
        <v>516</v>
      </c>
      <c r="D16" s="416" t="s">
        <v>517</v>
      </c>
      <c r="E16" s="416" t="s">
        <v>518</v>
      </c>
      <c r="F16" s="416" t="s">
        <v>519</v>
      </c>
      <c r="G16" s="607"/>
      <c r="H16" s="584"/>
      <c r="I16" s="584"/>
      <c r="J16" s="584"/>
      <c r="K16" s="364"/>
      <c r="L16" s="364"/>
      <c r="M16" s="364"/>
      <c r="N16" s="364"/>
      <c r="O16" s="364"/>
      <c r="P16" s="364"/>
      <c r="Q16" s="36"/>
      <c r="R16" s="36"/>
      <c r="S16" s="36"/>
      <c r="T16" s="36"/>
      <c r="U16" s="36"/>
      <c r="V16" s="36"/>
    </row>
    <row r="17" spans="1:25" ht="16.5" x14ac:dyDescent="0.35">
      <c r="A17" s="191"/>
      <c r="B17" s="414" t="s">
        <v>635</v>
      </c>
      <c r="C17" s="608">
        <v>1660.9</v>
      </c>
      <c r="D17" s="608">
        <v>95.9</v>
      </c>
      <c r="E17" s="608">
        <v>4044.2</v>
      </c>
      <c r="F17" s="609">
        <v>688</v>
      </c>
      <c r="G17" s="413"/>
      <c r="H17" s="413"/>
      <c r="I17" s="413"/>
      <c r="J17" s="413"/>
      <c r="K17" s="413"/>
      <c r="L17" s="413"/>
      <c r="M17" s="36"/>
      <c r="N17" s="36"/>
      <c r="O17" s="36"/>
      <c r="P17" s="36"/>
      <c r="Q17" s="36"/>
      <c r="R17" s="36"/>
    </row>
    <row r="18" spans="1:25" x14ac:dyDescent="0.35">
      <c r="A18" s="191"/>
      <c r="B18" s="417" t="s">
        <v>636</v>
      </c>
      <c r="C18" s="35"/>
      <c r="D18" s="520"/>
      <c r="E18" s="520"/>
      <c r="F18" s="520"/>
      <c r="G18" s="520"/>
      <c r="H18" s="35"/>
      <c r="I18" s="35"/>
      <c r="J18" s="35"/>
      <c r="K18" s="35"/>
      <c r="L18" s="35"/>
      <c r="M18" s="35"/>
      <c r="N18" s="35"/>
      <c r="O18" s="35"/>
      <c r="P18" s="35"/>
      <c r="Q18" s="35"/>
      <c r="R18" s="35"/>
      <c r="S18" s="35"/>
      <c r="T18" s="36"/>
      <c r="U18" s="36"/>
      <c r="V18" s="36"/>
      <c r="W18" s="36"/>
      <c r="X18" s="36"/>
      <c r="Y18" s="36"/>
    </row>
    <row r="19" spans="1:25" x14ac:dyDescent="0.35">
      <c r="B19" s="36"/>
      <c r="C19" s="36"/>
      <c r="D19" s="286"/>
      <c r="E19" s="286"/>
      <c r="F19" s="286"/>
      <c r="G19" s="286"/>
      <c r="H19" s="36"/>
      <c r="I19" s="36"/>
      <c r="J19" s="36"/>
      <c r="K19" s="36"/>
      <c r="L19" s="36"/>
      <c r="M19" s="36"/>
      <c r="N19" s="36"/>
      <c r="O19" s="36"/>
      <c r="P19" s="36"/>
      <c r="Q19" s="36"/>
      <c r="R19" s="36"/>
      <c r="S19" s="36"/>
      <c r="T19" s="36"/>
      <c r="U19" s="36"/>
      <c r="V19" s="36"/>
      <c r="W19" s="36"/>
      <c r="X19" s="36"/>
      <c r="Y19" s="36"/>
    </row>
    <row r="20" spans="1:25" x14ac:dyDescent="0.35">
      <c r="B20" s="278"/>
      <c r="C20" s="36"/>
      <c r="D20" s="286"/>
      <c r="E20" s="286"/>
      <c r="F20" s="286"/>
      <c r="G20" s="286"/>
      <c r="H20" s="36"/>
      <c r="I20" s="36"/>
      <c r="J20" s="36"/>
      <c r="K20" s="36"/>
      <c r="L20" s="36"/>
      <c r="M20" s="36"/>
      <c r="N20" s="36"/>
      <c r="O20" s="36"/>
      <c r="P20" s="36"/>
      <c r="Q20" s="36"/>
      <c r="R20" s="36"/>
      <c r="S20" s="36"/>
      <c r="T20" s="36"/>
      <c r="U20" s="36"/>
      <c r="V20" s="36"/>
      <c r="W20" s="36"/>
      <c r="X20" s="36"/>
      <c r="Y20" s="36"/>
    </row>
    <row r="21" spans="1:25" x14ac:dyDescent="0.35">
      <c r="B21" s="36"/>
      <c r="C21" s="36"/>
      <c r="D21" s="286"/>
      <c r="E21" s="286"/>
      <c r="F21" s="286"/>
      <c r="G21" s="286"/>
      <c r="H21" s="36"/>
      <c r="I21" s="36"/>
      <c r="J21" s="36"/>
      <c r="K21" s="36"/>
      <c r="L21" s="36"/>
      <c r="M21" s="36"/>
      <c r="N21" s="36"/>
      <c r="O21" s="36"/>
      <c r="P21" s="36"/>
      <c r="Q21" s="36"/>
      <c r="R21" s="36"/>
      <c r="S21" s="36"/>
      <c r="T21" s="36"/>
      <c r="U21" s="36"/>
      <c r="V21" s="36"/>
      <c r="W21" s="36"/>
      <c r="X21" s="36"/>
      <c r="Y21" s="36"/>
    </row>
    <row r="22" spans="1:25" x14ac:dyDescent="0.35">
      <c r="B22" s="36"/>
      <c r="C22" s="36"/>
      <c r="D22" s="286"/>
      <c r="E22" s="286"/>
      <c r="F22" s="286"/>
      <c r="G22" s="286"/>
      <c r="H22" s="36"/>
      <c r="I22" s="36"/>
      <c r="J22" s="36"/>
      <c r="K22" s="36"/>
      <c r="L22" s="36"/>
      <c r="M22" s="36"/>
      <c r="N22" s="36"/>
      <c r="O22" s="36"/>
      <c r="P22" s="36"/>
      <c r="Q22" s="36"/>
      <c r="R22" s="36"/>
      <c r="S22" s="36"/>
      <c r="T22" s="36"/>
      <c r="U22" s="36"/>
      <c r="V22" s="36"/>
      <c r="W22" s="36"/>
      <c r="X22" s="36"/>
      <c r="Y22" s="36"/>
    </row>
    <row r="23" spans="1:25" x14ac:dyDescent="0.35">
      <c r="B23" s="36"/>
      <c r="C23" s="36"/>
      <c r="D23" s="286"/>
      <c r="E23" s="286"/>
      <c r="F23" s="286"/>
      <c r="G23" s="286"/>
      <c r="H23" s="36"/>
      <c r="I23" s="36"/>
      <c r="J23" s="36"/>
      <c r="K23" s="36"/>
      <c r="L23" s="36"/>
      <c r="M23" s="36"/>
      <c r="N23" s="36"/>
      <c r="O23" s="36"/>
      <c r="P23" s="36"/>
      <c r="Q23" s="36"/>
      <c r="R23" s="36"/>
      <c r="S23" s="36"/>
      <c r="T23" s="36"/>
      <c r="U23" s="36"/>
      <c r="V23" s="36"/>
      <c r="W23" s="36"/>
      <c r="X23" s="36"/>
      <c r="Y23" s="36"/>
    </row>
    <row r="24" spans="1:25" x14ac:dyDescent="0.35">
      <c r="B24" s="36"/>
      <c r="C24" s="36"/>
      <c r="D24" s="286"/>
      <c r="E24" s="286"/>
      <c r="F24" s="286"/>
      <c r="G24" s="286"/>
      <c r="H24" s="36"/>
      <c r="I24" s="36"/>
      <c r="J24" s="36"/>
      <c r="K24" s="36"/>
      <c r="L24" s="36"/>
      <c r="M24" s="36"/>
      <c r="N24" s="36"/>
      <c r="O24" s="36"/>
      <c r="P24" s="36"/>
      <c r="Q24" s="36"/>
      <c r="R24" s="36"/>
      <c r="S24" s="36"/>
      <c r="T24" s="36"/>
      <c r="U24" s="36"/>
      <c r="V24" s="36"/>
      <c r="W24" s="36"/>
      <c r="X24" s="36"/>
      <c r="Y24" s="36"/>
    </row>
    <row r="25" spans="1:25" x14ac:dyDescent="0.35">
      <c r="B25" s="36"/>
      <c r="C25" s="36"/>
      <c r="D25" s="286"/>
      <c r="E25" s="286"/>
      <c r="F25" s="286"/>
      <c r="G25" s="286"/>
      <c r="H25" s="36"/>
      <c r="I25" s="36"/>
      <c r="J25" s="36"/>
      <c r="K25" s="36"/>
      <c r="L25" s="36"/>
      <c r="M25" s="36"/>
      <c r="N25" s="36"/>
      <c r="O25" s="36"/>
      <c r="P25" s="36"/>
      <c r="Q25" s="36"/>
      <c r="R25" s="36"/>
      <c r="S25" s="36"/>
      <c r="T25" s="36"/>
      <c r="U25" s="36"/>
      <c r="V25" s="36"/>
      <c r="W25" s="36"/>
      <c r="X25" s="36"/>
      <c r="Y25" s="36"/>
    </row>
    <row r="26" spans="1:25" x14ac:dyDescent="0.35">
      <c r="B26" s="36"/>
      <c r="C26" s="36"/>
      <c r="D26" s="286"/>
      <c r="E26" s="286"/>
      <c r="F26" s="286"/>
      <c r="G26" s="286"/>
      <c r="H26" s="36"/>
      <c r="I26" s="36"/>
      <c r="J26" s="36"/>
      <c r="K26" s="36"/>
      <c r="L26" s="36"/>
      <c r="M26" s="36"/>
      <c r="N26" s="36"/>
      <c r="O26" s="36"/>
      <c r="P26" s="36"/>
      <c r="Q26" s="36"/>
      <c r="R26" s="36"/>
      <c r="S26" s="36"/>
      <c r="T26" s="36"/>
      <c r="U26" s="36"/>
      <c r="V26" s="36"/>
      <c r="W26" s="36"/>
      <c r="X26" s="36"/>
      <c r="Y26" s="36"/>
    </row>
    <row r="27" spans="1:25" x14ac:dyDescent="0.35">
      <c r="B27" s="36"/>
      <c r="C27" s="36"/>
      <c r="D27" s="286"/>
      <c r="E27" s="286"/>
      <c r="F27" s="286"/>
      <c r="G27" s="286"/>
      <c r="H27" s="36"/>
      <c r="I27" s="36"/>
      <c r="J27" s="36"/>
      <c r="K27" s="36"/>
      <c r="L27" s="36"/>
      <c r="M27" s="36"/>
      <c r="N27" s="36"/>
      <c r="O27" s="36"/>
      <c r="P27" s="36"/>
      <c r="Q27" s="36"/>
      <c r="R27" s="36"/>
      <c r="S27" s="36"/>
      <c r="T27" s="36"/>
      <c r="U27" s="36"/>
      <c r="V27" s="36"/>
      <c r="W27" s="36"/>
      <c r="X27" s="36"/>
      <c r="Y27" s="36"/>
    </row>
    <row r="28" spans="1:25" x14ac:dyDescent="0.35">
      <c r="B28" s="36"/>
      <c r="C28" s="36"/>
      <c r="D28" s="286"/>
      <c r="E28" s="286"/>
      <c r="F28" s="286"/>
      <c r="G28" s="286"/>
      <c r="H28" s="36"/>
      <c r="I28" s="36"/>
      <c r="J28" s="36"/>
      <c r="K28" s="36"/>
      <c r="L28" s="36"/>
      <c r="M28" s="36"/>
      <c r="N28" s="36"/>
      <c r="O28" s="36"/>
      <c r="P28" s="36"/>
      <c r="Q28" s="36"/>
      <c r="R28" s="36"/>
      <c r="S28" s="36"/>
      <c r="T28" s="36"/>
      <c r="U28" s="36"/>
      <c r="V28" s="36"/>
      <c r="W28" s="36"/>
      <c r="X28" s="36"/>
      <c r="Y28" s="36"/>
    </row>
    <row r="29" spans="1:25" x14ac:dyDescent="0.35">
      <c r="B29" s="36"/>
      <c r="C29" s="36"/>
      <c r="D29" s="286"/>
      <c r="E29" s="286"/>
      <c r="F29" s="286"/>
      <c r="G29" s="286"/>
      <c r="H29" s="36"/>
      <c r="I29" s="36"/>
      <c r="J29" s="36"/>
      <c r="K29" s="36"/>
      <c r="L29" s="36"/>
      <c r="M29" s="36"/>
      <c r="N29" s="36"/>
      <c r="O29" s="36"/>
      <c r="P29" s="36"/>
      <c r="Q29" s="36"/>
      <c r="R29" s="36"/>
      <c r="S29" s="36"/>
      <c r="T29" s="36"/>
      <c r="U29" s="36"/>
      <c r="V29" s="36"/>
      <c r="W29" s="36"/>
      <c r="X29" s="36"/>
      <c r="Y29" s="36"/>
    </row>
    <row r="30" spans="1:25" x14ac:dyDescent="0.35">
      <c r="B30" s="36"/>
      <c r="C30" s="36"/>
      <c r="D30" s="286"/>
      <c r="E30" s="286"/>
      <c r="F30" s="286"/>
      <c r="G30" s="286"/>
      <c r="H30" s="36"/>
      <c r="I30" s="36"/>
      <c r="J30" s="36"/>
      <c r="K30" s="36"/>
      <c r="L30" s="36"/>
      <c r="M30" s="36"/>
      <c r="N30" s="36"/>
      <c r="O30" s="36"/>
      <c r="P30" s="36"/>
      <c r="Q30" s="36"/>
      <c r="R30" s="36"/>
      <c r="S30" s="36"/>
      <c r="T30" s="36"/>
      <c r="U30" s="36"/>
      <c r="V30" s="36"/>
      <c r="W30" s="36"/>
      <c r="X30" s="36"/>
      <c r="Y30" s="36"/>
    </row>
    <row r="31" spans="1:25" x14ac:dyDescent="0.35">
      <c r="B31" s="36"/>
      <c r="C31" s="36"/>
      <c r="D31" s="286"/>
      <c r="E31" s="286"/>
      <c r="F31" s="286"/>
      <c r="G31" s="286"/>
      <c r="H31" s="36"/>
      <c r="I31" s="36"/>
      <c r="J31" s="36"/>
      <c r="K31" s="36"/>
      <c r="L31" s="36"/>
      <c r="M31" s="36"/>
      <c r="N31" s="36"/>
      <c r="O31" s="36"/>
      <c r="P31" s="36"/>
      <c r="Q31" s="36"/>
      <c r="R31" s="36"/>
      <c r="S31" s="36"/>
      <c r="T31" s="36"/>
      <c r="U31" s="36"/>
      <c r="V31" s="36"/>
      <c r="W31" s="36"/>
      <c r="X31" s="36"/>
      <c r="Y31" s="36"/>
    </row>
    <row r="32" spans="1:25" x14ac:dyDescent="0.35">
      <c r="B32" s="36"/>
      <c r="C32" s="36"/>
      <c r="D32" s="286"/>
      <c r="E32" s="286"/>
      <c r="F32" s="286"/>
      <c r="G32" s="286"/>
      <c r="H32" s="36"/>
      <c r="I32" s="36"/>
      <c r="J32" s="36"/>
      <c r="K32" s="36"/>
      <c r="L32" s="36"/>
      <c r="M32" s="36"/>
      <c r="N32" s="36"/>
      <c r="O32" s="36"/>
      <c r="P32" s="36"/>
      <c r="Q32" s="36"/>
      <c r="R32" s="36"/>
      <c r="S32" s="36"/>
      <c r="T32" s="36"/>
      <c r="U32" s="36"/>
      <c r="V32" s="36"/>
      <c r="W32" s="36"/>
      <c r="X32" s="36"/>
      <c r="Y32" s="36"/>
    </row>
    <row r="33" spans="2:25" x14ac:dyDescent="0.35">
      <c r="B33" s="36"/>
      <c r="C33" s="36"/>
      <c r="D33" s="286"/>
      <c r="E33" s="286"/>
      <c r="F33" s="286"/>
      <c r="G33" s="286"/>
      <c r="H33" s="36"/>
      <c r="I33" s="36"/>
      <c r="J33" s="36"/>
      <c r="K33" s="36"/>
      <c r="L33" s="36"/>
      <c r="M33" s="36"/>
      <c r="N33" s="36"/>
      <c r="O33" s="36"/>
      <c r="P33" s="36"/>
      <c r="Q33" s="36"/>
      <c r="R33" s="36"/>
      <c r="S33" s="36"/>
      <c r="T33" s="36"/>
      <c r="U33" s="36"/>
      <c r="V33" s="36"/>
      <c r="W33" s="36"/>
      <c r="X33" s="36"/>
      <c r="Y33" s="36"/>
    </row>
    <row r="34" spans="2:25" x14ac:dyDescent="0.35">
      <c r="B34" s="36"/>
      <c r="C34" s="36"/>
      <c r="D34" s="286"/>
      <c r="E34" s="286"/>
      <c r="F34" s="286"/>
      <c r="G34" s="286"/>
      <c r="H34" s="36"/>
      <c r="I34" s="36"/>
      <c r="J34" s="36"/>
      <c r="K34" s="36"/>
      <c r="L34" s="36"/>
      <c r="M34" s="36"/>
      <c r="N34" s="36"/>
      <c r="O34" s="36"/>
      <c r="P34" s="36"/>
      <c r="Q34" s="36"/>
      <c r="R34" s="36"/>
      <c r="S34" s="36"/>
      <c r="T34" s="36"/>
      <c r="U34" s="36"/>
      <c r="V34" s="36"/>
      <c r="W34" s="36"/>
      <c r="X34" s="36"/>
      <c r="Y34" s="36"/>
    </row>
    <row r="35" spans="2:25" x14ac:dyDescent="0.35">
      <c r="B35" s="36"/>
      <c r="C35" s="36"/>
      <c r="D35" s="286"/>
      <c r="E35" s="286"/>
      <c r="F35" s="286"/>
      <c r="G35" s="286"/>
      <c r="H35" s="36"/>
      <c r="I35" s="36"/>
      <c r="J35" s="36"/>
      <c r="K35" s="36"/>
      <c r="L35" s="36"/>
      <c r="M35" s="36"/>
      <c r="N35" s="36"/>
      <c r="O35" s="36"/>
      <c r="P35" s="36"/>
      <c r="Q35" s="36"/>
      <c r="R35" s="36"/>
      <c r="S35" s="36"/>
      <c r="T35" s="36"/>
      <c r="U35" s="36"/>
      <c r="V35" s="36"/>
      <c r="W35" s="36"/>
      <c r="X35" s="36"/>
      <c r="Y35" s="36"/>
    </row>
    <row r="36" spans="2:25" x14ac:dyDescent="0.35">
      <c r="B36" s="36"/>
      <c r="C36" s="36"/>
      <c r="D36" s="286"/>
      <c r="E36" s="286"/>
      <c r="F36" s="286"/>
      <c r="G36" s="286"/>
      <c r="H36" s="36"/>
      <c r="I36" s="36"/>
      <c r="J36" s="36"/>
      <c r="K36" s="36"/>
      <c r="L36" s="36"/>
      <c r="M36" s="36"/>
      <c r="N36" s="36"/>
      <c r="O36" s="36"/>
      <c r="P36" s="36"/>
      <c r="Q36" s="36"/>
      <c r="R36" s="36"/>
      <c r="S36" s="36"/>
      <c r="T36" s="36"/>
      <c r="U36" s="36"/>
      <c r="V36" s="36"/>
      <c r="W36" s="36"/>
      <c r="X36" s="36"/>
      <c r="Y36" s="36"/>
    </row>
    <row r="37" spans="2:25" x14ac:dyDescent="0.35">
      <c r="B37" s="36"/>
      <c r="C37" s="36"/>
      <c r="D37" s="286"/>
      <c r="E37" s="286"/>
      <c r="F37" s="286"/>
      <c r="G37" s="286"/>
      <c r="H37" s="36"/>
      <c r="I37" s="36"/>
      <c r="J37" s="36"/>
      <c r="K37" s="36"/>
      <c r="L37" s="36"/>
      <c r="M37" s="36"/>
      <c r="N37" s="36"/>
      <c r="O37" s="36"/>
      <c r="P37" s="36"/>
      <c r="Q37" s="36"/>
      <c r="R37" s="36"/>
      <c r="S37" s="36"/>
      <c r="T37" s="36"/>
      <c r="U37" s="36"/>
      <c r="V37" s="36"/>
      <c r="W37" s="36"/>
      <c r="X37" s="36"/>
      <c r="Y37" s="36"/>
    </row>
    <row r="38" spans="2:25" x14ac:dyDescent="0.35">
      <c r="B38" s="36"/>
      <c r="C38" s="36"/>
      <c r="D38" s="286"/>
      <c r="E38" s="286"/>
      <c r="F38" s="286"/>
      <c r="G38" s="286"/>
      <c r="H38" s="36"/>
      <c r="I38" s="36"/>
      <c r="J38" s="36"/>
      <c r="K38" s="36"/>
      <c r="L38" s="36"/>
      <c r="M38" s="36"/>
      <c r="N38" s="36"/>
      <c r="O38" s="36"/>
      <c r="P38" s="36"/>
      <c r="Q38" s="36"/>
      <c r="R38" s="36"/>
      <c r="S38" s="36"/>
      <c r="T38" s="36"/>
      <c r="U38" s="36"/>
      <c r="V38" s="36"/>
      <c r="W38" s="36"/>
      <c r="X38" s="36"/>
      <c r="Y38" s="36"/>
    </row>
    <row r="39" spans="2:25" x14ac:dyDescent="0.35">
      <c r="B39" s="36"/>
      <c r="C39" s="36"/>
      <c r="D39" s="286"/>
      <c r="E39" s="286"/>
      <c r="F39" s="286"/>
      <c r="G39" s="286"/>
      <c r="H39" s="36"/>
      <c r="I39" s="36"/>
      <c r="J39" s="36"/>
      <c r="K39" s="36"/>
      <c r="L39" s="36"/>
      <c r="M39" s="36"/>
      <c r="N39" s="36"/>
      <c r="O39" s="36"/>
      <c r="P39" s="36"/>
      <c r="Q39" s="36"/>
      <c r="R39" s="36"/>
      <c r="S39" s="36"/>
      <c r="T39" s="36"/>
      <c r="U39" s="36"/>
      <c r="V39" s="36"/>
      <c r="W39" s="36"/>
      <c r="X39" s="36"/>
      <c r="Y39" s="36"/>
    </row>
    <row r="40" spans="2:25" x14ac:dyDescent="0.35">
      <c r="B40" s="36"/>
      <c r="C40" s="36"/>
      <c r="D40" s="286"/>
      <c r="E40" s="286"/>
      <c r="F40" s="286"/>
      <c r="G40" s="286"/>
      <c r="H40" s="36"/>
      <c r="I40" s="36"/>
      <c r="J40" s="36"/>
      <c r="K40" s="36"/>
      <c r="L40" s="36"/>
      <c r="M40" s="36"/>
      <c r="N40" s="36"/>
      <c r="O40" s="36"/>
      <c r="P40" s="36"/>
      <c r="Q40" s="36"/>
      <c r="R40" s="36"/>
      <c r="S40" s="36"/>
      <c r="T40" s="36"/>
      <c r="U40" s="36"/>
      <c r="V40" s="36"/>
      <c r="W40" s="36"/>
      <c r="X40" s="36"/>
      <c r="Y40" s="36"/>
    </row>
    <row r="41" spans="2:25" x14ac:dyDescent="0.35">
      <c r="B41" s="36"/>
      <c r="C41" s="36"/>
      <c r="D41" s="286"/>
      <c r="E41" s="286"/>
      <c r="F41" s="286"/>
      <c r="G41" s="286"/>
      <c r="H41" s="36"/>
      <c r="I41" s="36"/>
      <c r="J41" s="36"/>
      <c r="K41" s="36"/>
      <c r="L41" s="36"/>
      <c r="M41" s="36"/>
      <c r="N41" s="36"/>
      <c r="O41" s="36"/>
      <c r="P41" s="36"/>
      <c r="Q41" s="36"/>
      <c r="R41" s="36"/>
      <c r="S41" s="36"/>
      <c r="T41" s="36"/>
      <c r="U41" s="36"/>
      <c r="V41" s="36"/>
      <c r="W41" s="36"/>
      <c r="X41" s="36"/>
      <c r="Y41" s="36"/>
    </row>
    <row r="42" spans="2:25" x14ac:dyDescent="0.35">
      <c r="B42" s="36"/>
      <c r="C42" s="36"/>
      <c r="D42" s="286"/>
      <c r="E42" s="286"/>
      <c r="F42" s="286"/>
      <c r="G42" s="286"/>
      <c r="H42" s="36"/>
      <c r="I42" s="36"/>
      <c r="J42" s="36"/>
      <c r="K42" s="36"/>
      <c r="L42" s="36"/>
      <c r="M42" s="36"/>
      <c r="N42" s="36"/>
      <c r="O42" s="36"/>
      <c r="P42" s="36"/>
      <c r="Q42" s="36"/>
      <c r="R42" s="36"/>
      <c r="S42" s="36"/>
      <c r="T42" s="36"/>
      <c r="U42" s="36"/>
      <c r="V42" s="36"/>
      <c r="W42" s="36"/>
      <c r="X42" s="36"/>
      <c r="Y42" s="36"/>
    </row>
    <row r="43" spans="2:25" x14ac:dyDescent="0.35">
      <c r="B43" s="36"/>
      <c r="C43" s="36"/>
      <c r="D43" s="286"/>
      <c r="E43" s="286"/>
      <c r="F43" s="286"/>
      <c r="G43" s="286"/>
      <c r="H43" s="36"/>
      <c r="I43" s="36"/>
      <c r="J43" s="36"/>
      <c r="K43" s="36"/>
      <c r="L43" s="36"/>
      <c r="M43" s="36"/>
      <c r="N43" s="36"/>
      <c r="O43" s="36"/>
      <c r="P43" s="36"/>
      <c r="Q43" s="36"/>
      <c r="R43" s="36"/>
      <c r="S43" s="36"/>
      <c r="T43" s="36"/>
      <c r="U43" s="36"/>
      <c r="V43" s="36"/>
      <c r="W43" s="36"/>
      <c r="X43" s="36"/>
      <c r="Y43" s="36"/>
    </row>
    <row r="44" spans="2:25" x14ac:dyDescent="0.35">
      <c r="B44" s="36"/>
      <c r="C44" s="36"/>
      <c r="D44" s="286"/>
      <c r="E44" s="286"/>
      <c r="F44" s="286"/>
      <c r="G44" s="286"/>
      <c r="H44" s="36"/>
      <c r="I44" s="36"/>
      <c r="J44" s="36"/>
      <c r="K44" s="36"/>
      <c r="L44" s="36"/>
      <c r="M44" s="36"/>
      <c r="N44" s="36"/>
      <c r="O44" s="36"/>
      <c r="P44" s="36"/>
      <c r="Q44" s="36"/>
      <c r="R44" s="36"/>
      <c r="S44" s="36"/>
      <c r="T44" s="36"/>
      <c r="U44" s="36"/>
      <c r="V44" s="36"/>
      <c r="W44" s="36"/>
      <c r="X44" s="36"/>
      <c r="Y44" s="36"/>
    </row>
    <row r="45" spans="2:25" x14ac:dyDescent="0.35">
      <c r="B45" s="36"/>
      <c r="C45" s="36"/>
      <c r="D45" s="286"/>
      <c r="E45" s="286"/>
      <c r="F45" s="286"/>
      <c r="G45" s="286"/>
      <c r="H45" s="36"/>
      <c r="I45" s="36"/>
      <c r="J45" s="36"/>
      <c r="K45" s="36"/>
      <c r="L45" s="36"/>
      <c r="M45" s="36"/>
      <c r="N45" s="36"/>
      <c r="O45" s="36"/>
      <c r="P45" s="36"/>
      <c r="Q45" s="36"/>
      <c r="R45" s="36"/>
      <c r="S45" s="36"/>
      <c r="T45" s="36"/>
      <c r="U45" s="36"/>
      <c r="V45" s="36"/>
      <c r="W45" s="36"/>
      <c r="X45" s="36"/>
      <c r="Y45" s="36"/>
    </row>
    <row r="46" spans="2:25" x14ac:dyDescent="0.35">
      <c r="B46" s="36"/>
      <c r="C46" s="36"/>
      <c r="D46" s="286"/>
      <c r="E46" s="286"/>
      <c r="F46" s="286"/>
      <c r="G46" s="286"/>
      <c r="H46" s="36"/>
      <c r="I46" s="36"/>
      <c r="J46" s="36"/>
      <c r="K46" s="36"/>
      <c r="L46" s="36"/>
      <c r="M46" s="36"/>
      <c r="N46" s="36"/>
      <c r="O46" s="36"/>
      <c r="P46" s="36"/>
      <c r="Q46" s="36"/>
      <c r="R46" s="36"/>
      <c r="S46" s="36"/>
      <c r="T46" s="36"/>
      <c r="U46" s="36"/>
      <c r="V46" s="36"/>
      <c r="W46" s="36"/>
      <c r="X46" s="36"/>
      <c r="Y46" s="36"/>
    </row>
    <row r="47" spans="2:25" x14ac:dyDescent="0.35">
      <c r="B47" s="36"/>
      <c r="C47" s="36"/>
      <c r="D47" s="286"/>
      <c r="E47" s="286"/>
      <c r="F47" s="286"/>
      <c r="G47" s="286"/>
      <c r="H47" s="36"/>
      <c r="I47" s="36"/>
      <c r="J47" s="36"/>
      <c r="K47" s="36"/>
      <c r="L47" s="36"/>
      <c r="M47" s="36"/>
      <c r="N47" s="36"/>
      <c r="O47" s="36"/>
      <c r="P47" s="36"/>
      <c r="Q47" s="36"/>
      <c r="R47" s="36"/>
      <c r="S47" s="36"/>
      <c r="T47" s="36"/>
      <c r="U47" s="36"/>
      <c r="V47" s="36"/>
      <c r="W47" s="36"/>
      <c r="X47" s="36"/>
      <c r="Y47" s="36"/>
    </row>
    <row r="48" spans="2:25" x14ac:dyDescent="0.35">
      <c r="B48" s="36"/>
      <c r="C48" s="36"/>
      <c r="D48" s="286"/>
      <c r="E48" s="286"/>
      <c r="F48" s="286"/>
      <c r="G48" s="286"/>
      <c r="H48" s="36"/>
      <c r="I48" s="36"/>
      <c r="J48" s="36"/>
      <c r="K48" s="36"/>
      <c r="L48" s="36"/>
      <c r="M48" s="36"/>
      <c r="N48" s="36"/>
      <c r="O48" s="36"/>
      <c r="P48" s="36"/>
      <c r="Q48" s="36"/>
      <c r="R48" s="36"/>
      <c r="S48" s="36"/>
      <c r="T48" s="36"/>
      <c r="U48" s="36"/>
      <c r="V48" s="36"/>
      <c r="W48" s="36"/>
      <c r="X48" s="36"/>
      <c r="Y48" s="36"/>
    </row>
    <row r="49" spans="2:25" x14ac:dyDescent="0.35">
      <c r="B49" s="36"/>
      <c r="C49" s="36"/>
      <c r="D49" s="286"/>
      <c r="E49" s="286"/>
      <c r="F49" s="286"/>
      <c r="G49" s="286"/>
      <c r="H49" s="36"/>
      <c r="I49" s="36"/>
      <c r="J49" s="36"/>
      <c r="K49" s="36"/>
      <c r="L49" s="36"/>
      <c r="M49" s="36"/>
      <c r="N49" s="36"/>
      <c r="O49" s="36"/>
      <c r="P49" s="36"/>
      <c r="Q49" s="36"/>
      <c r="R49" s="36"/>
      <c r="S49" s="36"/>
      <c r="T49" s="36"/>
      <c r="U49" s="36"/>
      <c r="V49" s="36"/>
      <c r="W49" s="36"/>
      <c r="X49" s="36"/>
      <c r="Y49" s="36"/>
    </row>
    <row r="50" spans="2:25" x14ac:dyDescent="0.35">
      <c r="B50" s="36"/>
      <c r="C50" s="36"/>
      <c r="D50" s="286"/>
      <c r="E50" s="286"/>
      <c r="F50" s="286"/>
      <c r="G50" s="286"/>
      <c r="H50" s="36"/>
      <c r="I50" s="36"/>
      <c r="J50" s="36"/>
      <c r="K50" s="36"/>
      <c r="L50" s="36"/>
      <c r="M50" s="36"/>
      <c r="N50" s="36"/>
      <c r="O50" s="36"/>
      <c r="P50" s="36"/>
      <c r="Q50" s="36"/>
      <c r="R50" s="36"/>
      <c r="S50" s="36"/>
      <c r="T50" s="36"/>
      <c r="U50" s="36"/>
      <c r="V50" s="36"/>
      <c r="W50" s="36"/>
      <c r="X50" s="36"/>
      <c r="Y50" s="36"/>
    </row>
    <row r="51" spans="2:25" x14ac:dyDescent="0.35">
      <c r="B51" s="36"/>
      <c r="C51" s="36"/>
      <c r="D51" s="286"/>
      <c r="E51" s="286"/>
      <c r="F51" s="286"/>
      <c r="G51" s="286"/>
      <c r="H51" s="36"/>
      <c r="I51" s="36"/>
      <c r="J51" s="36"/>
      <c r="K51" s="36"/>
      <c r="L51" s="36"/>
      <c r="M51" s="36"/>
      <c r="N51" s="36"/>
      <c r="O51" s="36"/>
      <c r="P51" s="36"/>
      <c r="Q51" s="36"/>
      <c r="R51" s="36"/>
      <c r="S51" s="36"/>
      <c r="T51" s="36"/>
      <c r="U51" s="36"/>
      <c r="V51" s="36"/>
      <c r="W51" s="36"/>
      <c r="X51" s="36"/>
      <c r="Y51" s="36"/>
    </row>
    <row r="52" spans="2:25" x14ac:dyDescent="0.35">
      <c r="B52" s="36"/>
      <c r="C52" s="36"/>
      <c r="D52" s="286"/>
      <c r="E52" s="286"/>
      <c r="F52" s="286"/>
      <c r="G52" s="286"/>
      <c r="H52" s="36"/>
      <c r="I52" s="36"/>
      <c r="J52" s="36"/>
      <c r="K52" s="36"/>
      <c r="L52" s="36"/>
      <c r="M52" s="36"/>
      <c r="N52" s="36"/>
      <c r="O52" s="36"/>
      <c r="P52" s="36"/>
      <c r="Q52" s="36"/>
      <c r="R52" s="36"/>
      <c r="S52" s="36"/>
      <c r="T52" s="36"/>
      <c r="U52" s="36"/>
      <c r="V52" s="36"/>
      <c r="W52" s="36"/>
      <c r="X52" s="36"/>
      <c r="Y52" s="36"/>
    </row>
    <row r="53" spans="2:25" x14ac:dyDescent="0.35">
      <c r="B53" s="36"/>
      <c r="C53" s="36"/>
      <c r="D53" s="286"/>
      <c r="E53" s="286"/>
      <c r="F53" s="286"/>
      <c r="G53" s="286"/>
      <c r="H53" s="36"/>
      <c r="I53" s="36"/>
      <c r="J53" s="36"/>
      <c r="K53" s="36"/>
      <c r="L53" s="36"/>
      <c r="M53" s="36"/>
      <c r="N53" s="36"/>
      <c r="O53" s="36"/>
      <c r="P53" s="36"/>
      <c r="Q53" s="36"/>
      <c r="R53" s="36"/>
      <c r="S53" s="36"/>
      <c r="T53" s="36"/>
      <c r="U53" s="36"/>
      <c r="V53" s="36"/>
      <c r="W53" s="36"/>
      <c r="X53" s="36"/>
      <c r="Y53" s="36"/>
    </row>
    <row r="54" spans="2:25" x14ac:dyDescent="0.35">
      <c r="B54" s="36"/>
      <c r="C54" s="36"/>
      <c r="D54" s="286"/>
      <c r="E54" s="286"/>
      <c r="F54" s="286"/>
      <c r="G54" s="286"/>
      <c r="H54" s="36"/>
      <c r="I54" s="36"/>
      <c r="J54" s="36"/>
      <c r="K54" s="36"/>
      <c r="L54" s="36"/>
      <c r="M54" s="36"/>
      <c r="N54" s="36"/>
      <c r="O54" s="36"/>
      <c r="P54" s="36"/>
      <c r="Q54" s="36"/>
      <c r="R54" s="36"/>
      <c r="S54" s="36"/>
      <c r="T54" s="36"/>
      <c r="U54" s="36"/>
      <c r="V54" s="36"/>
      <c r="W54" s="36"/>
      <c r="X54" s="36"/>
      <c r="Y54" s="36"/>
    </row>
    <row r="55" spans="2:25" x14ac:dyDescent="0.35">
      <c r="B55" s="36"/>
      <c r="C55" s="36"/>
      <c r="D55" s="286"/>
      <c r="E55" s="286"/>
      <c r="F55" s="286"/>
      <c r="G55" s="286"/>
      <c r="H55" s="36"/>
      <c r="I55" s="36"/>
      <c r="J55" s="36"/>
      <c r="K55" s="36"/>
      <c r="L55" s="36"/>
      <c r="M55" s="36"/>
      <c r="N55" s="36"/>
      <c r="O55" s="36"/>
      <c r="P55" s="36"/>
      <c r="Q55" s="36"/>
      <c r="R55" s="36"/>
      <c r="S55" s="36"/>
      <c r="T55" s="36"/>
      <c r="U55" s="36"/>
      <c r="V55" s="36"/>
      <c r="W55" s="36"/>
      <c r="X55" s="36"/>
      <c r="Y55" s="36"/>
    </row>
  </sheetData>
  <mergeCells count="17">
    <mergeCell ref="B15:B16"/>
    <mergeCell ref="K15:L15"/>
    <mergeCell ref="M15:P15"/>
    <mergeCell ref="C15:F15"/>
    <mergeCell ref="A13:K13"/>
    <mergeCell ref="Y7:AB7"/>
    <mergeCell ref="B1:AC1"/>
    <mergeCell ref="B2:AC4"/>
    <mergeCell ref="N14:S14"/>
    <mergeCell ref="B6:C8"/>
    <mergeCell ref="I7:L7"/>
    <mergeCell ref="Q7:T7"/>
    <mergeCell ref="U7:X7"/>
    <mergeCell ref="E7:H7"/>
    <mergeCell ref="D6:O6"/>
    <mergeCell ref="P6:AC6"/>
    <mergeCell ref="M7:O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topLeftCell="A49" zoomScale="67" zoomScaleNormal="90" workbookViewId="0">
      <selection activeCell="F67" sqref="F67"/>
    </sheetView>
  </sheetViews>
  <sheetFormatPr defaultColWidth="8.6328125" defaultRowHeight="14" x14ac:dyDescent="0.3"/>
  <cols>
    <col min="1" max="1" width="14.1796875" style="286" customWidth="1"/>
    <col min="2" max="2" width="49.36328125" style="286" customWidth="1"/>
    <col min="3" max="3" width="8.453125" style="286" customWidth="1"/>
    <col min="4" max="4" width="9.36328125" style="286" customWidth="1"/>
    <col min="5" max="6" width="9.81640625" style="286" customWidth="1"/>
    <col min="7" max="7" width="9.6328125" style="286" customWidth="1"/>
    <col min="8" max="12" width="11.6328125" style="286" bestFit="1" customWidth="1"/>
    <col min="13" max="13" width="12.6328125" style="286" bestFit="1" customWidth="1"/>
    <col min="14" max="14" width="18.36328125" style="286" bestFit="1" customWidth="1"/>
    <col min="15" max="25" width="13.36328125" style="286" bestFit="1" customWidth="1"/>
    <col min="26" max="26" width="12.6328125" style="286" customWidth="1"/>
    <col min="27" max="16384" width="8.6328125" style="286"/>
  </cols>
  <sheetData>
    <row r="1" spans="2:29" ht="18" customHeight="1" x14ac:dyDescent="0.3">
      <c r="B1" s="1452" t="s">
        <v>421</v>
      </c>
      <c r="C1" s="1452"/>
      <c r="D1" s="1452"/>
      <c r="E1" s="1452"/>
      <c r="F1" s="1452"/>
      <c r="G1" s="1452"/>
      <c r="H1" s="1452"/>
      <c r="I1" s="1452"/>
      <c r="J1" s="1452"/>
      <c r="K1" s="1452"/>
      <c r="L1" s="1452"/>
      <c r="M1" s="1452"/>
      <c r="N1" s="1452"/>
      <c r="O1" s="1452"/>
      <c r="P1" s="1452"/>
      <c r="Q1" s="1452"/>
      <c r="R1" s="1452"/>
      <c r="S1" s="1452"/>
      <c r="T1" s="1452"/>
      <c r="U1" s="1452"/>
      <c r="V1" s="1452"/>
      <c r="W1" s="1452"/>
      <c r="X1" s="1452"/>
      <c r="Y1" s="1452"/>
      <c r="Z1" s="1452"/>
      <c r="AA1" s="1452"/>
      <c r="AB1" s="1452"/>
      <c r="AC1" s="1452"/>
    </row>
    <row r="2" spans="2:29" ht="82" customHeight="1" x14ac:dyDescent="0.3">
      <c r="B2" s="1369" t="s">
        <v>1131</v>
      </c>
      <c r="C2" s="1369"/>
      <c r="D2" s="1369"/>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2:29" ht="3" customHeight="1" x14ac:dyDescent="0.3">
      <c r="B3" s="1369"/>
      <c r="C3" s="1369"/>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2:29" ht="10" hidden="1" customHeight="1" x14ac:dyDescent="0.3">
      <c r="B4" s="1369"/>
      <c r="C4" s="1369"/>
      <c r="D4" s="1369"/>
      <c r="E4" s="1369"/>
      <c r="F4" s="1369"/>
      <c r="G4" s="1369"/>
      <c r="H4" s="1369"/>
      <c r="I4" s="1369"/>
      <c r="J4" s="1369"/>
      <c r="K4" s="1369"/>
      <c r="L4" s="1369"/>
      <c r="M4" s="1369"/>
      <c r="N4" s="1369"/>
      <c r="O4" s="1369"/>
      <c r="P4" s="1369"/>
      <c r="Q4" s="1369"/>
      <c r="R4" s="1369"/>
      <c r="S4" s="1369"/>
      <c r="T4" s="1369"/>
      <c r="U4" s="1369"/>
      <c r="V4" s="1369"/>
      <c r="W4" s="1369"/>
      <c r="X4" s="1369"/>
      <c r="Y4" s="1369"/>
      <c r="Z4" s="1369"/>
      <c r="AA4" s="1369"/>
      <c r="AB4" s="1369"/>
      <c r="AC4" s="1369"/>
    </row>
    <row r="5" spans="2:29" ht="14" hidden="1" customHeight="1" x14ac:dyDescent="0.3">
      <c r="B5" s="1369"/>
      <c r="C5" s="1369"/>
      <c r="D5" s="1369"/>
      <c r="E5" s="1369"/>
      <c r="F5" s="1369"/>
      <c r="G5" s="1369"/>
      <c r="H5" s="1369"/>
      <c r="I5" s="1369"/>
      <c r="J5" s="1369"/>
      <c r="K5" s="1369"/>
      <c r="L5" s="1369"/>
      <c r="M5" s="1369"/>
      <c r="N5" s="1369"/>
      <c r="O5" s="1369"/>
      <c r="P5" s="1369"/>
      <c r="Q5" s="1369"/>
      <c r="R5" s="1369"/>
      <c r="S5" s="1369"/>
      <c r="T5" s="1369"/>
      <c r="U5" s="1369"/>
      <c r="V5" s="1369"/>
      <c r="W5" s="1369"/>
      <c r="X5" s="1369"/>
      <c r="Y5" s="1369"/>
      <c r="Z5" s="1369"/>
      <c r="AA5" s="1369"/>
      <c r="AB5" s="1369"/>
      <c r="AC5" s="1369"/>
    </row>
    <row r="6" spans="2:29" ht="14" hidden="1" customHeight="1" x14ac:dyDescent="0.3">
      <c r="B6" s="1369"/>
      <c r="C6" s="1369"/>
      <c r="D6" s="1369"/>
      <c r="E6" s="1369"/>
      <c r="F6" s="1369"/>
      <c r="G6" s="1369"/>
      <c r="H6" s="1369"/>
      <c r="I6" s="1369"/>
      <c r="J6" s="1369"/>
      <c r="K6" s="1369"/>
      <c r="L6" s="1369"/>
      <c r="M6" s="1369"/>
      <c r="N6" s="1369"/>
      <c r="O6" s="1369"/>
      <c r="P6" s="1369"/>
      <c r="Q6" s="1369"/>
      <c r="R6" s="1369"/>
      <c r="S6" s="1369"/>
      <c r="T6" s="1369"/>
      <c r="U6" s="1369"/>
      <c r="V6" s="1369"/>
      <c r="W6" s="1369"/>
      <c r="X6" s="1369"/>
      <c r="Y6" s="1369"/>
      <c r="Z6" s="1369"/>
      <c r="AA6" s="1369"/>
      <c r="AB6" s="1369"/>
      <c r="AC6" s="1369"/>
    </row>
    <row r="7" spans="2:29" x14ac:dyDescent="0.3">
      <c r="B7" s="478" t="s">
        <v>397</v>
      </c>
      <c r="C7" s="247"/>
      <c r="D7" s="247"/>
      <c r="E7" s="247"/>
      <c r="F7" s="247"/>
      <c r="G7" s="247"/>
      <c r="H7" s="246"/>
      <c r="I7" s="246"/>
      <c r="J7" s="246"/>
      <c r="K7" s="246"/>
      <c r="L7" s="246"/>
      <c r="M7" s="246"/>
      <c r="N7" s="246"/>
      <c r="O7" s="246"/>
      <c r="P7" s="246"/>
      <c r="Q7" s="246"/>
      <c r="R7" s="246"/>
      <c r="S7" s="246"/>
      <c r="T7" s="246"/>
      <c r="U7" s="246"/>
    </row>
    <row r="8" spans="2:29" ht="14.5" customHeight="1" x14ac:dyDescent="0.3">
      <c r="B8" s="1338" t="s">
        <v>424</v>
      </c>
      <c r="C8" s="1339"/>
      <c r="D8" s="1346" t="s">
        <v>261</v>
      </c>
      <c r="E8" s="1347"/>
      <c r="F8" s="1347"/>
      <c r="G8" s="1347"/>
      <c r="H8" s="1347"/>
      <c r="I8" s="1347"/>
      <c r="J8" s="1347"/>
      <c r="K8" s="1347"/>
      <c r="L8" s="1347"/>
      <c r="M8" s="1347"/>
      <c r="N8" s="1347"/>
      <c r="O8" s="1348"/>
      <c r="P8" s="1378" t="s">
        <v>143</v>
      </c>
      <c r="Q8" s="1379"/>
      <c r="R8" s="1379"/>
      <c r="S8" s="1379"/>
      <c r="T8" s="1379"/>
      <c r="U8" s="1379"/>
      <c r="V8" s="1379"/>
      <c r="W8" s="1379"/>
      <c r="X8" s="1379"/>
      <c r="Y8" s="1379"/>
      <c r="Z8" s="1379"/>
      <c r="AA8" s="1379"/>
      <c r="AB8" s="1379"/>
      <c r="AC8" s="1380"/>
    </row>
    <row r="9" spans="2:29" ht="14.5" customHeight="1" x14ac:dyDescent="0.3">
      <c r="B9" s="1340"/>
      <c r="C9" s="1408"/>
      <c r="D9" s="1183">
        <v>2018</v>
      </c>
      <c r="E9" s="1335">
        <v>2019</v>
      </c>
      <c r="F9" s="1342"/>
      <c r="G9" s="1342"/>
      <c r="H9" s="1337"/>
      <c r="I9" s="1335">
        <v>2020</v>
      </c>
      <c r="J9" s="1342"/>
      <c r="K9" s="1342"/>
      <c r="L9" s="1337"/>
      <c r="M9" s="1335">
        <v>2021</v>
      </c>
      <c r="N9" s="1336"/>
      <c r="O9" s="1337"/>
      <c r="P9" s="803">
        <v>2021</v>
      </c>
      <c r="Q9" s="1343">
        <v>2022</v>
      </c>
      <c r="R9" s="1385"/>
      <c r="S9" s="1385"/>
      <c r="T9" s="1345"/>
      <c r="U9" s="1343">
        <v>2023</v>
      </c>
      <c r="V9" s="1385"/>
      <c r="W9" s="1385"/>
      <c r="X9" s="1344"/>
      <c r="Y9" s="1343">
        <v>2024</v>
      </c>
      <c r="Z9" s="1344"/>
      <c r="AA9" s="1344"/>
      <c r="AB9" s="1345"/>
      <c r="AC9" s="439">
        <v>2025</v>
      </c>
    </row>
    <row r="10" spans="2:29" x14ac:dyDescent="0.3">
      <c r="B10" s="1340"/>
      <c r="C10" s="1408"/>
      <c r="D10" s="211" t="s">
        <v>138</v>
      </c>
      <c r="E10" s="211" t="s">
        <v>135</v>
      </c>
      <c r="F10" s="189" t="s">
        <v>136</v>
      </c>
      <c r="G10" s="189" t="s">
        <v>137</v>
      </c>
      <c r="H10" s="1056" t="s">
        <v>138</v>
      </c>
      <c r="I10" s="190" t="s">
        <v>135</v>
      </c>
      <c r="J10" s="190" t="s">
        <v>136</v>
      </c>
      <c r="K10" s="190" t="s">
        <v>137</v>
      </c>
      <c r="L10" s="190" t="s">
        <v>138</v>
      </c>
      <c r="M10" s="205" t="s">
        <v>135</v>
      </c>
      <c r="N10" s="190" t="s">
        <v>136</v>
      </c>
      <c r="O10" s="1056" t="s">
        <v>137</v>
      </c>
      <c r="P10" s="1184" t="s">
        <v>138</v>
      </c>
      <c r="Q10" s="1173" t="s">
        <v>135</v>
      </c>
      <c r="R10" s="1174" t="s">
        <v>136</v>
      </c>
      <c r="S10" s="1174" t="s">
        <v>137</v>
      </c>
      <c r="T10" s="1174" t="s">
        <v>138</v>
      </c>
      <c r="U10" s="1173" t="s">
        <v>135</v>
      </c>
      <c r="V10" s="1174" t="s">
        <v>136</v>
      </c>
      <c r="W10" s="1174" t="s">
        <v>137</v>
      </c>
      <c r="X10" s="1174" t="s">
        <v>138</v>
      </c>
      <c r="Y10" s="1173" t="s">
        <v>135</v>
      </c>
      <c r="Z10" s="533" t="s">
        <v>136</v>
      </c>
      <c r="AA10" s="1174" t="s">
        <v>137</v>
      </c>
      <c r="AB10" s="1175" t="s">
        <v>138</v>
      </c>
      <c r="AC10" s="80" t="s">
        <v>135</v>
      </c>
    </row>
    <row r="11" spans="2:29" x14ac:dyDescent="0.3">
      <c r="B11" s="1449" t="s">
        <v>145</v>
      </c>
      <c r="C11" s="1450"/>
      <c r="D11" s="1182"/>
      <c r="E11" s="1290"/>
      <c r="F11" s="1290"/>
      <c r="G11" s="1290"/>
      <c r="H11" s="1084"/>
      <c r="I11" s="1084"/>
      <c r="J11" s="1084"/>
      <c r="K11" s="1084"/>
      <c r="L11" s="1084"/>
      <c r="M11" s="1084"/>
      <c r="N11" s="1084"/>
      <c r="O11" s="1085"/>
      <c r="P11" s="739"/>
      <c r="Q11" s="739"/>
      <c r="R11" s="739"/>
      <c r="S11" s="739"/>
      <c r="T11" s="739"/>
      <c r="U11" s="739"/>
      <c r="V11" s="739"/>
      <c r="W11" s="739"/>
      <c r="X11" s="739"/>
      <c r="Y11" s="739"/>
      <c r="Z11" s="779"/>
      <c r="AA11" s="779"/>
      <c r="AB11" s="779"/>
      <c r="AC11" s="780"/>
    </row>
    <row r="12" spans="2:29" x14ac:dyDescent="0.3">
      <c r="B12" s="201" t="s">
        <v>546</v>
      </c>
      <c r="C12" s="520" t="s">
        <v>227</v>
      </c>
      <c r="D12" s="829">
        <f>'Haver Pivoted'!GO31</f>
        <v>2222.3000000000002</v>
      </c>
      <c r="E12" s="830">
        <f>'Haver Pivoted'!GP31</f>
        <v>2298.1</v>
      </c>
      <c r="F12" s="830">
        <f>'Haver Pivoted'!GQ31</f>
        <v>2315.5</v>
      </c>
      <c r="G12" s="830">
        <f>'Haver Pivoted'!GR31</f>
        <v>2333.1999999999998</v>
      </c>
      <c r="H12" s="830">
        <f>'Haver Pivoted'!GS31</f>
        <v>2350.8000000000002</v>
      </c>
      <c r="I12" s="830">
        <f>'Haver Pivoted'!GT31</f>
        <v>2417.9</v>
      </c>
      <c r="J12" s="830">
        <f>'Haver Pivoted'!GU31</f>
        <v>4766.7</v>
      </c>
      <c r="K12" s="830">
        <f>'Haver Pivoted'!GV31</f>
        <v>3468.3</v>
      </c>
      <c r="L12" s="830">
        <f>'Haver Pivoted'!GW31</f>
        <v>2839.1</v>
      </c>
      <c r="M12" s="830">
        <f>'Haver Pivoted'!GX31</f>
        <v>5070.6000000000004</v>
      </c>
      <c r="N12" s="830">
        <f>'Haver Pivoted'!GY31</f>
        <v>3372.3</v>
      </c>
      <c r="O12" s="1285">
        <f>'Haver Pivoted'!GZ31</f>
        <v>0</v>
      </c>
      <c r="P12" s="202" t="e">
        <f t="shared" ref="P12:Y12" si="0">SUM(P13:P21)</f>
        <v>#DIV/0!</v>
      </c>
      <c r="Q12" s="202" t="e">
        <f t="shared" si="0"/>
        <v>#DIV/0!</v>
      </c>
      <c r="R12" s="202" t="e">
        <f t="shared" si="0"/>
        <v>#DIV/0!</v>
      </c>
      <c r="S12" s="202">
        <f t="shared" si="0"/>
        <v>1800.9397660669501</v>
      </c>
      <c r="T12" s="202">
        <f t="shared" si="0"/>
        <v>1689.3981309480525</v>
      </c>
      <c r="U12" s="202">
        <f t="shared" si="0"/>
        <v>1766.4640036952105</v>
      </c>
      <c r="V12" s="202">
        <f t="shared" si="0"/>
        <v>1773.2721894047379</v>
      </c>
      <c r="W12" s="202">
        <f t="shared" si="0"/>
        <v>1780.0749270912895</v>
      </c>
      <c r="X12" s="202">
        <f t="shared" si="0"/>
        <v>1779.1571150430741</v>
      </c>
      <c r="Y12" s="202">
        <f t="shared" si="0"/>
        <v>1852.2758316868271</v>
      </c>
      <c r="Z12" s="202">
        <f t="shared" ref="Z12:AC12" si="1">SUM(Z13:Z21)</f>
        <v>1859.0661836903796</v>
      </c>
      <c r="AA12" s="202">
        <f t="shared" si="1"/>
        <v>1865.8508374235182</v>
      </c>
      <c r="AB12" s="202">
        <f t="shared" si="1"/>
        <v>1870.9306880243155</v>
      </c>
      <c r="AC12" s="897">
        <f t="shared" si="1"/>
        <v>1877.703628701131</v>
      </c>
    </row>
    <row r="13" spans="2:29" ht="28" x14ac:dyDescent="0.3">
      <c r="B13" s="234" t="s">
        <v>427</v>
      </c>
      <c r="C13" s="520"/>
      <c r="D13" s="829">
        <f>'Unemployment Insurance'!D20+'Unemployment Insurance'!D19</f>
        <v>27.1</v>
      </c>
      <c r="E13" s="830">
        <f>'Unemployment Insurance'!E20+'Unemployment Insurance'!E19</f>
        <v>28.4</v>
      </c>
      <c r="F13" s="830">
        <f>'Unemployment Insurance'!F20+'Unemployment Insurance'!F19</f>
        <v>27.8</v>
      </c>
      <c r="G13" s="830">
        <f>'Unemployment Insurance'!G20+'Unemployment Insurance'!G19</f>
        <v>27.4</v>
      </c>
      <c r="H13" s="830">
        <f>'Unemployment Insurance'!H20+'Unemployment Insurance'!H19</f>
        <v>26.8</v>
      </c>
      <c r="I13" s="830">
        <f>'Unemployment Insurance'!I20+'Unemployment Insurance'!I19</f>
        <v>39.5</v>
      </c>
      <c r="J13" s="830">
        <f>'Unemployment Insurance'!J20+'Unemployment Insurance'!J19</f>
        <v>1039.4000000000001</v>
      </c>
      <c r="K13" s="830">
        <f>'Unemployment Insurance'!K20+'Unemployment Insurance'!K19</f>
        <v>767.8</v>
      </c>
      <c r="L13" s="830">
        <f>'Unemployment Insurance'!L20+'Unemployment Insurance'!L19</f>
        <v>299.89999999999998</v>
      </c>
      <c r="M13" s="830">
        <f>'Unemployment Insurance'!M20+'Unemployment Insurance'!M19</f>
        <v>565.79999999999995</v>
      </c>
      <c r="N13" s="830">
        <f>'Unemployment Insurance'!N20+'Unemployment Insurance'!N19</f>
        <v>480.4</v>
      </c>
      <c r="O13" s="1285">
        <f>'Unemployment Insurance'!O20+'Unemployment Insurance'!O19</f>
        <v>0</v>
      </c>
      <c r="P13" s="202">
        <f>'Unemployment Insurance'!P20+'Unemployment Insurance'!P19</f>
        <v>0</v>
      </c>
      <c r="Q13" s="202">
        <f>'Unemployment Insurance'!Q20+'Unemployment Insurance'!Q19</f>
        <v>0</v>
      </c>
      <c r="R13" s="202">
        <f>'Unemployment Insurance'!R20+'Unemployment Insurance'!R19</f>
        <v>0</v>
      </c>
      <c r="S13" s="202">
        <f>'Unemployment Insurance'!S20+'Unemployment Insurance'!S19</f>
        <v>0</v>
      </c>
      <c r="T13" s="202">
        <f>'Unemployment Insurance'!T20+'Unemployment Insurance'!T19</f>
        <v>0</v>
      </c>
      <c r="U13" s="202">
        <f>'Unemployment Insurance'!U20+'Unemployment Insurance'!U19</f>
        <v>0</v>
      </c>
      <c r="V13" s="202">
        <f>'Unemployment Insurance'!V20+'Unemployment Insurance'!V19</f>
        <v>0</v>
      </c>
      <c r="W13" s="202">
        <f>'Unemployment Insurance'!W20+'Unemployment Insurance'!W19</f>
        <v>0</v>
      </c>
      <c r="X13" s="202">
        <f>'Unemployment Insurance'!X20+'Unemployment Insurance'!X19</f>
        <v>0</v>
      </c>
      <c r="Y13" s="202">
        <f>'Unemployment Insurance'!Y20+'Unemployment Insurance'!Y19</f>
        <v>0</v>
      </c>
      <c r="Z13" s="202">
        <f>'Unemployment Insurance'!Z20+'Unemployment Insurance'!Z19</f>
        <v>0</v>
      </c>
      <c r="AA13" s="202">
        <f>'Unemployment Insurance'!AA20+'Unemployment Insurance'!AA19</f>
        <v>0</v>
      </c>
      <c r="AB13" s="202">
        <f>'Unemployment Insurance'!AB20+'Unemployment Insurance'!AB19</f>
        <v>0</v>
      </c>
      <c r="AC13" s="897">
        <f>'Unemployment Insurance'!AC20+'Unemployment Insurance'!AC19</f>
        <v>0</v>
      </c>
    </row>
    <row r="14" spans="2:29" x14ac:dyDescent="0.3">
      <c r="B14" s="234" t="s">
        <v>383</v>
      </c>
      <c r="C14" s="520"/>
      <c r="D14" s="829">
        <f>Medicare!D10</f>
        <v>754.2</v>
      </c>
      <c r="E14" s="830">
        <f>Medicare!E10</f>
        <v>768.3</v>
      </c>
      <c r="F14" s="830">
        <f>Medicare!F10</f>
        <v>781.1</v>
      </c>
      <c r="G14" s="830">
        <f>Medicare!G10</f>
        <v>792.1</v>
      </c>
      <c r="H14" s="830">
        <f>Medicare!H10</f>
        <v>801.3</v>
      </c>
      <c r="I14" s="830">
        <f>Medicare!I10</f>
        <v>808.5</v>
      </c>
      <c r="J14" s="830">
        <f>Medicare!J10</f>
        <v>821.6</v>
      </c>
      <c r="K14" s="830">
        <f>Medicare!K10</f>
        <v>825.8</v>
      </c>
      <c r="L14" s="830">
        <f>Medicare!L10</f>
        <v>821</v>
      </c>
      <c r="M14" s="830">
        <f>Medicare!M10</f>
        <v>814.1</v>
      </c>
      <c r="N14" s="830">
        <f>Medicare!N10</f>
        <v>815.3</v>
      </c>
      <c r="O14" s="1285">
        <f>Medicare!O10</f>
        <v>0</v>
      </c>
      <c r="P14" s="202">
        <f>Medicare!P10</f>
        <v>-0.24817867266275329</v>
      </c>
      <c r="Q14" s="202">
        <f>Medicare!Q10</f>
        <v>-16.514588757086585</v>
      </c>
      <c r="R14" s="202">
        <f>Medicare!R10</f>
        <v>-16.78598013313465</v>
      </c>
      <c r="S14" s="202">
        <f>Medicare!S10</f>
        <v>-31.062445940172523</v>
      </c>
      <c r="T14" s="202">
        <f>Medicare!T10</f>
        <v>-31.344081059070202</v>
      </c>
      <c r="U14" s="202">
        <f>Medicare!U10</f>
        <v>-31.630547174254353</v>
      </c>
      <c r="V14" s="202">
        <f>Medicare!V10</f>
        <v>-31.922361464727253</v>
      </c>
      <c r="W14" s="202">
        <f>Medicare!W10</f>
        <v>-32.219623778175603</v>
      </c>
      <c r="X14" s="202">
        <f>Medicare!X10</f>
        <v>-32.52243582639116</v>
      </c>
      <c r="Y14" s="202">
        <f>Medicare!Y10</f>
        <v>-32.826488519509027</v>
      </c>
      <c r="Z14" s="202">
        <f>Medicare!Z10</f>
        <v>-33.13613651595648</v>
      </c>
      <c r="AA14" s="202">
        <f>Medicare!AA10</f>
        <v>-33.45148278281804</v>
      </c>
      <c r="AB14" s="202">
        <f>Medicare!AB10</f>
        <v>-33.772632182021063</v>
      </c>
      <c r="AC14" s="897">
        <f>Medicare!AC10</f>
        <v>-34.099691505205442</v>
      </c>
    </row>
    <row r="15" spans="2:29" ht="28" x14ac:dyDescent="0.3">
      <c r="B15" s="230" t="s">
        <v>426</v>
      </c>
      <c r="C15" s="520"/>
      <c r="D15" s="851"/>
      <c r="E15" s="37"/>
      <c r="F15" s="37"/>
      <c r="G15" s="37"/>
      <c r="H15" s="830">
        <f>'Rebate Checks'!H10 +'Rebate Checks'!H11</f>
        <v>0</v>
      </c>
      <c r="I15" s="830">
        <f>'Rebate Checks'!I10 +'Rebate Checks'!I11</f>
        <v>0</v>
      </c>
      <c r="J15" s="830">
        <f>'Rebate Checks'!J10 +'Rebate Checks'!J11</f>
        <v>1078.0999999999999</v>
      </c>
      <c r="K15" s="830">
        <f>'Rebate Checks'!K10 +'Rebate Checks'!K11</f>
        <v>15.6</v>
      </c>
      <c r="L15" s="830">
        <f>'Rebate Checks'!L10 +'Rebate Checks'!L11</f>
        <v>5</v>
      </c>
      <c r="M15" s="830">
        <f>'Rebate Checks'!M10 +'Rebate Checks'!M11</f>
        <v>1933.6999999999998</v>
      </c>
      <c r="N15" s="830">
        <f>'Rebate Checks'!N10 +'Rebate Checks'!N11</f>
        <v>290.10000000000002</v>
      </c>
      <c r="O15" s="1285">
        <f>'Rebate Checks'!O10 +'Rebate Checks'!O11</f>
        <v>0</v>
      </c>
      <c r="P15" s="202">
        <f>'Rebate Checks'!P10 +'Rebate Checks'!P11</f>
        <v>0</v>
      </c>
      <c r="Q15" s="202">
        <f>'Rebate Checks'!Q10 +'Rebate Checks'!Q11</f>
        <v>14.93</v>
      </c>
      <c r="R15" s="202">
        <f>'Rebate Checks'!R10 +'Rebate Checks'!R11</f>
        <v>14.93</v>
      </c>
      <c r="S15" s="202">
        <f>'Rebate Checks'!S10 +'Rebate Checks'!S11</f>
        <v>0</v>
      </c>
      <c r="T15" s="202">
        <f>'Rebate Checks'!T10 +'Rebate Checks'!T11</f>
        <v>0</v>
      </c>
      <c r="U15" s="202">
        <f>'Rebate Checks'!U10 +'Rebate Checks'!U11</f>
        <v>0</v>
      </c>
      <c r="V15" s="202">
        <f>'Rebate Checks'!V10 +'Rebate Checks'!V11</f>
        <v>0</v>
      </c>
      <c r="W15" s="202">
        <f>'Rebate Checks'!W10 +'Rebate Checks'!W11</f>
        <v>0</v>
      </c>
      <c r="X15" s="202">
        <f>'Rebate Checks'!X10 +'Rebate Checks'!X11</f>
        <v>0</v>
      </c>
      <c r="Y15" s="202">
        <f>'Rebate Checks'!Y10 +'Rebate Checks'!Y11</f>
        <v>0</v>
      </c>
      <c r="Z15" s="202">
        <f>'Rebate Checks'!Z10 +'Rebate Checks'!Z11</f>
        <v>0</v>
      </c>
      <c r="AA15" s="202">
        <f>'Rebate Checks'!AA10 +'Rebate Checks'!AA11</f>
        <v>0</v>
      </c>
      <c r="AB15" s="202">
        <f>'Rebate Checks'!AB10 +'Rebate Checks'!AB11</f>
        <v>0</v>
      </c>
      <c r="AC15" s="897">
        <f>'Rebate Checks'!AC10 +'Rebate Checks'!AC11</f>
        <v>0</v>
      </c>
    </row>
    <row r="16" spans="2:29" ht="28" x14ac:dyDescent="0.3">
      <c r="B16" s="230" t="s">
        <v>684</v>
      </c>
      <c r="C16" s="520"/>
      <c r="D16" s="851"/>
      <c r="E16" s="37"/>
      <c r="F16" s="37"/>
      <c r="G16" s="37"/>
      <c r="H16" s="830"/>
      <c r="I16" s="830">
        <f>I62</f>
        <v>2.5817499999999995</v>
      </c>
      <c r="J16" s="830">
        <f t="shared" ref="J16:Y16" si="2">J62</f>
        <v>37.358750000000001</v>
      </c>
      <c r="K16" s="830">
        <f t="shared" si="2"/>
        <v>38.026749999999993</v>
      </c>
      <c r="L16" s="830">
        <f t="shared" si="2"/>
        <v>38.350750000000005</v>
      </c>
      <c r="M16" s="830">
        <f t="shared" si="2"/>
        <v>54.966750000000005</v>
      </c>
      <c r="N16" s="830">
        <f t="shared" si="2"/>
        <v>74.252749999999992</v>
      </c>
      <c r="O16" s="1285">
        <f t="shared" si="2"/>
        <v>-54.686250000000001</v>
      </c>
      <c r="P16" s="202">
        <f t="shared" si="2"/>
        <v>50</v>
      </c>
      <c r="Q16" s="202">
        <f t="shared" si="2"/>
        <v>25</v>
      </c>
      <c r="R16" s="202">
        <f t="shared" si="2"/>
        <v>20</v>
      </c>
      <c r="S16" s="202">
        <f t="shared" si="2"/>
        <v>5</v>
      </c>
      <c r="T16" s="202">
        <f t="shared" si="2"/>
        <v>0</v>
      </c>
      <c r="U16" s="202">
        <f t="shared" si="2"/>
        <v>0</v>
      </c>
      <c r="V16" s="202">
        <f t="shared" si="2"/>
        <v>0</v>
      </c>
      <c r="W16" s="202">
        <f t="shared" si="2"/>
        <v>0</v>
      </c>
      <c r="X16" s="202">
        <f t="shared" si="2"/>
        <v>0</v>
      </c>
      <c r="Y16" s="202">
        <f t="shared" si="2"/>
        <v>0</v>
      </c>
      <c r="Z16" s="202">
        <f t="shared" ref="Z16:AC16" si="3">Z62</f>
        <v>0</v>
      </c>
      <c r="AA16" s="202">
        <f t="shared" si="3"/>
        <v>0</v>
      </c>
      <c r="AB16" s="202">
        <f t="shared" si="3"/>
        <v>0</v>
      </c>
      <c r="AC16" s="897">
        <f t="shared" si="3"/>
        <v>0</v>
      </c>
    </row>
    <row r="17" spans="1:29" x14ac:dyDescent="0.3">
      <c r="B17" s="230" t="s">
        <v>484</v>
      </c>
      <c r="C17" s="520"/>
      <c r="D17" s="851"/>
      <c r="E17" s="37"/>
      <c r="F17" s="37"/>
      <c r="G17" s="37"/>
      <c r="H17" s="830"/>
      <c r="I17" s="830"/>
      <c r="J17" s="72">
        <v>19.100000000000001</v>
      </c>
      <c r="K17" s="72">
        <v>27</v>
      </c>
      <c r="L17" s="72">
        <v>10.8</v>
      </c>
      <c r="M17" s="72">
        <v>10.8</v>
      </c>
      <c r="N17" s="830">
        <f>PPP!N53</f>
        <v>24.7</v>
      </c>
      <c r="O17" s="1285">
        <f>PPP!O53</f>
        <v>0</v>
      </c>
      <c r="P17" s="202" t="e">
        <f>PPP!P53</f>
        <v>#DIV/0!</v>
      </c>
      <c r="Q17" s="202"/>
      <c r="R17" s="202"/>
      <c r="S17" s="202"/>
      <c r="T17" s="202"/>
      <c r="U17" s="202"/>
      <c r="V17" s="202"/>
      <c r="W17" s="202"/>
      <c r="X17" s="202"/>
      <c r="Y17" s="202"/>
      <c r="Z17" s="202"/>
      <c r="AA17" s="202"/>
      <c r="AB17" s="202"/>
      <c r="AC17" s="897"/>
    </row>
    <row r="18" spans="1:29" x14ac:dyDescent="0.3">
      <c r="B18" s="230" t="s">
        <v>485</v>
      </c>
      <c r="C18" s="520"/>
      <c r="D18" s="851"/>
      <c r="E18" s="37"/>
      <c r="F18" s="37"/>
      <c r="G18" s="37"/>
      <c r="H18" s="830"/>
      <c r="I18" s="830"/>
      <c r="J18" s="72">
        <v>160.9</v>
      </c>
      <c r="K18" s="72">
        <v>58.4</v>
      </c>
      <c r="L18" s="72">
        <v>34.5</v>
      </c>
      <c r="M18" s="72">
        <v>43</v>
      </c>
      <c r="N18" s="830">
        <f>'Provider Relief'!N11</f>
        <v>26.6</v>
      </c>
      <c r="O18" s="1285">
        <f>'Provider Relief'!O11</f>
        <v>0</v>
      </c>
      <c r="P18" s="202" t="e">
        <f>'Provider Relief'!P11</f>
        <v>#DIV/0!</v>
      </c>
      <c r="Q18" s="202" t="e">
        <f>'Provider Relief'!Q11</f>
        <v>#DIV/0!</v>
      </c>
      <c r="R18" s="202" t="e">
        <f>'Provider Relief'!R11</f>
        <v>#DIV/0!</v>
      </c>
      <c r="S18" s="202"/>
      <c r="T18" s="202"/>
      <c r="U18" s="202"/>
      <c r="V18" s="202"/>
      <c r="W18" s="202"/>
      <c r="X18" s="202"/>
      <c r="Y18" s="202"/>
      <c r="Z18" s="202"/>
      <c r="AA18" s="202"/>
      <c r="AB18" s="202"/>
      <c r="AC18" s="897"/>
    </row>
    <row r="19" spans="1:29" x14ac:dyDescent="0.3">
      <c r="A19" s="115"/>
      <c r="B19" s="230" t="s">
        <v>493</v>
      </c>
      <c r="C19" s="520"/>
      <c r="D19" s="851"/>
      <c r="E19" s="37"/>
      <c r="F19" s="37"/>
      <c r="G19" s="37"/>
      <c r="H19" s="830"/>
      <c r="I19" s="830"/>
      <c r="J19" s="72"/>
      <c r="K19" s="72"/>
      <c r="L19" s="72"/>
      <c r="M19" s="72"/>
      <c r="N19" s="830">
        <f t="shared" ref="N19:Y19" si="4">N23</f>
        <v>53.448640000000026</v>
      </c>
      <c r="O19" s="1285">
        <f t="shared" si="4"/>
        <v>340.54336000000012</v>
      </c>
      <c r="P19" s="202">
        <f t="shared" si="4"/>
        <v>127.476</v>
      </c>
      <c r="Q19" s="202">
        <f t="shared" si="4"/>
        <v>127.476</v>
      </c>
      <c r="R19" s="202">
        <f t="shared" si="4"/>
        <v>127.476</v>
      </c>
      <c r="S19" s="202">
        <f t="shared" si="4"/>
        <v>127.476</v>
      </c>
      <c r="T19" s="202">
        <f t="shared" si="4"/>
        <v>14.116</v>
      </c>
      <c r="U19" s="202">
        <f t="shared" si="4"/>
        <v>14.116</v>
      </c>
      <c r="V19" s="202">
        <f t="shared" si="4"/>
        <v>14.116</v>
      </c>
      <c r="W19" s="202">
        <f t="shared" si="4"/>
        <v>14.116</v>
      </c>
      <c r="X19" s="202">
        <f t="shared" si="4"/>
        <v>6.4009999999999998</v>
      </c>
      <c r="Y19" s="202">
        <f t="shared" si="4"/>
        <v>6.4009999999999998</v>
      </c>
      <c r="Z19" s="202">
        <f t="shared" ref="Z19:AC19" si="5">Z23</f>
        <v>6.4009999999999998</v>
      </c>
      <c r="AA19" s="202">
        <f t="shared" si="5"/>
        <v>6.4009999999999998</v>
      </c>
      <c r="AB19" s="202">
        <f t="shared" si="5"/>
        <v>4.702</v>
      </c>
      <c r="AC19" s="897">
        <f t="shared" si="5"/>
        <v>4.702</v>
      </c>
    </row>
    <row r="20" spans="1:29" x14ac:dyDescent="0.3">
      <c r="B20" s="325" t="s">
        <v>685</v>
      </c>
      <c r="C20" s="520"/>
      <c r="D20" s="852">
        <f>D54</f>
        <v>0</v>
      </c>
      <c r="E20" s="596">
        <f t="shared" ref="E20:O20" si="6">E54</f>
        <v>0</v>
      </c>
      <c r="F20" s="596">
        <f t="shared" si="6"/>
        <v>0</v>
      </c>
      <c r="G20" s="596">
        <f t="shared" si="6"/>
        <v>0</v>
      </c>
      <c r="H20" s="596">
        <f t="shared" si="6"/>
        <v>0</v>
      </c>
      <c r="I20" s="596">
        <f t="shared" si="6"/>
        <v>-2.5817500000000564</v>
      </c>
      <c r="J20" s="596">
        <f t="shared" si="6"/>
        <v>33.241249999999809</v>
      </c>
      <c r="K20" s="596">
        <f t="shared" si="6"/>
        <v>151.57324999999992</v>
      </c>
      <c r="L20" s="596">
        <f t="shared" si="6"/>
        <v>38.349249999999302</v>
      </c>
      <c r="M20" s="596">
        <f t="shared" si="6"/>
        <v>49.933249999999589</v>
      </c>
      <c r="N20" s="596">
        <f t="shared" si="6"/>
        <v>2.0986099999995531</v>
      </c>
      <c r="O20" s="1078" t="e">
        <f t="shared" si="6"/>
        <v>#VALUE!</v>
      </c>
      <c r="P20" s="467">
        <v>0</v>
      </c>
      <c r="Q20" s="467">
        <v>0</v>
      </c>
      <c r="R20" s="467">
        <v>0</v>
      </c>
      <c r="S20" s="467">
        <v>0</v>
      </c>
      <c r="T20" s="467">
        <v>0</v>
      </c>
      <c r="U20" s="467">
        <v>0</v>
      </c>
      <c r="V20" s="467">
        <v>0</v>
      </c>
      <c r="W20" s="467">
        <v>0</v>
      </c>
      <c r="X20" s="467">
        <v>0</v>
      </c>
      <c r="Y20" s="467">
        <v>0</v>
      </c>
      <c r="Z20" s="467">
        <v>0</v>
      </c>
      <c r="AA20" s="467">
        <v>0</v>
      </c>
      <c r="AB20" s="467">
        <v>0</v>
      </c>
      <c r="AC20" s="956">
        <v>0</v>
      </c>
    </row>
    <row r="21" spans="1:29" ht="28" x14ac:dyDescent="0.3">
      <c r="B21" s="782" t="s">
        <v>487</v>
      </c>
      <c r="C21" s="520"/>
      <c r="D21" s="829">
        <f t="shared" ref="D21:O21" si="7">D12-SUM(D13:D20)</f>
        <v>1441</v>
      </c>
      <c r="E21" s="830">
        <f t="shared" si="7"/>
        <v>1501.4</v>
      </c>
      <c r="F21" s="830">
        <f t="shared" si="7"/>
        <v>1506.6</v>
      </c>
      <c r="G21" s="830">
        <f t="shared" si="7"/>
        <v>1513.6999999999998</v>
      </c>
      <c r="H21" s="830">
        <f t="shared" si="7"/>
        <v>1522.7000000000003</v>
      </c>
      <c r="I21" s="830">
        <f t="shared" si="7"/>
        <v>1569.9</v>
      </c>
      <c r="J21" s="830">
        <f t="shared" si="7"/>
        <v>1577</v>
      </c>
      <c r="K21" s="830">
        <f t="shared" si="7"/>
        <v>1584.1000000000004</v>
      </c>
      <c r="L21" s="830">
        <f t="shared" si="7"/>
        <v>1591.2000000000005</v>
      </c>
      <c r="M21" s="830">
        <f t="shared" si="7"/>
        <v>1598.3000000000006</v>
      </c>
      <c r="N21" s="830">
        <f t="shared" si="7"/>
        <v>1605.4000000000008</v>
      </c>
      <c r="O21" s="1285" t="e">
        <f t="shared" si="7"/>
        <v>#VALUE!</v>
      </c>
      <c r="P21" s="906" t="e">
        <f>O21+($L21-$I21)/3</f>
        <v>#VALUE!</v>
      </c>
      <c r="Q21" s="906">
        <f>M21*E41</f>
        <v>1685.3262120071224</v>
      </c>
      <c r="R21" s="906">
        <f>Q21+($L21-$I21)/3</f>
        <v>1692.4262120071226</v>
      </c>
      <c r="S21" s="906">
        <f>R21+($L21-$I21)/3</f>
        <v>1699.5262120071227</v>
      </c>
      <c r="T21" s="906">
        <f>S21+($L21-$I21)/3</f>
        <v>1706.6262120071228</v>
      </c>
      <c r="U21" s="906">
        <f>Q21*F41</f>
        <v>1783.9785508694649</v>
      </c>
      <c r="V21" s="906">
        <f>U21+($L21-$I21)/3</f>
        <v>1791.0785508694651</v>
      </c>
      <c r="W21" s="906">
        <f>V21+($L21-$I21)/3</f>
        <v>1798.1785508694652</v>
      </c>
      <c r="X21" s="906">
        <f>W21+($L21-$I21)/3</f>
        <v>1805.2785508694653</v>
      </c>
      <c r="Y21" s="906">
        <f>U21*$G$41</f>
        <v>1878.701320206336</v>
      </c>
      <c r="Z21" s="906">
        <f>Y21+($L21-$I21)/3</f>
        <v>1885.8013202063362</v>
      </c>
      <c r="AA21" s="906">
        <f t="shared" ref="AA21:AC21" si="8">Z21+($L21-$I21)/3</f>
        <v>1892.9013202063363</v>
      </c>
      <c r="AB21" s="906">
        <f t="shared" si="8"/>
        <v>1900.0013202063365</v>
      </c>
      <c r="AC21" s="907">
        <f t="shared" si="8"/>
        <v>1907.1013202063366</v>
      </c>
    </row>
    <row r="22" spans="1:29" s="434" customFormat="1" ht="29" x14ac:dyDescent="0.35">
      <c r="B22" s="579" t="s">
        <v>505</v>
      </c>
      <c r="C22" s="182"/>
      <c r="D22" s="853">
        <f>D21 + D20</f>
        <v>1441</v>
      </c>
      <c r="E22" s="244">
        <f t="shared" ref="E22:Y22" si="9">E21 + E20</f>
        <v>1501.4</v>
      </c>
      <c r="F22" s="244">
        <f t="shared" si="9"/>
        <v>1506.6</v>
      </c>
      <c r="G22" s="244">
        <f t="shared" si="9"/>
        <v>1513.6999999999998</v>
      </c>
      <c r="H22" s="244">
        <f t="shared" si="9"/>
        <v>1522.7000000000003</v>
      </c>
      <c r="I22" s="244">
        <f t="shared" si="9"/>
        <v>1567.31825</v>
      </c>
      <c r="J22" s="244">
        <f t="shared" si="9"/>
        <v>1610.2412499999998</v>
      </c>
      <c r="K22" s="244">
        <f t="shared" si="9"/>
        <v>1735.6732500000003</v>
      </c>
      <c r="L22" s="244">
        <f t="shared" si="9"/>
        <v>1629.5492499999998</v>
      </c>
      <c r="M22" s="244">
        <f t="shared" si="9"/>
        <v>1648.2332500000002</v>
      </c>
      <c r="N22" s="244">
        <f>N21 + N20</f>
        <v>1607.4986100000003</v>
      </c>
      <c r="O22" s="1275" t="e">
        <f t="shared" si="9"/>
        <v>#VALUE!</v>
      </c>
      <c r="P22" s="444" t="e">
        <f t="shared" si="9"/>
        <v>#VALUE!</v>
      </c>
      <c r="Q22" s="444">
        <f t="shared" si="9"/>
        <v>1685.3262120071224</v>
      </c>
      <c r="R22" s="444">
        <f t="shared" si="9"/>
        <v>1692.4262120071226</v>
      </c>
      <c r="S22" s="444">
        <f t="shared" si="9"/>
        <v>1699.5262120071227</v>
      </c>
      <c r="T22" s="444">
        <f t="shared" si="9"/>
        <v>1706.6262120071228</v>
      </c>
      <c r="U22" s="444">
        <f t="shared" si="9"/>
        <v>1783.9785508694649</v>
      </c>
      <c r="V22" s="444">
        <f t="shared" si="9"/>
        <v>1791.0785508694651</v>
      </c>
      <c r="W22" s="444">
        <f t="shared" si="9"/>
        <v>1798.1785508694652</v>
      </c>
      <c r="X22" s="444">
        <f t="shared" si="9"/>
        <v>1805.2785508694653</v>
      </c>
      <c r="Y22" s="444">
        <f t="shared" si="9"/>
        <v>1878.701320206336</v>
      </c>
      <c r="Z22" s="444">
        <f t="shared" ref="Z22:AC22" si="10">Z21 + Z20</f>
        <v>1885.8013202063362</v>
      </c>
      <c r="AA22" s="444">
        <f t="shared" si="10"/>
        <v>1892.9013202063363</v>
      </c>
      <c r="AB22" s="444">
        <f t="shared" si="10"/>
        <v>1900.0013202063365</v>
      </c>
      <c r="AC22" s="445">
        <f t="shared" si="10"/>
        <v>1907.1013202063366</v>
      </c>
    </row>
    <row r="23" spans="1:29" ht="28" x14ac:dyDescent="0.3">
      <c r="B23" s="243" t="s">
        <v>504</v>
      </c>
      <c r="C23" s="520"/>
      <c r="D23" s="851"/>
      <c r="E23" s="37"/>
      <c r="F23" s="37"/>
      <c r="G23" s="37"/>
      <c r="H23" s="830"/>
      <c r="I23" s="830"/>
      <c r="J23" s="830"/>
      <c r="K23" s="830"/>
      <c r="L23" s="830"/>
      <c r="M23" s="830">
        <f t="shared" ref="M23:Y23" si="11">SUM(M24:M25)</f>
        <v>0</v>
      </c>
      <c r="N23" s="830">
        <f t="shared" si="11"/>
        <v>53.448640000000026</v>
      </c>
      <c r="O23" s="1285">
        <f t="shared" si="11"/>
        <v>340.54336000000012</v>
      </c>
      <c r="P23" s="202">
        <f t="shared" si="11"/>
        <v>127.476</v>
      </c>
      <c r="Q23" s="202">
        <f t="shared" si="11"/>
        <v>127.476</v>
      </c>
      <c r="R23" s="202">
        <f t="shared" si="11"/>
        <v>127.476</v>
      </c>
      <c r="S23" s="202">
        <f t="shared" si="11"/>
        <v>127.476</v>
      </c>
      <c r="T23" s="202">
        <f t="shared" si="11"/>
        <v>14.116</v>
      </c>
      <c r="U23" s="202">
        <f t="shared" si="11"/>
        <v>14.116</v>
      </c>
      <c r="V23" s="202">
        <f t="shared" si="11"/>
        <v>14.116</v>
      </c>
      <c r="W23" s="202">
        <f t="shared" si="11"/>
        <v>14.116</v>
      </c>
      <c r="X23" s="202">
        <f t="shared" si="11"/>
        <v>6.4009999999999998</v>
      </c>
      <c r="Y23" s="202">
        <f t="shared" si="11"/>
        <v>6.4009999999999998</v>
      </c>
      <c r="Z23" s="202">
        <f t="shared" ref="Z23:AC23" si="12">SUM(Z24:Z25)</f>
        <v>6.4009999999999998</v>
      </c>
      <c r="AA23" s="202">
        <f t="shared" si="12"/>
        <v>6.4009999999999998</v>
      </c>
      <c r="AB23" s="202">
        <f t="shared" si="12"/>
        <v>4.702</v>
      </c>
      <c r="AC23" s="897">
        <f t="shared" si="12"/>
        <v>4.702</v>
      </c>
    </row>
    <row r="24" spans="1:29" s="434" customFormat="1" ht="14.5" x14ac:dyDescent="0.35">
      <c r="B24" s="310" t="s">
        <v>547</v>
      </c>
      <c r="C24" s="182"/>
      <c r="D24" s="822"/>
      <c r="E24" s="823"/>
      <c r="F24" s="823"/>
      <c r="G24" s="823"/>
      <c r="H24" s="244"/>
      <c r="I24" s="244"/>
      <c r="J24" s="244"/>
      <c r="K24" s="244"/>
      <c r="L24" s="244"/>
      <c r="M24" s="244">
        <f>'ARP Quarterly'!C5</f>
        <v>0</v>
      </c>
      <c r="N24" s="244">
        <f>'ARP Quarterly'!D5</f>
        <v>53.448640000000026</v>
      </c>
      <c r="O24" s="1275">
        <f>'ARP Quarterly'!E5</f>
        <v>137.43936000000005</v>
      </c>
      <c r="P24" s="444">
        <f>'ARP Quarterly'!F5</f>
        <v>52.756999999999998</v>
      </c>
      <c r="Q24" s="444">
        <f>'ARP Quarterly'!G5</f>
        <v>52.756999999999998</v>
      </c>
      <c r="R24" s="444">
        <f>'ARP Quarterly'!H5</f>
        <v>52.756999999999998</v>
      </c>
      <c r="S24" s="444">
        <f>'ARP Quarterly'!I5</f>
        <v>52.756999999999998</v>
      </c>
      <c r="T24" s="444">
        <f>'ARP Quarterly'!J5</f>
        <v>12</v>
      </c>
      <c r="U24" s="444">
        <f>'ARP Quarterly'!K5</f>
        <v>12</v>
      </c>
      <c r="V24" s="444">
        <f>'ARP Quarterly'!L5</f>
        <v>12</v>
      </c>
      <c r="W24" s="444">
        <f>'ARP Quarterly'!M5</f>
        <v>12</v>
      </c>
      <c r="X24" s="444">
        <f>'ARP Quarterly'!N5</f>
        <v>4.2219999999999995</v>
      </c>
      <c r="Y24" s="444">
        <f>'ARP Quarterly'!O5</f>
        <v>4.2219999999999995</v>
      </c>
      <c r="Z24" s="444">
        <f>'ARP Quarterly'!P5</f>
        <v>4.2219999999999995</v>
      </c>
      <c r="AA24" s="444">
        <f>'ARP Quarterly'!Q5</f>
        <v>4.2219999999999995</v>
      </c>
      <c r="AB24" s="444">
        <f>'ARP Quarterly'!R5</f>
        <v>2.3719999999999999</v>
      </c>
      <c r="AC24" s="445">
        <f>'ARP Quarterly'!S5</f>
        <v>2.3719999999999999</v>
      </c>
    </row>
    <row r="25" spans="1:29" ht="14.5" x14ac:dyDescent="0.35">
      <c r="B25" s="310" t="s">
        <v>429</v>
      </c>
      <c r="C25" s="182"/>
      <c r="D25" s="822"/>
      <c r="E25" s="823"/>
      <c r="F25" s="823"/>
      <c r="G25" s="823"/>
      <c r="H25" s="244"/>
      <c r="I25" s="244"/>
      <c r="J25" s="244"/>
      <c r="K25" s="244"/>
      <c r="L25" s="244"/>
      <c r="M25" s="244">
        <f>'ARP Quarterly'!C4</f>
        <v>0</v>
      </c>
      <c r="N25" s="244">
        <f>'ARP Quarterly'!D4</f>
        <v>0</v>
      </c>
      <c r="O25" s="1275">
        <f>'ARP Quarterly'!E4</f>
        <v>203.10400000000004</v>
      </c>
      <c r="P25" s="444">
        <f>'ARP Quarterly'!F4</f>
        <v>74.718999999999994</v>
      </c>
      <c r="Q25" s="444">
        <f>'ARP Quarterly'!G4</f>
        <v>74.718999999999994</v>
      </c>
      <c r="R25" s="444">
        <f>'ARP Quarterly'!H4</f>
        <v>74.718999999999994</v>
      </c>
      <c r="S25" s="444">
        <f>'ARP Quarterly'!I4</f>
        <v>74.718999999999994</v>
      </c>
      <c r="T25" s="444">
        <f>'ARP Quarterly'!J4</f>
        <v>2.1159999999999997</v>
      </c>
      <c r="U25" s="444">
        <f>'ARP Quarterly'!K4</f>
        <v>2.1159999999999997</v>
      </c>
      <c r="V25" s="444">
        <f>'ARP Quarterly'!L4</f>
        <v>2.1159999999999997</v>
      </c>
      <c r="W25" s="444">
        <f>'ARP Quarterly'!M4</f>
        <v>2.1159999999999997</v>
      </c>
      <c r="X25" s="444">
        <f>'ARP Quarterly'!N4</f>
        <v>2.1789999999999998</v>
      </c>
      <c r="Y25" s="444">
        <f>'ARP Quarterly'!O4</f>
        <v>2.1789999999999998</v>
      </c>
      <c r="Z25" s="444">
        <f>'ARP Quarterly'!P4</f>
        <v>2.1789999999999998</v>
      </c>
      <c r="AA25" s="444">
        <f>'ARP Quarterly'!Q4</f>
        <v>2.1789999999999998</v>
      </c>
      <c r="AB25" s="444">
        <f>'ARP Quarterly'!R4</f>
        <v>2.33</v>
      </c>
      <c r="AC25" s="445">
        <f>'ARP Quarterly'!S4</f>
        <v>2.33</v>
      </c>
    </row>
    <row r="26" spans="1:29" ht="14.5" x14ac:dyDescent="0.35">
      <c r="B26" s="241"/>
      <c r="C26" s="182"/>
      <c r="D26" s="822"/>
      <c r="E26" s="823"/>
      <c r="F26" s="823"/>
      <c r="G26" s="823"/>
      <c r="H26" s="244"/>
      <c r="I26" s="244"/>
      <c r="J26" s="244"/>
      <c r="K26" s="244"/>
      <c r="L26" s="244"/>
      <c r="M26" s="244"/>
      <c r="N26" s="244"/>
      <c r="O26" s="1275"/>
      <c r="P26" s="444"/>
      <c r="Q26" s="444"/>
      <c r="R26" s="444"/>
      <c r="S26" s="444"/>
      <c r="T26" s="444"/>
      <c r="U26" s="444"/>
      <c r="V26" s="444"/>
      <c r="W26" s="444"/>
      <c r="X26" s="444"/>
      <c r="Y26" s="444"/>
      <c r="Z26" s="444"/>
      <c r="AA26" s="444"/>
      <c r="AB26" s="444"/>
      <c r="AC26" s="445"/>
    </row>
    <row r="27" spans="1:29" x14ac:dyDescent="0.3">
      <c r="B27" s="1451" t="s">
        <v>423</v>
      </c>
      <c r="C27" s="1448"/>
      <c r="D27" s="1291"/>
      <c r="E27" s="1178"/>
      <c r="F27" s="1178"/>
      <c r="G27" s="1178"/>
      <c r="H27" s="830"/>
      <c r="I27" s="830"/>
      <c r="J27" s="830"/>
      <c r="K27" s="830"/>
      <c r="L27" s="830"/>
      <c r="M27" s="830"/>
      <c r="N27" s="830"/>
      <c r="O27" s="1285"/>
      <c r="P27" s="819"/>
      <c r="Q27" s="819"/>
      <c r="R27" s="819"/>
      <c r="S27" s="819"/>
      <c r="T27" s="819"/>
      <c r="U27" s="819"/>
      <c r="V27" s="819"/>
      <c r="W27" s="819"/>
      <c r="X27" s="819"/>
      <c r="Y27" s="819"/>
      <c r="Z27" s="819"/>
      <c r="AA27" s="819"/>
      <c r="AB27" s="819"/>
      <c r="AC27" s="896"/>
    </row>
    <row r="28" spans="1:29" x14ac:dyDescent="0.3">
      <c r="B28" s="201" t="s">
        <v>7</v>
      </c>
      <c r="C28" s="520" t="s">
        <v>233</v>
      </c>
      <c r="D28" s="829">
        <f>'Haver Pivoted'!GO37</f>
        <v>731.6</v>
      </c>
      <c r="E28" s="830">
        <f>'Haver Pivoted'!GP37</f>
        <v>741.5</v>
      </c>
      <c r="F28" s="830">
        <f>'Haver Pivoted'!GQ37</f>
        <v>758.6</v>
      </c>
      <c r="G28" s="830">
        <f>'Haver Pivoted'!GR37</f>
        <v>767.8</v>
      </c>
      <c r="H28" s="830">
        <f>'Haver Pivoted'!GS37</f>
        <v>767.1</v>
      </c>
      <c r="I28" s="830">
        <f>'Haver Pivoted'!GT37</f>
        <v>755.9</v>
      </c>
      <c r="J28" s="830">
        <f>'Haver Pivoted'!GU37</f>
        <v>803.8</v>
      </c>
      <c r="K28" s="830">
        <f>'Haver Pivoted'!GV37</f>
        <v>842.2</v>
      </c>
      <c r="L28" s="830">
        <f>'Haver Pivoted'!GW37</f>
        <v>831.1</v>
      </c>
      <c r="M28" s="830">
        <f>'Haver Pivoted'!GX37</f>
        <v>850</v>
      </c>
      <c r="N28" s="830">
        <f>'Haver Pivoted'!GY37</f>
        <v>885.5</v>
      </c>
      <c r="O28" s="1285">
        <f>'Haver Pivoted'!GZ37</f>
        <v>0</v>
      </c>
      <c r="P28" s="948" t="e">
        <f t="shared" ref="P28:Y28" si="13">P29+P30</f>
        <v>#DIV/0!</v>
      </c>
      <c r="Q28" s="948" t="e">
        <f t="shared" si="13"/>
        <v>#DIV/0!</v>
      </c>
      <c r="R28" s="948" t="e">
        <f t="shared" si="13"/>
        <v>#DIV/0!</v>
      </c>
      <c r="S28" s="948" t="e">
        <f t="shared" si="13"/>
        <v>#DIV/0!</v>
      </c>
      <c r="T28" s="948" t="e">
        <f t="shared" si="13"/>
        <v>#DIV/0!</v>
      </c>
      <c r="U28" s="948" t="e">
        <f t="shared" si="13"/>
        <v>#DIV/0!</v>
      </c>
      <c r="V28" s="948" t="e">
        <f t="shared" si="13"/>
        <v>#DIV/0!</v>
      </c>
      <c r="W28" s="948" t="e">
        <f t="shared" si="13"/>
        <v>#DIV/0!</v>
      </c>
      <c r="X28" s="948" t="e">
        <f t="shared" si="13"/>
        <v>#DIV/0!</v>
      </c>
      <c r="Y28" s="948" t="e">
        <f t="shared" si="13"/>
        <v>#DIV/0!</v>
      </c>
      <c r="Z28" s="948" t="e">
        <f t="shared" ref="Z28:AC28" si="14">Z29+Z30</f>
        <v>#DIV/0!</v>
      </c>
      <c r="AA28" s="948" t="e">
        <f t="shared" si="14"/>
        <v>#DIV/0!</v>
      </c>
      <c r="AB28" s="948" t="e">
        <f t="shared" si="14"/>
        <v>#DIV/0!</v>
      </c>
      <c r="AC28" s="949" t="e">
        <f t="shared" si="14"/>
        <v>#DIV/0!</v>
      </c>
    </row>
    <row r="29" spans="1:29" x14ac:dyDescent="0.3">
      <c r="B29" s="206" t="s">
        <v>428</v>
      </c>
      <c r="C29" s="520"/>
      <c r="D29" s="829">
        <v>589.54899999999998</v>
      </c>
      <c r="E29" s="830">
        <v>598.78200000000004</v>
      </c>
      <c r="F29" s="830">
        <v>614.49400000000003</v>
      </c>
      <c r="G29" s="830">
        <v>622.35699999999997</v>
      </c>
      <c r="H29" s="830">
        <f>Medicaid!D25</f>
        <v>620.5</v>
      </c>
      <c r="I29" s="830">
        <f>Medicaid!E25</f>
        <v>606.20000000000005</v>
      </c>
      <c r="J29" s="830">
        <f>Medicaid!F25</f>
        <v>654.20000000000005</v>
      </c>
      <c r="K29" s="830">
        <f>Medicaid!G25</f>
        <v>690.4</v>
      </c>
      <c r="L29" s="830">
        <f>Medicaid!H25</f>
        <v>678.3</v>
      </c>
      <c r="M29" s="830">
        <f>Medicaid!I25</f>
        <v>695.9</v>
      </c>
      <c r="N29" s="830">
        <f>Medicaid!J25</f>
        <v>730.5</v>
      </c>
      <c r="O29" s="1285">
        <f>Medicaid!K25</f>
        <v>0</v>
      </c>
      <c r="P29" s="948" t="e">
        <f>Medicaid!L25</f>
        <v>#DIV/0!</v>
      </c>
      <c r="Q29" s="948" t="e">
        <f>Medicaid!M25</f>
        <v>#DIV/0!</v>
      </c>
      <c r="R29" s="948" t="e">
        <f>Medicaid!N25</f>
        <v>#DIV/0!</v>
      </c>
      <c r="S29" s="948" t="e">
        <f>Medicaid!O25</f>
        <v>#DIV/0!</v>
      </c>
      <c r="T29" s="948" t="e">
        <f>Medicaid!P25</f>
        <v>#DIV/0!</v>
      </c>
      <c r="U29" s="948" t="e">
        <f>Medicaid!Q25</f>
        <v>#DIV/0!</v>
      </c>
      <c r="V29" s="948" t="e">
        <f>Medicaid!R25</f>
        <v>#DIV/0!</v>
      </c>
      <c r="W29" s="948" t="e">
        <f>Medicaid!S25</f>
        <v>#DIV/0!</v>
      </c>
      <c r="X29" s="948" t="e">
        <f>Medicaid!T25</f>
        <v>#DIV/0!</v>
      </c>
      <c r="Y29" s="948" t="e">
        <f>Medicaid!U25</f>
        <v>#DIV/0!</v>
      </c>
      <c r="Z29" s="948" t="e">
        <f>Medicaid!V25</f>
        <v>#DIV/0!</v>
      </c>
      <c r="AA29" s="948" t="e">
        <f>Medicaid!W25</f>
        <v>#DIV/0!</v>
      </c>
      <c r="AB29" s="948" t="e">
        <f>Medicaid!X25</f>
        <v>#DIV/0!</v>
      </c>
      <c r="AC29" s="948" t="e">
        <f>Medicaid!Y25</f>
        <v>#DIV/0!</v>
      </c>
    </row>
    <row r="30" spans="1:29" ht="28" customHeight="1" x14ac:dyDescent="0.35">
      <c r="B30" s="238" t="s">
        <v>443</v>
      </c>
      <c r="C30" s="182"/>
      <c r="D30" s="853">
        <f t="shared" ref="D30:O30" si="15">D28-D29</f>
        <v>142.05100000000004</v>
      </c>
      <c r="E30" s="244">
        <f t="shared" si="15"/>
        <v>142.71799999999996</v>
      </c>
      <c r="F30" s="244">
        <f t="shared" si="15"/>
        <v>144.10599999999999</v>
      </c>
      <c r="G30" s="244">
        <f t="shared" si="15"/>
        <v>145.44299999999998</v>
      </c>
      <c r="H30" s="244">
        <f t="shared" si="15"/>
        <v>146.60000000000002</v>
      </c>
      <c r="I30" s="244">
        <f t="shared" si="15"/>
        <v>149.69999999999993</v>
      </c>
      <c r="J30" s="244">
        <f t="shared" si="15"/>
        <v>149.59999999999991</v>
      </c>
      <c r="K30" s="244">
        <f t="shared" si="15"/>
        <v>151.80000000000007</v>
      </c>
      <c r="L30" s="244">
        <f t="shared" si="15"/>
        <v>152.80000000000007</v>
      </c>
      <c r="M30" s="244">
        <f t="shared" si="15"/>
        <v>154.10000000000002</v>
      </c>
      <c r="N30" s="244">
        <f t="shared" si="15"/>
        <v>155</v>
      </c>
      <c r="O30" s="1275">
        <f t="shared" si="15"/>
        <v>0</v>
      </c>
      <c r="P30" s="444">
        <f t="shared" ref="P30:Y30" si="16">O30*(1+AVERAGE($F$31:$I$31))</f>
        <v>0</v>
      </c>
      <c r="Q30" s="444">
        <f t="shared" si="16"/>
        <v>0</v>
      </c>
      <c r="R30" s="444">
        <f t="shared" si="16"/>
        <v>0</v>
      </c>
      <c r="S30" s="444">
        <f t="shared" si="16"/>
        <v>0</v>
      </c>
      <c r="T30" s="444">
        <f t="shared" si="16"/>
        <v>0</v>
      </c>
      <c r="U30" s="444">
        <f t="shared" si="16"/>
        <v>0</v>
      </c>
      <c r="V30" s="444">
        <f t="shared" si="16"/>
        <v>0</v>
      </c>
      <c r="W30" s="444">
        <f t="shared" si="16"/>
        <v>0</v>
      </c>
      <c r="X30" s="444">
        <f t="shared" si="16"/>
        <v>0</v>
      </c>
      <c r="Y30" s="444">
        <f t="shared" si="16"/>
        <v>0</v>
      </c>
      <c r="Z30" s="444">
        <f t="shared" ref="Z30" si="17">Y30*(1+AVERAGE($F$31:$I$31))</f>
        <v>0</v>
      </c>
      <c r="AA30" s="444">
        <f t="shared" ref="AA30" si="18">Z30*(1+AVERAGE($F$31:$I$31))</f>
        <v>0</v>
      </c>
      <c r="AB30" s="444">
        <f t="shared" ref="AB30" si="19">AA30*(1+AVERAGE($F$31:$I$31))</f>
        <v>0</v>
      </c>
      <c r="AC30" s="950">
        <f t="shared" ref="AC30" si="20">AB30*(1+AVERAGE($F$31:$I$31))</f>
        <v>0</v>
      </c>
    </row>
    <row r="31" spans="1:29" ht="19" customHeight="1" x14ac:dyDescent="0.3">
      <c r="B31" s="240" t="s">
        <v>442</v>
      </c>
      <c r="C31" s="520"/>
      <c r="D31" s="854"/>
      <c r="E31" s="855">
        <f t="shared" ref="E31:M31" si="21">E30/D30-1</f>
        <v>4.6954966878087756E-3</v>
      </c>
      <c r="F31" s="855">
        <f t="shared" si="21"/>
        <v>9.7254726103226385E-3</v>
      </c>
      <c r="G31" s="855">
        <f t="shared" si="21"/>
        <v>9.2778926623457991E-3</v>
      </c>
      <c r="H31" s="855">
        <f t="shared" si="21"/>
        <v>7.9550064286355582E-3</v>
      </c>
      <c r="I31" s="855">
        <f t="shared" si="21"/>
        <v>2.1145975443382703E-2</v>
      </c>
      <c r="J31" s="855">
        <f t="shared" si="21"/>
        <v>-6.6800267201083674E-4</v>
      </c>
      <c r="K31" s="855">
        <f t="shared" si="21"/>
        <v>1.4705882352942234E-2</v>
      </c>
      <c r="L31" s="855">
        <f t="shared" si="21"/>
        <v>6.5876152832673451E-3</v>
      </c>
      <c r="M31" s="855">
        <f t="shared" si="21"/>
        <v>8.5078534031410857E-3</v>
      </c>
      <c r="N31" s="855">
        <f t="shared" ref="N31" si="22">N30/M30-1</f>
        <v>5.8403634003891813E-3</v>
      </c>
      <c r="O31" s="1282">
        <f t="shared" ref="O31" si="23">O30/N30-1</f>
        <v>-1</v>
      </c>
      <c r="P31" s="446" t="e">
        <f t="shared" ref="P31" si="24">P30/O30-1</f>
        <v>#DIV/0!</v>
      </c>
      <c r="Q31" s="446" t="e">
        <f t="shared" ref="Q31" si="25">Q30/P30-1</f>
        <v>#DIV/0!</v>
      </c>
      <c r="R31" s="446" t="e">
        <f t="shared" ref="R31" si="26">R30/Q30-1</f>
        <v>#DIV/0!</v>
      </c>
      <c r="S31" s="446" t="e">
        <f t="shared" ref="S31" si="27">S30/R30-1</f>
        <v>#DIV/0!</v>
      </c>
      <c r="T31" s="446" t="e">
        <f t="shared" ref="T31" si="28">T30/S30-1</f>
        <v>#DIV/0!</v>
      </c>
      <c r="U31" s="446" t="e">
        <f t="shared" ref="U31" si="29">U30/T30-1</f>
        <v>#DIV/0!</v>
      </c>
      <c r="V31" s="446" t="e">
        <f t="shared" ref="V31" si="30">V30/U30-1</f>
        <v>#DIV/0!</v>
      </c>
      <c r="W31" s="446" t="e">
        <f t="shared" ref="W31" si="31">W30/V30-1</f>
        <v>#DIV/0!</v>
      </c>
      <c r="X31" s="446" t="e">
        <f t="shared" ref="X31" si="32">X30/W30-1</f>
        <v>#DIV/0!</v>
      </c>
      <c r="Y31" s="446" t="e">
        <f t="shared" ref="Y31" si="33">Y30/X30-1</f>
        <v>#DIV/0!</v>
      </c>
      <c r="Z31" s="446" t="e">
        <f t="shared" ref="Z31" si="34">Z30/Y30-1</f>
        <v>#DIV/0!</v>
      </c>
      <c r="AA31" s="446" t="e">
        <f t="shared" ref="AA31" si="35">AA30/Z30-1</f>
        <v>#DIV/0!</v>
      </c>
      <c r="AB31" s="446" t="e">
        <f t="shared" ref="AB31" si="36">AB30/AA30-1</f>
        <v>#DIV/0!</v>
      </c>
      <c r="AC31" s="895" t="e">
        <f t="shared" ref="AC31" si="37">AC30/AB30-1</f>
        <v>#DIV/0!</v>
      </c>
    </row>
    <row r="32" spans="1:29" x14ac:dyDescent="0.3">
      <c r="B32" s="1448"/>
      <c r="C32" s="1448"/>
      <c r="D32" s="231"/>
      <c r="E32" s="231"/>
      <c r="F32" s="231"/>
      <c r="G32" s="231"/>
      <c r="H32" s="47"/>
      <c r="I32" s="47"/>
      <c r="J32" s="47"/>
      <c r="K32" s="47"/>
      <c r="L32" s="47"/>
      <c r="M32" s="47"/>
      <c r="N32" s="360"/>
      <c r="O32" s="360"/>
      <c r="P32" s="360"/>
      <c r="Q32" s="360"/>
      <c r="R32" s="360"/>
      <c r="S32" s="360"/>
      <c r="T32" s="360"/>
      <c r="U32" s="360"/>
      <c r="V32" s="360"/>
      <c r="W32" s="360"/>
      <c r="X32" s="360"/>
      <c r="Y32" s="360"/>
      <c r="Z32" s="37"/>
    </row>
    <row r="33" spans="2:29" x14ac:dyDescent="0.3">
      <c r="B33" s="56" t="s">
        <v>398</v>
      </c>
    </row>
    <row r="34" spans="2:29" ht="23" customHeight="1" x14ac:dyDescent="0.3">
      <c r="B34" s="451" t="s">
        <v>655</v>
      </c>
      <c r="C34" s="447">
        <v>2020</v>
      </c>
      <c r="D34" s="447">
        <v>2021</v>
      </c>
      <c r="E34" s="447">
        <v>2022</v>
      </c>
      <c r="F34" s="447">
        <v>2023</v>
      </c>
      <c r="G34" s="448">
        <v>2024</v>
      </c>
    </row>
    <row r="35" spans="2:29" ht="23" customHeight="1" x14ac:dyDescent="0.3">
      <c r="B35" s="452" t="s">
        <v>1053</v>
      </c>
      <c r="C35" s="449">
        <v>1090</v>
      </c>
      <c r="D35" s="449">
        <v>1129</v>
      </c>
      <c r="E35" s="449">
        <v>1203</v>
      </c>
      <c r="F35" s="449">
        <v>1281</v>
      </c>
      <c r="G35" s="450">
        <v>1358</v>
      </c>
    </row>
    <row r="36" spans="2:29" x14ac:dyDescent="0.3">
      <c r="B36" s="452" t="s">
        <v>527</v>
      </c>
      <c r="C36" s="449">
        <v>300.51900000000001</v>
      </c>
      <c r="D36" s="449">
        <v>300.82</v>
      </c>
      <c r="E36" s="449">
        <v>307.28300000000002</v>
      </c>
      <c r="F36" s="449">
        <v>320.10899999999998</v>
      </c>
      <c r="G36" s="450">
        <v>329.596</v>
      </c>
    </row>
    <row r="37" spans="2:29" x14ac:dyDescent="0.3">
      <c r="B37" s="452" t="s">
        <v>528</v>
      </c>
      <c r="C37" s="449">
        <v>124.39699999999999</v>
      </c>
      <c r="D37" s="449">
        <v>129.75700000000001</v>
      </c>
      <c r="E37" s="449">
        <v>133.31899999999999</v>
      </c>
      <c r="F37" s="449">
        <v>138.328</v>
      </c>
      <c r="G37" s="450">
        <v>144.351</v>
      </c>
    </row>
    <row r="38" spans="2:29" x14ac:dyDescent="0.3">
      <c r="B38" s="452" t="s">
        <v>529</v>
      </c>
      <c r="C38" s="449">
        <v>1.976</v>
      </c>
      <c r="D38" s="449">
        <v>3.512</v>
      </c>
      <c r="E38" s="449">
        <v>4.5960000000000001</v>
      </c>
      <c r="F38" s="449">
        <v>5.24</v>
      </c>
      <c r="G38" s="450">
        <v>5.3659999999999997</v>
      </c>
    </row>
    <row r="39" spans="2:29" x14ac:dyDescent="0.3">
      <c r="B39" s="48"/>
      <c r="C39" s="35"/>
      <c r="D39" s="35"/>
      <c r="E39" s="35"/>
      <c r="F39" s="35"/>
      <c r="G39" s="44"/>
    </row>
    <row r="40" spans="2:29" x14ac:dyDescent="0.3">
      <c r="B40" s="48" t="s">
        <v>656</v>
      </c>
      <c r="C40" s="105">
        <f>SUM(C35:C38)</f>
        <v>1516.8920000000001</v>
      </c>
      <c r="D40" s="105">
        <f t="shared" ref="D40:G40" si="38">SUM(D35:D38)</f>
        <v>1563.0889999999999</v>
      </c>
      <c r="E40" s="105">
        <f t="shared" si="38"/>
        <v>1648.1979999999999</v>
      </c>
      <c r="F40" s="105">
        <f t="shared" si="38"/>
        <v>1744.6769999999999</v>
      </c>
      <c r="G40" s="106">
        <f t="shared" si="38"/>
        <v>1837.3130000000001</v>
      </c>
    </row>
    <row r="41" spans="2:29" x14ac:dyDescent="0.3">
      <c r="B41" s="454" t="s">
        <v>657</v>
      </c>
      <c r="C41" s="46"/>
      <c r="D41" s="367">
        <f>D40/C40</f>
        <v>1.0304550356914004</v>
      </c>
      <c r="E41" s="367">
        <f>E40/D40</f>
        <v>1.0544492348164436</v>
      </c>
      <c r="F41" s="367">
        <f>F40/E40</f>
        <v>1.0585360496736436</v>
      </c>
      <c r="G41" s="443">
        <f>G40/F40</f>
        <v>1.0530963611029436</v>
      </c>
    </row>
    <row r="45" spans="2:29" x14ac:dyDescent="0.3">
      <c r="B45" s="56" t="s">
        <v>399</v>
      </c>
    </row>
    <row r="46" spans="2:29" x14ac:dyDescent="0.3">
      <c r="B46" s="1338" t="s">
        <v>681</v>
      </c>
      <c r="C46" s="1339"/>
      <c r="D46" s="1346" t="s">
        <v>261</v>
      </c>
      <c r="E46" s="1347"/>
      <c r="F46" s="1347"/>
      <c r="G46" s="1347"/>
      <c r="H46" s="1347"/>
      <c r="I46" s="1347"/>
      <c r="J46" s="1347"/>
      <c r="K46" s="1347"/>
      <c r="L46" s="1347"/>
      <c r="M46" s="1347"/>
      <c r="N46" s="1347"/>
      <c r="O46" s="1348"/>
      <c r="P46" s="1378" t="s">
        <v>143</v>
      </c>
      <c r="Q46" s="1379"/>
      <c r="R46" s="1379"/>
      <c r="S46" s="1379"/>
      <c r="T46" s="1379"/>
      <c r="U46" s="1379"/>
      <c r="V46" s="1379"/>
      <c r="W46" s="1379"/>
      <c r="X46" s="1379"/>
      <c r="Y46" s="1379"/>
      <c r="Z46" s="1379"/>
      <c r="AA46" s="1379"/>
      <c r="AB46" s="1379"/>
      <c r="AC46" s="1380"/>
    </row>
    <row r="47" spans="2:29" x14ac:dyDescent="0.3">
      <c r="B47" s="1340"/>
      <c r="C47" s="1408"/>
      <c r="D47" s="1183">
        <v>2018</v>
      </c>
      <c r="E47" s="1335">
        <v>2019</v>
      </c>
      <c r="F47" s="1342"/>
      <c r="G47" s="1342"/>
      <c r="H47" s="1337"/>
      <c r="I47" s="1335">
        <v>2020</v>
      </c>
      <c r="J47" s="1342"/>
      <c r="K47" s="1342"/>
      <c r="L47" s="1337"/>
      <c r="M47" s="1335">
        <v>2021</v>
      </c>
      <c r="N47" s="1336"/>
      <c r="O47" s="1337"/>
      <c r="P47" s="803">
        <v>2021</v>
      </c>
      <c r="Q47" s="1343">
        <v>2022</v>
      </c>
      <c r="R47" s="1385"/>
      <c r="S47" s="1385"/>
      <c r="T47" s="1345"/>
      <c r="U47" s="1343">
        <v>2023</v>
      </c>
      <c r="V47" s="1385"/>
      <c r="W47" s="1385"/>
      <c r="X47" s="1344"/>
      <c r="Y47" s="1343">
        <v>2024</v>
      </c>
      <c r="Z47" s="1344"/>
      <c r="AA47" s="1344"/>
      <c r="AB47" s="1345"/>
      <c r="AC47" s="439">
        <v>2025</v>
      </c>
    </row>
    <row r="48" spans="2:29" x14ac:dyDescent="0.3">
      <c r="B48" s="1340"/>
      <c r="C48" s="1408"/>
      <c r="D48" s="211" t="s">
        <v>138</v>
      </c>
      <c r="E48" s="211" t="s">
        <v>135</v>
      </c>
      <c r="F48" s="189" t="s">
        <v>136</v>
      </c>
      <c r="G48" s="189" t="s">
        <v>137</v>
      </c>
      <c r="H48" s="1056" t="s">
        <v>138</v>
      </c>
      <c r="I48" s="190" t="s">
        <v>135</v>
      </c>
      <c r="J48" s="190" t="s">
        <v>136</v>
      </c>
      <c r="K48" s="190" t="s">
        <v>137</v>
      </c>
      <c r="L48" s="190" t="s">
        <v>138</v>
      </c>
      <c r="M48" s="205" t="s">
        <v>135</v>
      </c>
      <c r="N48" s="190" t="s">
        <v>136</v>
      </c>
      <c r="O48" s="1056" t="s">
        <v>137</v>
      </c>
      <c r="P48" s="1184" t="s">
        <v>138</v>
      </c>
      <c r="Q48" s="1173" t="s">
        <v>135</v>
      </c>
      <c r="R48" s="1174" t="s">
        <v>136</v>
      </c>
      <c r="S48" s="1174" t="s">
        <v>137</v>
      </c>
      <c r="T48" s="1174" t="s">
        <v>138</v>
      </c>
      <c r="U48" s="1173" t="s">
        <v>135</v>
      </c>
      <c r="V48" s="1174" t="s">
        <v>136</v>
      </c>
      <c r="W48" s="1174" t="s">
        <v>137</v>
      </c>
      <c r="X48" s="1174" t="s">
        <v>138</v>
      </c>
      <c r="Y48" s="1173" t="s">
        <v>135</v>
      </c>
      <c r="Z48" s="533" t="s">
        <v>136</v>
      </c>
      <c r="AA48" s="1174" t="s">
        <v>137</v>
      </c>
      <c r="AB48" s="1175" t="s">
        <v>138</v>
      </c>
      <c r="AC48" s="80" t="s">
        <v>135</v>
      </c>
    </row>
    <row r="49" spans="2:29" x14ac:dyDescent="0.3">
      <c r="B49" s="45" t="s">
        <v>500</v>
      </c>
      <c r="C49" s="520"/>
      <c r="D49" s="638">
        <f t="shared" ref="D49:M49" si="39">SUM(D13:D18)</f>
        <v>781.30000000000007</v>
      </c>
      <c r="E49" s="334">
        <f t="shared" si="39"/>
        <v>796.69999999999993</v>
      </c>
      <c r="F49" s="334">
        <f t="shared" si="39"/>
        <v>808.9</v>
      </c>
      <c r="G49" s="334">
        <f t="shared" si="39"/>
        <v>819.5</v>
      </c>
      <c r="H49" s="334">
        <f t="shared" si="39"/>
        <v>828.09999999999991</v>
      </c>
      <c r="I49" s="334">
        <f t="shared" si="39"/>
        <v>850.58175000000006</v>
      </c>
      <c r="J49" s="334">
        <f t="shared" si="39"/>
        <v>3156.4587499999998</v>
      </c>
      <c r="K49" s="334">
        <f t="shared" si="39"/>
        <v>1732.6267499999999</v>
      </c>
      <c r="L49" s="334">
        <f t="shared" si="39"/>
        <v>1209.5507500000001</v>
      </c>
      <c r="M49" s="334">
        <f t="shared" si="39"/>
        <v>3422.3667500000001</v>
      </c>
      <c r="N49" s="334">
        <f>SUM(N13:N19)</f>
        <v>1764.8013899999999</v>
      </c>
      <c r="O49" s="1292">
        <f>SUM(O13:O19)</f>
        <v>285.85711000000015</v>
      </c>
      <c r="P49" s="819" t="e">
        <f t="shared" ref="P49:AC49" si="40">SUM(P13:P19)</f>
        <v>#DIV/0!</v>
      </c>
      <c r="Q49" s="819" t="e">
        <f t="shared" si="40"/>
        <v>#DIV/0!</v>
      </c>
      <c r="R49" s="819" t="e">
        <f t="shared" si="40"/>
        <v>#DIV/0!</v>
      </c>
      <c r="S49" s="819">
        <f t="shared" si="40"/>
        <v>101.41355405982748</v>
      </c>
      <c r="T49" s="819">
        <f t="shared" si="40"/>
        <v>-17.228081059070202</v>
      </c>
      <c r="U49" s="819">
        <f t="shared" si="40"/>
        <v>-17.514547174254353</v>
      </c>
      <c r="V49" s="819">
        <f t="shared" si="40"/>
        <v>-17.806361464727253</v>
      </c>
      <c r="W49" s="819">
        <f t="shared" si="40"/>
        <v>-18.103623778175603</v>
      </c>
      <c r="X49" s="819">
        <f t="shared" si="40"/>
        <v>-26.12143582639116</v>
      </c>
      <c r="Y49" s="819">
        <f t="shared" si="40"/>
        <v>-26.425488519509027</v>
      </c>
      <c r="Z49" s="819">
        <f t="shared" si="40"/>
        <v>-26.73513651595648</v>
      </c>
      <c r="AA49" s="819">
        <f t="shared" si="40"/>
        <v>-27.05048278281804</v>
      </c>
      <c r="AB49" s="819">
        <f t="shared" si="40"/>
        <v>-29.070632182021065</v>
      </c>
      <c r="AC49" s="819">
        <f t="shared" si="40"/>
        <v>-29.397691505205444</v>
      </c>
    </row>
    <row r="50" spans="2:29" x14ac:dyDescent="0.3">
      <c r="B50" s="45" t="s">
        <v>501</v>
      </c>
      <c r="C50" s="520"/>
      <c r="D50" s="199">
        <f t="shared" ref="D50:Y50" si="41">D12</f>
        <v>2222.3000000000002</v>
      </c>
      <c r="E50" s="200">
        <f t="shared" si="41"/>
        <v>2298.1</v>
      </c>
      <c r="F50" s="200">
        <f t="shared" si="41"/>
        <v>2315.5</v>
      </c>
      <c r="G50" s="200">
        <f t="shared" si="41"/>
        <v>2333.1999999999998</v>
      </c>
      <c r="H50" s="200">
        <f t="shared" si="41"/>
        <v>2350.8000000000002</v>
      </c>
      <c r="I50" s="200">
        <f t="shared" si="41"/>
        <v>2417.9</v>
      </c>
      <c r="J50" s="200">
        <f t="shared" si="41"/>
        <v>4766.7</v>
      </c>
      <c r="K50" s="200">
        <f t="shared" si="41"/>
        <v>3468.3</v>
      </c>
      <c r="L50" s="200">
        <f t="shared" si="41"/>
        <v>2839.1</v>
      </c>
      <c r="M50" s="200">
        <f t="shared" si="41"/>
        <v>5070.6000000000004</v>
      </c>
      <c r="N50" s="200">
        <f t="shared" si="41"/>
        <v>3372.3</v>
      </c>
      <c r="O50" s="1293">
        <f t="shared" si="41"/>
        <v>0</v>
      </c>
      <c r="P50" s="202" t="e">
        <f t="shared" si="41"/>
        <v>#DIV/0!</v>
      </c>
      <c r="Q50" s="202" t="e">
        <f t="shared" si="41"/>
        <v>#DIV/0!</v>
      </c>
      <c r="R50" s="202" t="e">
        <f t="shared" si="41"/>
        <v>#DIV/0!</v>
      </c>
      <c r="S50" s="202">
        <f t="shared" si="41"/>
        <v>1800.9397660669501</v>
      </c>
      <c r="T50" s="202">
        <f t="shared" si="41"/>
        <v>1689.3981309480525</v>
      </c>
      <c r="U50" s="202">
        <f t="shared" si="41"/>
        <v>1766.4640036952105</v>
      </c>
      <c r="V50" s="202">
        <f t="shared" si="41"/>
        <v>1773.2721894047379</v>
      </c>
      <c r="W50" s="202">
        <f t="shared" si="41"/>
        <v>1780.0749270912895</v>
      </c>
      <c r="X50" s="202">
        <f t="shared" si="41"/>
        <v>1779.1571150430741</v>
      </c>
      <c r="Y50" s="202">
        <f t="shared" si="41"/>
        <v>1852.2758316868271</v>
      </c>
      <c r="Z50" s="202">
        <f t="shared" ref="Z50:AC50" si="42">Z12</f>
        <v>1859.0661836903796</v>
      </c>
      <c r="AA50" s="202">
        <f t="shared" si="42"/>
        <v>1865.8508374235182</v>
      </c>
      <c r="AB50" s="202">
        <f t="shared" si="42"/>
        <v>1870.9306880243155</v>
      </c>
      <c r="AC50" s="897">
        <f t="shared" si="42"/>
        <v>1877.703628701131</v>
      </c>
    </row>
    <row r="51" spans="2:29" x14ac:dyDescent="0.3">
      <c r="B51" s="45" t="s">
        <v>502</v>
      </c>
      <c r="C51" s="520"/>
      <c r="D51" s="199">
        <f>D50-D49</f>
        <v>1441</v>
      </c>
      <c r="E51" s="200">
        <f t="shared" ref="E51:O51" si="43">E50-E49</f>
        <v>1501.4</v>
      </c>
      <c r="F51" s="200">
        <f t="shared" si="43"/>
        <v>1506.6</v>
      </c>
      <c r="G51" s="200">
        <f t="shared" si="43"/>
        <v>1513.6999999999998</v>
      </c>
      <c r="H51" s="200">
        <f t="shared" si="43"/>
        <v>1522.7000000000003</v>
      </c>
      <c r="I51" s="200">
        <f t="shared" si="43"/>
        <v>1567.31825</v>
      </c>
      <c r="J51" s="200">
        <f t="shared" si="43"/>
        <v>1610.24125</v>
      </c>
      <c r="K51" s="200">
        <f t="shared" si="43"/>
        <v>1735.6732500000003</v>
      </c>
      <c r="L51" s="200">
        <f t="shared" si="43"/>
        <v>1629.5492499999998</v>
      </c>
      <c r="M51" s="200">
        <f t="shared" si="43"/>
        <v>1648.2332500000002</v>
      </c>
      <c r="N51" s="200">
        <f t="shared" si="43"/>
        <v>1607.4986100000003</v>
      </c>
      <c r="O51" s="1293">
        <f t="shared" si="43"/>
        <v>-285.85711000000015</v>
      </c>
      <c r="P51" s="777"/>
      <c r="Q51" s="777"/>
      <c r="R51" s="777"/>
      <c r="S51" s="777"/>
      <c r="T51" s="777"/>
      <c r="U51" s="777"/>
      <c r="V51" s="777"/>
      <c r="W51" s="777"/>
      <c r="X51" s="777"/>
      <c r="Y51" s="777"/>
      <c r="Z51" s="777"/>
      <c r="AA51" s="777"/>
      <c r="AB51" s="777"/>
      <c r="AC51" s="778"/>
    </row>
    <row r="52" spans="2:29" x14ac:dyDescent="0.3">
      <c r="B52" s="851" t="s">
        <v>503</v>
      </c>
      <c r="C52" s="520"/>
      <c r="D52" s="552">
        <f t="shared" ref="D52:I52" si="44">D50-D13 -D14</f>
        <v>1441.0000000000002</v>
      </c>
      <c r="E52" s="553">
        <f t="shared" si="44"/>
        <v>1501.3999999999999</v>
      </c>
      <c r="F52" s="553">
        <f t="shared" si="44"/>
        <v>1506.6</v>
      </c>
      <c r="G52" s="553">
        <f t="shared" si="44"/>
        <v>1513.6999999999998</v>
      </c>
      <c r="H52" s="553">
        <f t="shared" si="44"/>
        <v>1522.7</v>
      </c>
      <c r="I52" s="553">
        <f t="shared" si="44"/>
        <v>1569.9</v>
      </c>
      <c r="J52" s="554">
        <f>I52+($H$52-$E$52)/3</f>
        <v>1577.0000000000002</v>
      </c>
      <c r="K52" s="554">
        <f t="shared" ref="K52" si="45">J52+($H$52-$E$52)/3</f>
        <v>1584.1000000000004</v>
      </c>
      <c r="L52" s="554">
        <f>K52+($H$52-$E$52)/3</f>
        <v>1591.2000000000005</v>
      </c>
      <c r="M52" s="848">
        <f>L52+($H$52-$E$52)/3 +(M53-L53)</f>
        <v>1598.3000000000006</v>
      </c>
      <c r="N52" s="554">
        <f>M52+($H$52-$E$52)/3</f>
        <v>1605.4000000000008</v>
      </c>
      <c r="O52" s="1191" t="s">
        <v>1243</v>
      </c>
      <c r="P52" s="777"/>
      <c r="Q52" s="777"/>
      <c r="R52" s="777"/>
      <c r="S52" s="777"/>
      <c r="T52" s="777"/>
      <c r="U52" s="777"/>
      <c r="V52" s="777"/>
      <c r="W52" s="777"/>
      <c r="X52" s="777"/>
      <c r="Y52" s="777"/>
      <c r="Z52" s="777"/>
      <c r="AA52" s="777"/>
      <c r="AB52" s="777"/>
      <c r="AC52" s="778"/>
    </row>
    <row r="53" spans="2:29" x14ac:dyDescent="0.3">
      <c r="B53" s="206" t="s">
        <v>526</v>
      </c>
      <c r="C53" s="520" t="s">
        <v>714</v>
      </c>
      <c r="D53" s="850">
        <f>'Haver Pivoted'!GO81</f>
        <v>0</v>
      </c>
      <c r="E53" s="849">
        <f>'Haver Pivoted'!GP81</f>
        <v>0</v>
      </c>
      <c r="F53" s="849">
        <f>'Haver Pivoted'!GQ81</f>
        <v>0</v>
      </c>
      <c r="G53" s="849">
        <f>'Haver Pivoted'!GR81</f>
        <v>0</v>
      </c>
      <c r="H53" s="849">
        <f>'Haver Pivoted'!GS81</f>
        <v>0</v>
      </c>
      <c r="I53" s="849">
        <f>'Haver Pivoted'!GT81</f>
        <v>0</v>
      </c>
      <c r="J53" s="849">
        <f>'Haver Pivoted'!GU81</f>
        <v>0</v>
      </c>
      <c r="K53" s="849">
        <f>'Haver Pivoted'!GV81</f>
        <v>0</v>
      </c>
      <c r="L53" s="849">
        <f>'Haver Pivoted'!GW81</f>
        <v>0</v>
      </c>
      <c r="M53" s="849">
        <f>'Haver Pivoted'!GX81</f>
        <v>0</v>
      </c>
      <c r="N53" s="849">
        <f>'Haver Pivoted'!GY81</f>
        <v>0</v>
      </c>
      <c r="O53" s="1043">
        <f>'Haver Pivoted'!GZ81</f>
        <v>0</v>
      </c>
      <c r="P53" s="777"/>
      <c r="Q53" s="777"/>
      <c r="R53" s="777"/>
      <c r="S53" s="777"/>
      <c r="T53" s="777"/>
      <c r="U53" s="777"/>
      <c r="V53" s="777"/>
      <c r="W53" s="777"/>
      <c r="X53" s="777"/>
      <c r="Y53" s="777"/>
      <c r="Z53" s="777"/>
      <c r="AA53" s="777"/>
      <c r="AB53" s="777"/>
      <c r="AC53" s="778"/>
    </row>
    <row r="54" spans="2:29" x14ac:dyDescent="0.3">
      <c r="B54" s="215" t="s">
        <v>682</v>
      </c>
      <c r="C54" s="46"/>
      <c r="D54" s="356">
        <f>D51-D52</f>
        <v>0</v>
      </c>
      <c r="E54" s="355">
        <f t="shared" ref="E54:O54" si="46">E51-E52</f>
        <v>0</v>
      </c>
      <c r="F54" s="355">
        <f t="shared" si="46"/>
        <v>0</v>
      </c>
      <c r="G54" s="355">
        <f t="shared" si="46"/>
        <v>0</v>
      </c>
      <c r="H54" s="355">
        <f t="shared" si="46"/>
        <v>0</v>
      </c>
      <c r="I54" s="355">
        <f t="shared" si="46"/>
        <v>-2.5817500000000564</v>
      </c>
      <c r="J54" s="355">
        <f t="shared" si="46"/>
        <v>33.241249999999809</v>
      </c>
      <c r="K54" s="355">
        <f t="shared" si="46"/>
        <v>151.57324999999992</v>
      </c>
      <c r="L54" s="355">
        <f t="shared" si="46"/>
        <v>38.349249999999302</v>
      </c>
      <c r="M54" s="355">
        <f t="shared" si="46"/>
        <v>49.933249999999589</v>
      </c>
      <c r="N54" s="355">
        <f t="shared" si="46"/>
        <v>2.0986099999995531</v>
      </c>
      <c r="O54" s="1080" t="e">
        <f t="shared" si="46"/>
        <v>#VALUE!</v>
      </c>
      <c r="P54" s="903">
        <v>30</v>
      </c>
      <c r="Q54" s="903">
        <v>30</v>
      </c>
      <c r="R54" s="903">
        <v>25</v>
      </c>
      <c r="S54" s="903">
        <v>20</v>
      </c>
      <c r="T54" s="903">
        <v>15</v>
      </c>
      <c r="U54" s="64">
        <v>10</v>
      </c>
      <c r="V54" s="64">
        <v>5</v>
      </c>
      <c r="W54" s="64"/>
      <c r="X54" s="64"/>
      <c r="Y54" s="64"/>
      <c r="Z54" s="64"/>
      <c r="AA54" s="64"/>
      <c r="AB54" s="64"/>
      <c r="AC54" s="65"/>
    </row>
    <row r="55" spans="2:29" ht="39.5" customHeight="1" x14ac:dyDescent="0.3">
      <c r="B55" s="1454" t="s">
        <v>686</v>
      </c>
      <c r="C55" s="1454"/>
      <c r="D55" s="1382"/>
      <c r="E55" s="1382"/>
      <c r="F55" s="1382"/>
      <c r="G55" s="1382"/>
      <c r="H55" s="1382"/>
      <c r="I55" s="1382"/>
      <c r="J55" s="1382"/>
      <c r="K55" s="1382"/>
      <c r="L55" s="1382"/>
      <c r="M55" s="1382"/>
      <c r="N55" s="1382"/>
      <c r="O55" s="1382"/>
      <c r="P55" s="1454"/>
      <c r="Q55" s="1454"/>
      <c r="R55" s="1454"/>
      <c r="S55" s="1454"/>
      <c r="T55" s="1454"/>
      <c r="U55" s="1454"/>
      <c r="V55" s="1454"/>
      <c r="W55" s="1454"/>
      <c r="X55" s="1454"/>
      <c r="Y55" s="1454"/>
      <c r="Z55" s="1454"/>
      <c r="AA55" s="1454"/>
      <c r="AB55" s="1454"/>
      <c r="AC55" s="1454"/>
    </row>
    <row r="56" spans="2:29" x14ac:dyDescent="0.3">
      <c r="D56" s="47"/>
      <c r="E56" s="47"/>
      <c r="F56" s="47"/>
      <c r="G56" s="47"/>
      <c r="H56" s="47"/>
      <c r="I56" s="47"/>
      <c r="J56" s="47"/>
      <c r="K56" s="47"/>
      <c r="L56" s="47"/>
      <c r="M56" s="47"/>
      <c r="N56" s="368"/>
      <c r="O56" s="368"/>
      <c r="P56" s="368"/>
      <c r="Q56" s="368"/>
      <c r="R56" s="368"/>
      <c r="S56" s="368"/>
      <c r="T56" s="368"/>
      <c r="U56" s="368"/>
      <c r="V56" s="368"/>
      <c r="W56" s="368"/>
      <c r="X56" s="368"/>
      <c r="Y56" s="368"/>
    </row>
    <row r="57" spans="2:29" x14ac:dyDescent="0.3">
      <c r="B57" s="56" t="s">
        <v>400</v>
      </c>
      <c r="D57" s="47"/>
      <c r="E57" s="47"/>
      <c r="F57" s="47"/>
      <c r="G57" s="47"/>
      <c r="H57" s="47"/>
      <c r="I57" s="47"/>
      <c r="J57" s="47"/>
      <c r="K57" s="47"/>
      <c r="L57" s="47"/>
      <c r="M57" s="47"/>
      <c r="N57" s="368"/>
      <c r="O57" s="368"/>
      <c r="P57" s="368"/>
      <c r="Q57" s="368"/>
      <c r="R57" s="368"/>
      <c r="S57" s="368"/>
      <c r="T57" s="368"/>
      <c r="U57" s="368"/>
      <c r="V57" s="368"/>
      <c r="W57" s="368"/>
      <c r="X57" s="368"/>
      <c r="Y57" s="368"/>
    </row>
    <row r="58" spans="2:29" ht="45.5" customHeight="1" x14ac:dyDescent="0.3">
      <c r="B58" s="1453" t="s">
        <v>1069</v>
      </c>
      <c r="C58" s="1453"/>
      <c r="D58" s="1453"/>
      <c r="E58" s="1453"/>
      <c r="F58" s="1453"/>
      <c r="G58" s="1453"/>
      <c r="H58" s="1453"/>
      <c r="I58" s="1453"/>
      <c r="J58" s="1453"/>
      <c r="K58" s="1453"/>
      <c r="L58" s="1453"/>
      <c r="M58" s="1453"/>
      <c r="N58" s="1453"/>
      <c r="O58" s="1453"/>
      <c r="P58" s="1453"/>
      <c r="Q58" s="1453"/>
      <c r="R58" s="1453"/>
      <c r="S58" s="1453"/>
      <c r="T58" s="1453"/>
      <c r="U58" s="1453"/>
      <c r="V58" s="1453"/>
      <c r="W58" s="1453"/>
      <c r="X58" s="1453"/>
      <c r="Y58" s="1453"/>
      <c r="Z58" s="1453"/>
      <c r="AA58" s="1453"/>
      <c r="AB58" s="1453"/>
      <c r="AC58" s="1453"/>
    </row>
    <row r="59" spans="2:29" ht="14.5" customHeight="1" x14ac:dyDescent="0.3">
      <c r="B59" s="1340" t="s">
        <v>683</v>
      </c>
      <c r="C59" s="1341"/>
      <c r="D59" s="1346" t="s">
        <v>261</v>
      </c>
      <c r="E59" s="1347"/>
      <c r="F59" s="1347"/>
      <c r="G59" s="1347"/>
      <c r="H59" s="1347"/>
      <c r="I59" s="1347"/>
      <c r="J59" s="1347"/>
      <c r="K59" s="1347"/>
      <c r="L59" s="1347"/>
      <c r="M59" s="1347"/>
      <c r="N59" s="1347"/>
      <c r="O59" s="1348"/>
      <c r="P59" s="1378" t="s">
        <v>143</v>
      </c>
      <c r="Q59" s="1379"/>
      <c r="R59" s="1379"/>
      <c r="S59" s="1379"/>
      <c r="T59" s="1379"/>
      <c r="U59" s="1379"/>
      <c r="V59" s="1379"/>
      <c r="W59" s="1379"/>
      <c r="X59" s="1379"/>
      <c r="Y59" s="1379"/>
      <c r="Z59" s="1379"/>
      <c r="AA59" s="1379"/>
      <c r="AB59" s="1379"/>
      <c r="AC59" s="1380"/>
    </row>
    <row r="60" spans="2:29" x14ac:dyDescent="0.3">
      <c r="B60" s="1340"/>
      <c r="C60" s="1341"/>
      <c r="D60" s="1183">
        <v>2018</v>
      </c>
      <c r="E60" s="1335">
        <v>2019</v>
      </c>
      <c r="F60" s="1342"/>
      <c r="G60" s="1342"/>
      <c r="H60" s="1337"/>
      <c r="I60" s="1335">
        <v>2020</v>
      </c>
      <c r="J60" s="1342"/>
      <c r="K60" s="1342"/>
      <c r="L60" s="1337"/>
      <c r="M60" s="1335">
        <v>2021</v>
      </c>
      <c r="N60" s="1336"/>
      <c r="O60" s="1337"/>
      <c r="P60" s="803">
        <v>2021</v>
      </c>
      <c r="Q60" s="1343">
        <v>2022</v>
      </c>
      <c r="R60" s="1385"/>
      <c r="S60" s="1385"/>
      <c r="T60" s="1345"/>
      <c r="U60" s="1343">
        <v>2023</v>
      </c>
      <c r="V60" s="1385"/>
      <c r="W60" s="1385"/>
      <c r="X60" s="1344"/>
      <c r="Y60" s="1343">
        <v>2024</v>
      </c>
      <c r="Z60" s="1344"/>
      <c r="AA60" s="1344"/>
      <c r="AB60" s="1345"/>
      <c r="AC60" s="439">
        <v>2025</v>
      </c>
    </row>
    <row r="61" spans="2:29" x14ac:dyDescent="0.3">
      <c r="B61" s="1383"/>
      <c r="C61" s="1384"/>
      <c r="D61" s="211" t="s">
        <v>138</v>
      </c>
      <c r="E61" s="211" t="s">
        <v>135</v>
      </c>
      <c r="F61" s="189" t="s">
        <v>136</v>
      </c>
      <c r="G61" s="189" t="s">
        <v>137</v>
      </c>
      <c r="H61" s="1056" t="s">
        <v>138</v>
      </c>
      <c r="I61" s="190" t="s">
        <v>135</v>
      </c>
      <c r="J61" s="190" t="s">
        <v>136</v>
      </c>
      <c r="K61" s="190" t="s">
        <v>137</v>
      </c>
      <c r="L61" s="190" t="s">
        <v>138</v>
      </c>
      <c r="M61" s="205" t="s">
        <v>135</v>
      </c>
      <c r="N61" s="190" t="s">
        <v>136</v>
      </c>
      <c r="O61" s="1056" t="s">
        <v>137</v>
      </c>
      <c r="P61" s="1184" t="s">
        <v>138</v>
      </c>
      <c r="Q61" s="1173" t="s">
        <v>135</v>
      </c>
      <c r="R61" s="1174" t="s">
        <v>136</v>
      </c>
      <c r="S61" s="1174" t="s">
        <v>137</v>
      </c>
      <c r="T61" s="1174" t="s">
        <v>138</v>
      </c>
      <c r="U61" s="1173" t="s">
        <v>135</v>
      </c>
      <c r="V61" s="1174" t="s">
        <v>136</v>
      </c>
      <c r="W61" s="1174" t="s">
        <v>137</v>
      </c>
      <c r="X61" s="1174" t="s">
        <v>138</v>
      </c>
      <c r="Y61" s="1173" t="s">
        <v>135</v>
      </c>
      <c r="Z61" s="533" t="s">
        <v>136</v>
      </c>
      <c r="AA61" s="1174" t="s">
        <v>137</v>
      </c>
      <c r="AB61" s="1175" t="s">
        <v>138</v>
      </c>
      <c r="AC61" s="80" t="s">
        <v>135</v>
      </c>
    </row>
    <row r="62" spans="2:29" x14ac:dyDescent="0.3">
      <c r="B62" s="45" t="s">
        <v>494</v>
      </c>
      <c r="C62" s="35"/>
      <c r="D62" s="847"/>
      <c r="E62" s="1294"/>
      <c r="F62" s="1294"/>
      <c r="G62" s="1294"/>
      <c r="H62" s="1294"/>
      <c r="I62" s="334">
        <f>(I63-AVERAGE($E63:$H63))</f>
        <v>2.5817499999999995</v>
      </c>
      <c r="J62" s="334">
        <f t="shared" ref="J62:O62" si="47">(J63-AVERAGE($E63:$H63))</f>
        <v>37.358750000000001</v>
      </c>
      <c r="K62" s="334">
        <f t="shared" si="47"/>
        <v>38.026749999999993</v>
      </c>
      <c r="L62" s="334">
        <f t="shared" si="47"/>
        <v>38.350750000000005</v>
      </c>
      <c r="M62" s="334">
        <f t="shared" si="47"/>
        <v>54.966750000000005</v>
      </c>
      <c r="N62" s="334">
        <f t="shared" si="47"/>
        <v>74.252749999999992</v>
      </c>
      <c r="O62" s="1279">
        <f t="shared" si="47"/>
        <v>-54.686250000000001</v>
      </c>
      <c r="P62" s="739">
        <v>50</v>
      </c>
      <c r="Q62" s="739">
        <v>25</v>
      </c>
      <c r="R62" s="819">
        <v>20</v>
      </c>
      <c r="S62" s="819">
        <v>5</v>
      </c>
      <c r="T62" s="819">
        <v>0</v>
      </c>
      <c r="U62" s="739"/>
      <c r="V62" s="739"/>
      <c r="W62" s="739"/>
      <c r="X62" s="739"/>
      <c r="Y62" s="739"/>
      <c r="Z62" s="779"/>
      <c r="AA62" s="779"/>
      <c r="AB62" s="779"/>
      <c r="AC62" s="780"/>
    </row>
    <row r="63" spans="2:29" x14ac:dyDescent="0.3">
      <c r="B63" s="45" t="s">
        <v>597</v>
      </c>
      <c r="C63" s="35" t="s">
        <v>598</v>
      </c>
      <c r="D63" s="187">
        <f>'Haver Pivoted'!GO66</f>
        <v>57.116</v>
      </c>
      <c r="E63" s="47">
        <f>'Haver Pivoted'!GP66</f>
        <v>55.898000000000003</v>
      </c>
      <c r="F63" s="47">
        <f>'Haver Pivoted'!GQ66</f>
        <v>54.478000000000002</v>
      </c>
      <c r="G63" s="47">
        <f>'Haver Pivoted'!GR66</f>
        <v>54.216000000000001</v>
      </c>
      <c r="H63" s="47">
        <f>'Haver Pivoted'!GS66</f>
        <v>54.152999999999999</v>
      </c>
      <c r="I63" s="47">
        <f>'Haver Pivoted'!GT66</f>
        <v>57.268000000000001</v>
      </c>
      <c r="J63" s="47">
        <f>'Haver Pivoted'!GU66</f>
        <v>92.045000000000002</v>
      </c>
      <c r="K63" s="47">
        <f>'Haver Pivoted'!GV66</f>
        <v>92.712999999999994</v>
      </c>
      <c r="L63" s="47">
        <f>'Haver Pivoted'!GW66</f>
        <v>93.037000000000006</v>
      </c>
      <c r="M63" s="47">
        <f>'Haver Pivoted'!GX66</f>
        <v>109.65300000000001</v>
      </c>
      <c r="N63" s="47">
        <f>'Haver Pivoted'!GY66</f>
        <v>128.93899999999999</v>
      </c>
      <c r="O63" s="1087">
        <f>'Haver Pivoted'!GZ66</f>
        <v>0</v>
      </c>
      <c r="P63" s="738"/>
      <c r="Q63" s="738"/>
      <c r="R63" s="738"/>
      <c r="S63" s="738"/>
      <c r="T63" s="738"/>
      <c r="U63" s="738"/>
      <c r="V63" s="738"/>
      <c r="W63" s="738"/>
      <c r="X63" s="738"/>
      <c r="Y63" s="738"/>
      <c r="Z63" s="777"/>
      <c r="AA63" s="777"/>
      <c r="AB63" s="777"/>
      <c r="AC63" s="778"/>
    </row>
    <row r="64" spans="2:29" x14ac:dyDescent="0.3">
      <c r="B64" s="215" t="s">
        <v>499</v>
      </c>
      <c r="C64" s="46"/>
      <c r="D64" s="188"/>
      <c r="E64" s="186"/>
      <c r="F64" s="186"/>
      <c r="G64" s="186"/>
      <c r="H64" s="186"/>
      <c r="I64" s="186"/>
      <c r="J64" s="465">
        <f t="shared" ref="J64:O64" si="48">J63-$H63</f>
        <v>37.892000000000003</v>
      </c>
      <c r="K64" s="465">
        <f t="shared" si="48"/>
        <v>38.559999999999995</v>
      </c>
      <c r="L64" s="465">
        <f t="shared" si="48"/>
        <v>38.884000000000007</v>
      </c>
      <c r="M64" s="465">
        <f t="shared" si="48"/>
        <v>55.500000000000007</v>
      </c>
      <c r="N64" s="465">
        <f t="shared" si="48"/>
        <v>74.786000000000001</v>
      </c>
      <c r="O64" s="1295">
        <f t="shared" si="48"/>
        <v>-54.152999999999999</v>
      </c>
      <c r="P64" s="64"/>
      <c r="Q64" s="64"/>
      <c r="R64" s="64"/>
      <c r="S64" s="64"/>
      <c r="T64" s="64"/>
      <c r="U64" s="64"/>
      <c r="V64" s="64"/>
      <c r="W64" s="64"/>
      <c r="X64" s="64"/>
      <c r="Y64" s="64"/>
      <c r="Z64" s="64"/>
      <c r="AA64" s="64"/>
      <c r="AB64" s="64"/>
      <c r="AC64" s="65"/>
    </row>
    <row r="65" spans="2:25" ht="14" customHeight="1" x14ac:dyDescent="0.3">
      <c r="B65" s="773"/>
      <c r="C65" s="773"/>
      <c r="D65" s="846"/>
      <c r="E65" s="846"/>
      <c r="F65" s="846"/>
      <c r="G65" s="846"/>
      <c r="H65" s="846"/>
      <c r="I65" s="846"/>
      <c r="J65" s="846"/>
      <c r="K65" s="846"/>
      <c r="L65" s="846"/>
      <c r="M65" s="846"/>
      <c r="N65" s="846"/>
      <c r="O65" s="846"/>
      <c r="P65" s="846"/>
      <c r="Q65" s="846"/>
      <c r="R65" s="846"/>
      <c r="S65" s="846"/>
      <c r="T65" s="846"/>
      <c r="U65" s="846"/>
      <c r="V65" s="846"/>
      <c r="W65" s="846"/>
      <c r="X65" s="846"/>
      <c r="Y65" s="846"/>
    </row>
    <row r="66" spans="2:25" ht="14" customHeight="1" x14ac:dyDescent="0.3">
      <c r="B66" s="479"/>
      <c r="C66" s="479"/>
      <c r="D66" s="479"/>
      <c r="E66" s="479"/>
      <c r="F66" s="479"/>
      <c r="G66" s="479"/>
      <c r="H66" s="479"/>
      <c r="I66" s="479"/>
      <c r="J66" s="479"/>
      <c r="K66" s="479"/>
      <c r="L66" s="479"/>
      <c r="M66" s="479"/>
      <c r="N66" s="479"/>
      <c r="O66" s="479"/>
      <c r="P66" s="479"/>
      <c r="Q66" s="479"/>
      <c r="R66" s="479"/>
      <c r="S66" s="479"/>
      <c r="T66" s="479"/>
      <c r="U66" s="479"/>
      <c r="V66" s="479"/>
      <c r="W66" s="479"/>
      <c r="X66" s="479"/>
      <c r="Y66" s="479"/>
    </row>
    <row r="67" spans="2:25" ht="14" customHeight="1" x14ac:dyDescent="0.3">
      <c r="B67" s="479"/>
      <c r="C67" s="479"/>
      <c r="D67" s="479"/>
      <c r="E67" s="479"/>
      <c r="F67" s="479"/>
      <c r="G67" s="479"/>
      <c r="H67" s="479"/>
      <c r="I67" s="479"/>
      <c r="J67" s="479"/>
      <c r="K67" s="479"/>
      <c r="L67" s="479"/>
      <c r="M67" s="479"/>
      <c r="N67" s="479"/>
      <c r="O67" s="479"/>
      <c r="P67" s="479"/>
      <c r="Q67" s="479"/>
      <c r="R67" s="479"/>
      <c r="S67" s="479"/>
      <c r="T67" s="479"/>
      <c r="U67" s="479"/>
      <c r="V67" s="479"/>
      <c r="W67" s="479"/>
      <c r="X67" s="479"/>
      <c r="Y67" s="479"/>
    </row>
    <row r="68" spans="2:25" x14ac:dyDescent="0.3">
      <c r="B68" s="115"/>
      <c r="C68" s="37"/>
      <c r="D68" s="557"/>
      <c r="E68" s="557"/>
      <c r="F68" s="557"/>
      <c r="G68" s="557"/>
      <c r="H68" s="557"/>
      <c r="I68" s="557"/>
      <c r="J68" s="557"/>
      <c r="K68" s="557"/>
      <c r="L68" s="557"/>
      <c r="M68" s="557"/>
      <c r="N68" s="557"/>
      <c r="O68" s="557"/>
      <c r="P68" s="555"/>
      <c r="Q68" s="37"/>
    </row>
    <row r="69" spans="2:25" ht="14.5" x14ac:dyDescent="0.35">
      <c r="B69" s="1015"/>
      <c r="C69" s="37"/>
      <c r="D69" s="935"/>
      <c r="E69" s="518"/>
      <c r="F69" s="518"/>
      <c r="G69" s="518"/>
      <c r="H69" s="518"/>
      <c r="I69" s="518"/>
      <c r="J69" s="518"/>
      <c r="K69" s="518"/>
      <c r="L69" s="518"/>
      <c r="M69" s="518"/>
      <c r="N69" s="518"/>
      <c r="O69" s="555"/>
      <c r="P69" s="555"/>
      <c r="Q69" s="37"/>
    </row>
    <row r="70" spans="2:25" ht="14.5" x14ac:dyDescent="0.35">
      <c r="B70" s="283"/>
      <c r="C70" s="37"/>
      <c r="D70" s="935"/>
      <c r="E70" s="518"/>
      <c r="F70" s="518"/>
      <c r="G70" s="518"/>
      <c r="H70" s="518"/>
      <c r="I70" s="518"/>
      <c r="J70" s="518"/>
      <c r="K70" s="518"/>
      <c r="L70" s="518"/>
      <c r="M70" s="518"/>
      <c r="N70" s="518"/>
      <c r="O70" s="37"/>
      <c r="P70" s="37"/>
      <c r="Q70" s="37"/>
    </row>
    <row r="71" spans="2:25" ht="14.5" x14ac:dyDescent="0.35">
      <c r="B71" s="283"/>
      <c r="C71" s="37"/>
      <c r="D71" s="935"/>
      <c r="E71" s="518"/>
      <c r="F71" s="518"/>
      <c r="G71" s="518"/>
      <c r="H71" s="518"/>
      <c r="I71" s="518"/>
      <c r="J71" s="518"/>
      <c r="K71" s="518"/>
      <c r="L71" s="518"/>
      <c r="M71" s="518"/>
      <c r="N71" s="518"/>
      <c r="O71" s="37"/>
      <c r="P71" s="37"/>
      <c r="Q71" s="37"/>
    </row>
    <row r="72" spans="2:25" ht="14" customHeight="1" x14ac:dyDescent="0.35">
      <c r="B72" s="283"/>
      <c r="C72" s="556"/>
      <c r="D72" s="935"/>
      <c r="E72" s="518"/>
      <c r="F72" s="518"/>
      <c r="G72" s="518"/>
      <c r="H72" s="518"/>
      <c r="I72" s="518"/>
      <c r="J72" s="518"/>
      <c r="K72" s="518"/>
      <c r="L72" s="518"/>
      <c r="M72" s="518"/>
      <c r="N72" s="518"/>
      <c r="O72" s="556"/>
      <c r="P72" s="556"/>
      <c r="Q72" s="556"/>
      <c r="R72" s="26"/>
      <c r="S72" s="26"/>
      <c r="T72" s="26"/>
      <c r="U72" s="26"/>
      <c r="V72" s="26"/>
      <c r="W72" s="26"/>
      <c r="X72" s="26"/>
    </row>
    <row r="73" spans="2:25" ht="14" customHeight="1" x14ac:dyDescent="0.35">
      <c r="B73" s="283"/>
      <c r="C73" s="556"/>
      <c r="D73" s="935"/>
      <c r="E73" s="518"/>
      <c r="F73" s="518"/>
      <c r="G73" s="518"/>
      <c r="H73" s="518"/>
      <c r="I73" s="518"/>
      <c r="J73" s="518"/>
      <c r="K73" s="518"/>
      <c r="L73" s="518"/>
      <c r="M73" s="518"/>
      <c r="N73" s="518"/>
      <c r="O73" s="556"/>
      <c r="P73" s="556"/>
      <c r="Q73" s="556"/>
      <c r="R73" s="26"/>
      <c r="S73" s="26"/>
      <c r="T73" s="26"/>
      <c r="U73" s="26"/>
      <c r="V73" s="26"/>
      <c r="W73" s="26"/>
      <c r="X73" s="26"/>
    </row>
    <row r="74" spans="2:25" ht="14" customHeight="1" x14ac:dyDescent="0.35">
      <c r="B74" s="283"/>
      <c r="C74" s="556"/>
      <c r="D74" s="935"/>
      <c r="E74" s="518"/>
      <c r="F74" s="518"/>
      <c r="G74" s="518"/>
      <c r="H74" s="518"/>
      <c r="I74" s="518"/>
      <c r="J74" s="518"/>
      <c r="K74" s="518"/>
      <c r="L74" s="518"/>
      <c r="M74" s="518"/>
      <c r="N74" s="518"/>
      <c r="O74" s="556"/>
      <c r="P74" s="556"/>
      <c r="Q74" s="556"/>
      <c r="R74" s="26"/>
      <c r="S74" s="26"/>
      <c r="T74" s="26"/>
      <c r="U74" s="26"/>
      <c r="V74" s="26"/>
      <c r="W74" s="26"/>
      <c r="X74" s="26"/>
    </row>
    <row r="75" spans="2:25" ht="14.5" x14ac:dyDescent="0.35">
      <c r="B75" s="283"/>
      <c r="C75" s="37"/>
      <c r="D75" s="935"/>
      <c r="E75" s="518"/>
      <c r="F75" s="518"/>
      <c r="G75" s="518"/>
      <c r="H75" s="518"/>
      <c r="I75" s="518"/>
      <c r="J75" s="518"/>
      <c r="K75" s="518"/>
      <c r="L75" s="518"/>
      <c r="M75" s="518"/>
      <c r="N75" s="518"/>
      <c r="O75" s="37"/>
      <c r="P75" s="37"/>
      <c r="Q75" s="37"/>
    </row>
    <row r="76" spans="2:25" ht="14.5" x14ac:dyDescent="0.35">
      <c r="B76" s="283"/>
      <c r="D76" s="935"/>
      <c r="E76" s="518"/>
      <c r="F76" s="518"/>
      <c r="G76" s="518"/>
      <c r="H76" s="518"/>
      <c r="I76" s="518"/>
      <c r="J76" s="518"/>
      <c r="K76" s="518"/>
      <c r="L76" s="518"/>
      <c r="M76" s="518"/>
      <c r="N76" s="518"/>
    </row>
    <row r="77" spans="2:25" ht="14.5" x14ac:dyDescent="0.35">
      <c r="B77" s="283"/>
      <c r="D77" s="935"/>
      <c r="E77" s="518"/>
      <c r="F77" s="518"/>
      <c r="G77" s="518"/>
      <c r="H77" s="518"/>
      <c r="I77" s="518"/>
      <c r="J77" s="518"/>
      <c r="K77" s="518"/>
      <c r="L77" s="518"/>
      <c r="M77" s="518"/>
      <c r="N77" s="518"/>
    </row>
    <row r="78" spans="2:25" ht="14.5" x14ac:dyDescent="0.35">
      <c r="B78" s="283"/>
      <c r="D78" s="935"/>
      <c r="E78" s="518"/>
      <c r="F78" s="518"/>
      <c r="G78" s="518"/>
      <c r="H78" s="518"/>
      <c r="I78" s="518"/>
      <c r="J78" s="518"/>
      <c r="K78" s="518"/>
      <c r="L78" s="518"/>
      <c r="M78" s="518"/>
      <c r="N78" s="518"/>
    </row>
    <row r="79" spans="2:25" ht="14.5" x14ac:dyDescent="0.35">
      <c r="B79" s="283"/>
      <c r="D79" s="935"/>
      <c r="E79" s="518"/>
      <c r="F79" s="518"/>
      <c r="G79" s="518"/>
      <c r="H79" s="518"/>
      <c r="I79" s="518"/>
      <c r="J79" s="518"/>
      <c r="K79" s="518"/>
      <c r="L79" s="518"/>
      <c r="M79" s="518"/>
      <c r="N79" s="518"/>
    </row>
    <row r="80" spans="2:25" ht="14.5" x14ac:dyDescent="0.35">
      <c r="B80" s="283"/>
      <c r="D80" s="935"/>
      <c r="E80" s="518"/>
      <c r="F80" s="518"/>
      <c r="G80" s="518"/>
      <c r="H80" s="518"/>
      <c r="I80" s="518"/>
      <c r="J80" s="518"/>
      <c r="K80" s="518"/>
      <c r="L80" s="518"/>
      <c r="M80" s="518"/>
      <c r="N80" s="518"/>
    </row>
    <row r="81" spans="2:14" ht="14.5" x14ac:dyDescent="0.35">
      <c r="B81" s="283"/>
      <c r="D81" s="935"/>
      <c r="E81" s="518"/>
      <c r="F81" s="518"/>
      <c r="G81" s="518"/>
      <c r="H81" s="518"/>
      <c r="I81" s="518"/>
      <c r="J81" s="518"/>
      <c r="K81" s="518"/>
      <c r="L81" s="518"/>
      <c r="M81" s="518"/>
      <c r="N81" s="518"/>
    </row>
    <row r="82" spans="2:14" ht="14.5" x14ac:dyDescent="0.35">
      <c r="B82" s="283"/>
      <c r="D82" s="935"/>
      <c r="E82" s="518"/>
      <c r="F82" s="518"/>
      <c r="G82" s="518"/>
      <c r="H82" s="518"/>
      <c r="I82" s="518"/>
      <c r="J82" s="518"/>
      <c r="K82" s="518"/>
      <c r="L82" s="518"/>
      <c r="M82" s="518"/>
      <c r="N82" s="518"/>
    </row>
    <row r="83" spans="2:14" ht="14.5" x14ac:dyDescent="0.35">
      <c r="B83" s="283"/>
      <c r="D83" s="935"/>
      <c r="E83" s="518"/>
      <c r="F83" s="518"/>
      <c r="G83" s="518"/>
      <c r="H83" s="518"/>
      <c r="I83" s="518"/>
      <c r="J83" s="518"/>
      <c r="K83" s="518"/>
      <c r="L83" s="518"/>
      <c r="M83" s="518"/>
      <c r="N83" s="518"/>
    </row>
    <row r="84" spans="2:14" ht="14.5" x14ac:dyDescent="0.35">
      <c r="B84" s="283"/>
      <c r="D84" s="935"/>
      <c r="E84" s="518"/>
      <c r="F84" s="518"/>
      <c r="G84" s="518"/>
      <c r="H84" s="518"/>
      <c r="I84" s="518"/>
      <c r="J84" s="518"/>
      <c r="K84" s="518"/>
      <c r="L84" s="518"/>
      <c r="M84" s="518"/>
      <c r="N84" s="518"/>
    </row>
    <row r="85" spans="2:14" x14ac:dyDescent="0.3">
      <c r="B85" s="115"/>
    </row>
    <row r="86" spans="2:14" x14ac:dyDescent="0.3">
      <c r="B86" s="115"/>
    </row>
    <row r="87" spans="2:14" x14ac:dyDescent="0.3">
      <c r="B87" s="115"/>
      <c r="J87" s="699"/>
      <c r="K87" s="699"/>
      <c r="L87" s="699"/>
      <c r="M87" s="699"/>
      <c r="N87" s="699"/>
    </row>
    <row r="91" spans="2:14" x14ac:dyDescent="0.3">
      <c r="C91" s="37"/>
      <c r="D91" s="557"/>
      <c r="E91" s="557"/>
      <c r="F91" s="557"/>
      <c r="G91" s="557"/>
      <c r="H91" s="557"/>
      <c r="I91" s="557"/>
      <c r="J91" s="557"/>
      <c r="K91" s="557"/>
      <c r="L91" s="557"/>
      <c r="M91" s="557"/>
      <c r="N91" s="557"/>
    </row>
    <row r="92" spans="2:14" ht="14.5" x14ac:dyDescent="0.35">
      <c r="B92" s="934"/>
      <c r="C92" s="37"/>
      <c r="D92" s="935"/>
      <c r="E92" s="518"/>
      <c r="F92" s="518"/>
      <c r="G92" s="518"/>
      <c r="H92" s="518"/>
      <c r="I92" s="518"/>
      <c r="J92" s="518"/>
      <c r="K92" s="518"/>
      <c r="L92" s="518"/>
      <c r="M92" s="518"/>
      <c r="N92" s="518"/>
    </row>
    <row r="93" spans="2:14" ht="14.5" x14ac:dyDescent="0.35">
      <c r="B93" s="518"/>
      <c r="C93" s="37"/>
      <c r="D93" s="935"/>
      <c r="E93" s="518"/>
      <c r="F93" s="518"/>
      <c r="G93" s="518"/>
      <c r="H93" s="518"/>
      <c r="I93" s="518"/>
      <c r="J93" s="518"/>
      <c r="K93" s="518"/>
      <c r="L93" s="518"/>
      <c r="M93" s="518"/>
      <c r="N93" s="518"/>
    </row>
    <row r="94" spans="2:14" ht="14.5" x14ac:dyDescent="0.35">
      <c r="B94" s="518"/>
      <c r="C94" s="37"/>
      <c r="D94" s="935"/>
      <c r="E94" s="518"/>
      <c r="F94" s="518"/>
      <c r="G94" s="518"/>
      <c r="H94" s="518"/>
      <c r="I94" s="518"/>
      <c r="J94" s="518"/>
      <c r="K94" s="518"/>
      <c r="L94" s="518"/>
      <c r="M94" s="518"/>
      <c r="N94" s="518"/>
    </row>
    <row r="95" spans="2:14" ht="14.5" x14ac:dyDescent="0.35">
      <c r="B95" s="518"/>
      <c r="C95" s="556"/>
      <c r="D95" s="935"/>
      <c r="E95" s="518"/>
      <c r="F95" s="518"/>
      <c r="G95" s="518"/>
      <c r="H95" s="518"/>
      <c r="I95" s="518"/>
      <c r="J95" s="518"/>
      <c r="K95" s="518"/>
      <c r="L95" s="518"/>
      <c r="M95" s="518"/>
      <c r="N95" s="518"/>
    </row>
    <row r="96" spans="2:14" ht="14.5" x14ac:dyDescent="0.35">
      <c r="B96" s="518"/>
      <c r="C96" s="556"/>
      <c r="D96" s="935"/>
      <c r="E96" s="518"/>
      <c r="F96" s="518"/>
      <c r="G96" s="518"/>
      <c r="H96" s="518"/>
      <c r="I96" s="518"/>
      <c r="J96" s="518"/>
      <c r="K96" s="518"/>
      <c r="L96" s="518"/>
      <c r="M96" s="518"/>
      <c r="N96" s="518"/>
    </row>
    <row r="97" spans="2:14" ht="14.5" x14ac:dyDescent="0.35">
      <c r="B97" s="518"/>
      <c r="C97" s="556"/>
      <c r="D97" s="935"/>
      <c r="E97" s="518"/>
      <c r="F97" s="518"/>
      <c r="G97" s="518"/>
      <c r="H97" s="518"/>
      <c r="I97" s="518"/>
      <c r="J97" s="518"/>
      <c r="K97" s="518"/>
      <c r="L97" s="518"/>
      <c r="M97" s="518"/>
      <c r="N97" s="518"/>
    </row>
    <row r="98" spans="2:14" ht="14.5" x14ac:dyDescent="0.35">
      <c r="B98" s="518"/>
      <c r="C98" s="37"/>
      <c r="D98" s="935"/>
      <c r="E98" s="518"/>
      <c r="F98" s="518"/>
      <c r="G98" s="518"/>
      <c r="H98" s="518"/>
      <c r="I98" s="518"/>
      <c r="J98" s="518"/>
      <c r="K98" s="518"/>
      <c r="L98" s="518"/>
      <c r="M98" s="518"/>
      <c r="N98" s="518"/>
    </row>
    <row r="99" spans="2:14" ht="14.5" x14ac:dyDescent="0.35">
      <c r="B99" s="518"/>
      <c r="D99" s="935"/>
      <c r="E99" s="518"/>
      <c r="F99" s="518"/>
      <c r="G99" s="518"/>
      <c r="H99" s="518"/>
      <c r="I99" s="518"/>
      <c r="J99" s="518"/>
      <c r="K99" s="518"/>
      <c r="L99" s="518"/>
      <c r="M99" s="518"/>
      <c r="N99" s="518"/>
    </row>
    <row r="100" spans="2:14" ht="14.5" x14ac:dyDescent="0.35">
      <c r="B100" s="518"/>
      <c r="D100" s="935"/>
      <c r="E100" s="518"/>
      <c r="F100" s="518"/>
      <c r="G100" s="518"/>
      <c r="H100" s="518"/>
      <c r="I100" s="518"/>
      <c r="J100" s="518"/>
      <c r="K100" s="518"/>
      <c r="L100" s="518"/>
      <c r="M100" s="518"/>
      <c r="N100" s="518"/>
    </row>
    <row r="101" spans="2:14" ht="14.5" x14ac:dyDescent="0.35">
      <c r="B101" s="518"/>
      <c r="D101" s="935"/>
      <c r="E101" s="518"/>
      <c r="F101" s="518"/>
      <c r="G101" s="518"/>
      <c r="H101" s="518"/>
      <c r="I101" s="518"/>
      <c r="J101" s="518"/>
      <c r="K101" s="518"/>
      <c r="L101" s="518"/>
      <c r="M101" s="518"/>
      <c r="N101" s="518"/>
    </row>
    <row r="102" spans="2:14" ht="14.5" x14ac:dyDescent="0.35">
      <c r="B102" s="518"/>
      <c r="D102" s="935"/>
      <c r="E102" s="518"/>
      <c r="F102" s="518"/>
      <c r="G102" s="518"/>
      <c r="H102" s="518"/>
      <c r="I102" s="518"/>
      <c r="J102" s="518"/>
      <c r="K102" s="518"/>
      <c r="L102" s="518"/>
      <c r="M102" s="518"/>
      <c r="N102" s="518"/>
    </row>
    <row r="103" spans="2:14" ht="14.5" x14ac:dyDescent="0.35">
      <c r="B103" s="518"/>
      <c r="D103" s="935"/>
      <c r="E103" s="518"/>
      <c r="F103" s="518"/>
      <c r="G103" s="518"/>
      <c r="H103" s="518"/>
      <c r="I103" s="518"/>
      <c r="J103" s="518"/>
      <c r="K103" s="518"/>
      <c r="L103" s="518"/>
      <c r="M103" s="518"/>
      <c r="N103" s="518"/>
    </row>
    <row r="104" spans="2:14" ht="14.5" x14ac:dyDescent="0.35">
      <c r="B104" s="518"/>
      <c r="D104" s="935"/>
      <c r="E104" s="518"/>
      <c r="F104" s="518"/>
      <c r="G104" s="518"/>
      <c r="H104" s="518"/>
      <c r="I104" s="518"/>
      <c r="J104" s="518"/>
      <c r="K104" s="518"/>
      <c r="L104" s="518"/>
      <c r="M104" s="518"/>
      <c r="N104" s="518"/>
    </row>
    <row r="105" spans="2:14" ht="14.5" x14ac:dyDescent="0.35">
      <c r="B105" s="518"/>
      <c r="D105" s="935"/>
      <c r="E105" s="518"/>
      <c r="F105" s="518"/>
      <c r="G105" s="518"/>
      <c r="H105" s="518"/>
      <c r="I105" s="518"/>
      <c r="J105" s="518"/>
      <c r="K105" s="518"/>
      <c r="L105" s="518"/>
      <c r="M105" s="518"/>
      <c r="N105" s="518"/>
    </row>
    <row r="106" spans="2:14" ht="14.5" x14ac:dyDescent="0.35">
      <c r="B106" s="518"/>
      <c r="D106" s="935"/>
      <c r="E106" s="518"/>
      <c r="F106" s="518"/>
      <c r="G106" s="518"/>
      <c r="H106" s="518"/>
      <c r="I106" s="518"/>
      <c r="J106" s="518"/>
      <c r="K106" s="518"/>
      <c r="L106" s="518"/>
      <c r="M106" s="518"/>
      <c r="N106" s="518"/>
    </row>
    <row r="107" spans="2:14" ht="14.5" x14ac:dyDescent="0.35">
      <c r="B107" s="518"/>
      <c r="D107" s="935"/>
      <c r="E107" s="518"/>
      <c r="F107" s="518"/>
      <c r="G107" s="518"/>
      <c r="H107" s="518"/>
      <c r="I107" s="518"/>
      <c r="J107" s="518"/>
      <c r="K107" s="518"/>
      <c r="L107" s="518"/>
      <c r="M107" s="518"/>
      <c r="N107" s="518"/>
    </row>
    <row r="108" spans="2:14" ht="14.5" x14ac:dyDescent="0.35">
      <c r="E108" s="518"/>
      <c r="F108" s="518"/>
      <c r="G108" s="518"/>
      <c r="H108" s="518"/>
      <c r="I108" s="518"/>
      <c r="J108" s="518"/>
      <c r="K108" s="518"/>
      <c r="L108" s="518"/>
      <c r="M108" s="518"/>
      <c r="N108" s="518"/>
    </row>
    <row r="109" spans="2:14" ht="14.5" x14ac:dyDescent="0.35">
      <c r="E109" s="518"/>
      <c r="F109" s="518"/>
      <c r="G109" s="518"/>
      <c r="H109" s="518"/>
      <c r="I109" s="518"/>
      <c r="J109" s="518"/>
      <c r="K109" s="518"/>
      <c r="L109" s="518"/>
      <c r="M109" s="518"/>
      <c r="N109" s="518"/>
    </row>
    <row r="110" spans="2:14" ht="14.5" x14ac:dyDescent="0.35">
      <c r="E110" s="518"/>
      <c r="F110" s="518"/>
      <c r="G110" s="518"/>
      <c r="H110" s="518"/>
      <c r="I110" s="518"/>
      <c r="J110" s="518"/>
      <c r="K110" s="518"/>
      <c r="L110" s="518"/>
      <c r="M110" s="518"/>
      <c r="N110" s="518"/>
    </row>
    <row r="111" spans="2:14" ht="14.5" x14ac:dyDescent="0.35">
      <c r="E111" s="518"/>
    </row>
  </sheetData>
  <mergeCells count="34">
    <mergeCell ref="Q60:T60"/>
    <mergeCell ref="U60:X60"/>
    <mergeCell ref="Y60:AB60"/>
    <mergeCell ref="B1:AC1"/>
    <mergeCell ref="B2:AC6"/>
    <mergeCell ref="B58:AC58"/>
    <mergeCell ref="B55:AC55"/>
    <mergeCell ref="E60:H60"/>
    <mergeCell ref="I60:L60"/>
    <mergeCell ref="B46:C48"/>
    <mergeCell ref="E47:H47"/>
    <mergeCell ref="I47:L47"/>
    <mergeCell ref="B59:C61"/>
    <mergeCell ref="B32:C32"/>
    <mergeCell ref="B11:C11"/>
    <mergeCell ref="B27:C27"/>
    <mergeCell ref="E9:H9"/>
    <mergeCell ref="B8:C10"/>
    <mergeCell ref="D59:O59"/>
    <mergeCell ref="P59:AC59"/>
    <mergeCell ref="M60:O60"/>
    <mergeCell ref="D8:O8"/>
    <mergeCell ref="P8:AC8"/>
    <mergeCell ref="M9:O9"/>
    <mergeCell ref="D46:O46"/>
    <mergeCell ref="P46:AC46"/>
    <mergeCell ref="I9:L9"/>
    <mergeCell ref="Q9:T9"/>
    <mergeCell ref="U9:X9"/>
    <mergeCell ref="Y9:AB9"/>
    <mergeCell ref="Q47:T47"/>
    <mergeCell ref="U47:X47"/>
    <mergeCell ref="Y47:AB47"/>
    <mergeCell ref="M47:O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C28" zoomScale="79" zoomScaleNormal="88" workbookViewId="0">
      <selection activeCell="E72" sqref="E72"/>
    </sheetView>
  </sheetViews>
  <sheetFormatPr defaultColWidth="10.81640625" defaultRowHeight="14" x14ac:dyDescent="0.3"/>
  <cols>
    <col min="1" max="2" width="0" style="286" hidden="1" customWidth="1"/>
    <col min="3" max="3" width="10.81640625" style="286"/>
    <col min="4" max="4" width="45.1796875" style="286" customWidth="1"/>
    <col min="5" max="5" width="11.1796875" style="286" bestFit="1" customWidth="1"/>
    <col min="6" max="12" width="10.81640625" style="286"/>
    <col min="13" max="13" width="12.453125" style="286" customWidth="1"/>
    <col min="14" max="14" width="13.453125" style="286" customWidth="1"/>
    <col min="15" max="15" width="13.36328125" style="286" customWidth="1"/>
    <col min="16" max="16" width="8.36328125" style="286" customWidth="1"/>
    <col min="17" max="16384" width="10.81640625" style="286"/>
  </cols>
  <sheetData>
    <row r="1" spans="4:56" x14ac:dyDescent="0.3">
      <c r="D1" s="1333" t="s">
        <v>580</v>
      </c>
      <c r="E1" s="1333"/>
      <c r="F1" s="1333"/>
      <c r="G1" s="1333"/>
      <c r="H1" s="1333"/>
      <c r="I1" s="1333"/>
      <c r="J1" s="1333"/>
      <c r="K1" s="1333"/>
      <c r="L1" s="1333"/>
      <c r="M1" s="1333"/>
      <c r="N1" s="1333"/>
      <c r="O1" s="1333"/>
      <c r="P1" s="1333"/>
      <c r="Q1" s="1333"/>
      <c r="R1" s="1333"/>
      <c r="S1" s="1333"/>
      <c r="T1" s="1333"/>
      <c r="U1" s="1333"/>
      <c r="V1" s="1333"/>
      <c r="W1" s="1333"/>
      <c r="X1" s="1333"/>
      <c r="Y1" s="1333"/>
      <c r="Z1" s="1333"/>
      <c r="AA1" s="1333"/>
      <c r="AB1" s="1333"/>
      <c r="AC1" s="1333"/>
    </row>
    <row r="2" spans="4:56" ht="14" customHeight="1" x14ac:dyDescent="0.3">
      <c r="D2" s="1369" t="s">
        <v>1205</v>
      </c>
      <c r="E2" s="1369"/>
      <c r="F2" s="1369"/>
      <c r="G2" s="1369"/>
      <c r="H2" s="1369"/>
      <c r="I2" s="1369"/>
      <c r="J2" s="1369"/>
      <c r="K2" s="1369"/>
      <c r="L2" s="1369"/>
      <c r="M2" s="1369"/>
      <c r="N2" s="1369"/>
      <c r="O2" s="1369"/>
      <c r="P2" s="1369"/>
      <c r="Q2" s="1369"/>
      <c r="R2" s="1369"/>
      <c r="S2" s="1369"/>
      <c r="T2" s="1369"/>
      <c r="U2" s="1369"/>
      <c r="V2" s="1369"/>
      <c r="W2" s="1369"/>
      <c r="X2" s="1369"/>
      <c r="Y2" s="1369"/>
      <c r="Z2" s="1369"/>
      <c r="AA2" s="1369"/>
      <c r="AB2" s="1369"/>
      <c r="AC2" s="1369"/>
    </row>
    <row r="3" spans="4:56" ht="28.5" customHeight="1" x14ac:dyDescent="0.3">
      <c r="D3" s="1369"/>
      <c r="E3" s="1369"/>
      <c r="F3" s="1369"/>
      <c r="G3" s="1369"/>
      <c r="H3" s="1369"/>
      <c r="I3" s="1369"/>
      <c r="J3" s="1369"/>
      <c r="K3" s="1369"/>
      <c r="L3" s="1369"/>
      <c r="M3" s="1369"/>
      <c r="N3" s="1369"/>
      <c r="O3" s="1369"/>
      <c r="P3" s="1369"/>
      <c r="Q3" s="1369"/>
      <c r="R3" s="1369"/>
      <c r="S3" s="1369"/>
      <c r="T3" s="1369"/>
      <c r="U3" s="1369"/>
      <c r="V3" s="1369"/>
      <c r="W3" s="1369"/>
      <c r="X3" s="1369"/>
      <c r="Y3" s="1369"/>
      <c r="Z3" s="1369"/>
      <c r="AA3" s="1369"/>
      <c r="AB3" s="1369"/>
      <c r="AC3" s="1369"/>
    </row>
    <row r="4" spans="4:56" x14ac:dyDescent="0.3">
      <c r="D4" s="1096" t="s">
        <v>397</v>
      </c>
    </row>
    <row r="5" spans="4:56" x14ac:dyDescent="0.3">
      <c r="D5" s="1338" t="s">
        <v>290</v>
      </c>
      <c r="E5" s="1339"/>
      <c r="F5" s="1462" t="s">
        <v>261</v>
      </c>
      <c r="G5" s="1463"/>
      <c r="H5" s="1463"/>
      <c r="I5" s="1463"/>
      <c r="J5" s="1463"/>
      <c r="K5" s="1463"/>
      <c r="L5" s="1463"/>
      <c r="M5" s="1464"/>
      <c r="N5" s="1464"/>
      <c r="O5" s="1465"/>
      <c r="P5" s="1378" t="s">
        <v>143</v>
      </c>
      <c r="Q5" s="1379"/>
      <c r="R5" s="1379"/>
      <c r="S5" s="1379"/>
      <c r="T5" s="1379"/>
      <c r="U5" s="1379"/>
      <c r="V5" s="1379"/>
      <c r="W5" s="1379"/>
      <c r="X5" s="1379"/>
      <c r="Y5" s="1379"/>
      <c r="Z5" s="1379"/>
      <c r="AA5" s="1379"/>
      <c r="AB5" s="1379"/>
      <c r="AC5" s="1380"/>
      <c r="AD5" s="208"/>
      <c r="AE5" s="208"/>
      <c r="AF5" s="208"/>
      <c r="AG5" s="208"/>
      <c r="AH5" s="208"/>
      <c r="AI5" s="208"/>
      <c r="AJ5" s="208"/>
      <c r="AK5" s="208"/>
      <c r="AL5" s="208"/>
      <c r="AM5" s="208"/>
      <c r="AN5" s="208"/>
      <c r="AO5" s="208"/>
      <c r="AP5" s="208"/>
      <c r="AQ5" s="208"/>
      <c r="AR5" s="208"/>
      <c r="AS5" s="208"/>
      <c r="AT5" s="208"/>
      <c r="AU5" s="208"/>
      <c r="AV5" s="208"/>
      <c r="AW5" s="208"/>
      <c r="AX5" s="208"/>
      <c r="AY5" s="208"/>
      <c r="AZ5" s="208"/>
      <c r="BA5" s="208"/>
      <c r="BB5" s="208"/>
      <c r="BC5" s="208"/>
      <c r="BD5" s="208"/>
    </row>
    <row r="6" spans="4:56" x14ac:dyDescent="0.3">
      <c r="D6" s="1340"/>
      <c r="E6" s="1408"/>
      <c r="F6" s="1335">
        <v>2019</v>
      </c>
      <c r="G6" s="1336"/>
      <c r="H6" s="1337"/>
      <c r="I6" s="1336">
        <v>2020</v>
      </c>
      <c r="J6" s="1336"/>
      <c r="K6" s="1336"/>
      <c r="L6" s="1336"/>
      <c r="M6" s="1335">
        <v>2021</v>
      </c>
      <c r="N6" s="1336"/>
      <c r="O6" s="1337"/>
      <c r="P6" s="1296">
        <v>2021</v>
      </c>
      <c r="Q6" s="1343">
        <v>2022</v>
      </c>
      <c r="R6" s="1344"/>
      <c r="S6" s="1344"/>
      <c r="T6" s="1345"/>
      <c r="U6" s="1440">
        <v>2023</v>
      </c>
      <c r="V6" s="1441"/>
      <c r="W6" s="1441"/>
      <c r="X6" s="1441"/>
      <c r="Y6" s="1343">
        <v>2024</v>
      </c>
      <c r="Z6" s="1344"/>
      <c r="AA6" s="1344"/>
      <c r="AB6" s="1344"/>
      <c r="AC6" s="439">
        <v>2025</v>
      </c>
      <c r="AD6" s="194"/>
      <c r="AE6" s="194"/>
      <c r="AF6" s="194"/>
      <c r="AG6" s="272"/>
      <c r="AH6" s="272"/>
      <c r="AI6" s="272"/>
      <c r="AJ6" s="272"/>
      <c r="AK6" s="272"/>
      <c r="AL6" s="272"/>
      <c r="AM6" s="272"/>
      <c r="AN6" s="272"/>
      <c r="AO6" s="272"/>
      <c r="AP6" s="272"/>
      <c r="AQ6" s="272"/>
      <c r="AR6" s="272"/>
      <c r="AS6" s="272"/>
      <c r="AT6" s="272"/>
      <c r="AU6" s="272"/>
      <c r="AV6" s="272"/>
      <c r="AW6" s="272"/>
      <c r="AX6" s="272"/>
      <c r="AY6" s="272"/>
      <c r="AZ6" s="272"/>
      <c r="BA6" s="272"/>
      <c r="BB6" s="272"/>
      <c r="BC6" s="272"/>
    </row>
    <row r="7" spans="4:56" x14ac:dyDescent="0.3">
      <c r="D7" s="1383"/>
      <c r="E7" s="1409"/>
      <c r="F7" s="211" t="s">
        <v>136</v>
      </c>
      <c r="G7" s="189" t="s">
        <v>137</v>
      </c>
      <c r="H7" s="1056" t="s">
        <v>138</v>
      </c>
      <c r="I7" s="190" t="s">
        <v>135</v>
      </c>
      <c r="J7" s="190" t="s">
        <v>136</v>
      </c>
      <c r="K7" s="190" t="s">
        <v>137</v>
      </c>
      <c r="L7" s="190" t="s">
        <v>138</v>
      </c>
      <c r="M7" s="205" t="s">
        <v>135</v>
      </c>
      <c r="N7" s="190" t="s">
        <v>136</v>
      </c>
      <c r="O7" s="1056" t="s">
        <v>137</v>
      </c>
      <c r="P7" s="65" t="s">
        <v>138</v>
      </c>
      <c r="Q7" s="63" t="s">
        <v>135</v>
      </c>
      <c r="R7" s="64" t="s">
        <v>136</v>
      </c>
      <c r="S7" s="64" t="s">
        <v>137</v>
      </c>
      <c r="T7" s="64" t="s">
        <v>138</v>
      </c>
      <c r="U7" s="63" t="s">
        <v>135</v>
      </c>
      <c r="V7" s="64" t="s">
        <v>136</v>
      </c>
      <c r="W7" s="64" t="s">
        <v>137</v>
      </c>
      <c r="X7" s="64" t="s">
        <v>138</v>
      </c>
      <c r="Y7" s="63" t="s">
        <v>135</v>
      </c>
      <c r="Z7" s="634" t="s">
        <v>136</v>
      </c>
      <c r="AA7" s="64" t="s">
        <v>137</v>
      </c>
      <c r="AB7" s="64" t="s">
        <v>138</v>
      </c>
      <c r="AC7" s="66" t="s">
        <v>135</v>
      </c>
      <c r="AD7" s="203"/>
      <c r="AE7" s="203"/>
      <c r="AF7" s="203"/>
      <c r="AG7" s="203"/>
      <c r="AH7" s="203"/>
      <c r="AI7" s="203"/>
      <c r="AJ7" s="203"/>
      <c r="AK7" s="203"/>
      <c r="AL7" s="203"/>
      <c r="AM7" s="203"/>
      <c r="AN7" s="203"/>
      <c r="AO7" s="203"/>
      <c r="AP7" s="203"/>
      <c r="AQ7" s="203"/>
      <c r="AR7" s="203"/>
      <c r="AS7" s="203"/>
      <c r="AT7" s="203"/>
      <c r="AU7" s="203"/>
      <c r="AV7" s="203"/>
      <c r="AW7" s="203"/>
      <c r="AX7" s="203"/>
      <c r="AY7" s="203"/>
      <c r="AZ7" s="203"/>
      <c r="BA7" s="203"/>
      <c r="BB7" s="203"/>
      <c r="BC7" s="203"/>
    </row>
    <row r="8" spans="4:56" x14ac:dyDescent="0.3">
      <c r="D8" s="365" t="s">
        <v>145</v>
      </c>
      <c r="E8" s="744"/>
      <c r="F8" s="1097"/>
      <c r="G8" s="1098"/>
      <c r="H8" s="1099"/>
      <c r="I8" s="1099"/>
      <c r="J8" s="1099"/>
      <c r="K8" s="1099"/>
      <c r="L8" s="1099"/>
      <c r="M8" s="1099"/>
      <c r="N8" s="1099"/>
      <c r="O8" s="1100"/>
      <c r="P8" s="427"/>
      <c r="Q8" s="428"/>
      <c r="R8" s="428"/>
      <c r="S8" s="427"/>
      <c r="T8" s="428"/>
      <c r="U8" s="428"/>
      <c r="V8" s="428"/>
      <c r="W8" s="427"/>
      <c r="X8" s="428"/>
      <c r="Y8" s="428"/>
      <c r="Z8" s="428"/>
      <c r="AA8" s="428"/>
      <c r="AB8" s="428"/>
      <c r="AC8" s="1046"/>
      <c r="AD8" s="195"/>
      <c r="AE8" s="195"/>
      <c r="AF8" s="195"/>
      <c r="AG8" s="195"/>
      <c r="AH8" s="195"/>
      <c r="AI8" s="195"/>
      <c r="AJ8" s="195"/>
      <c r="AK8" s="195"/>
      <c r="AL8" s="195"/>
      <c r="AM8" s="195"/>
      <c r="AN8" s="195"/>
      <c r="AO8" s="195"/>
      <c r="AP8" s="195"/>
      <c r="AQ8" s="195"/>
      <c r="AR8" s="195"/>
      <c r="AS8" s="195"/>
      <c r="AT8" s="195"/>
      <c r="AU8" s="195"/>
      <c r="AV8" s="195"/>
      <c r="AW8" s="195"/>
      <c r="AX8" s="195"/>
      <c r="AY8" s="195"/>
      <c r="AZ8" s="195"/>
      <c r="BA8" s="195"/>
      <c r="BB8" s="195"/>
      <c r="BC8" s="195"/>
    </row>
    <row r="9" spans="4:56" s="434" customFormat="1" ht="14.5" x14ac:dyDescent="0.35">
      <c r="D9" s="101" t="s">
        <v>639</v>
      </c>
      <c r="E9" s="836"/>
      <c r="F9" s="1101">
        <f t="shared" ref="F9:X9" si="0">SUM(F10:F12)</f>
        <v>3273.3999999999996</v>
      </c>
      <c r="G9" s="842">
        <f t="shared" si="0"/>
        <v>3290</v>
      </c>
      <c r="H9" s="842">
        <f t="shared" si="0"/>
        <v>3332.9</v>
      </c>
      <c r="I9" s="842">
        <f t="shared" si="0"/>
        <v>3380.8</v>
      </c>
      <c r="J9" s="842">
        <f t="shared" si="0"/>
        <v>3111.4</v>
      </c>
      <c r="K9" s="842">
        <f t="shared" si="0"/>
        <v>3257.3</v>
      </c>
      <c r="L9" s="842">
        <f t="shared" si="0"/>
        <v>3379.5</v>
      </c>
      <c r="M9" s="842">
        <f t="shared" si="0"/>
        <v>3536</v>
      </c>
      <c r="N9" s="842">
        <f t="shared" si="0"/>
        <v>3648.3</v>
      </c>
      <c r="O9" s="1042">
        <f t="shared" si="0"/>
        <v>0</v>
      </c>
      <c r="P9" s="436">
        <f t="shared" si="0"/>
        <v>0</v>
      </c>
      <c r="Q9" s="436">
        <f t="shared" si="0"/>
        <v>3790.7238057954069</v>
      </c>
      <c r="R9" s="436">
        <f t="shared" si="0"/>
        <v>3840.889887743801</v>
      </c>
      <c r="S9" s="436">
        <f t="shared" si="0"/>
        <v>3887.0163916019224</v>
      </c>
      <c r="T9" s="436">
        <f t="shared" si="0"/>
        <v>3930.0199767154968</v>
      </c>
      <c r="U9" s="436">
        <f t="shared" si="0"/>
        <v>3964.5192614697726</v>
      </c>
      <c r="V9" s="436">
        <f t="shared" si="0"/>
        <v>4003.335054718309</v>
      </c>
      <c r="W9" s="436">
        <f t="shared" si="0"/>
        <v>4041.8237980896938</v>
      </c>
      <c r="X9" s="436">
        <f t="shared" si="0"/>
        <v>4079.4959409347007</v>
      </c>
      <c r="Y9" s="436">
        <f t="shared" ref="Y9" si="1">SUM(Y10:Y12)</f>
        <v>4115.8988989802419</v>
      </c>
      <c r="Z9" s="436">
        <f t="shared" ref="Z9" si="2">SUM(Z10:Z12)</f>
        <v>4151.9534136676202</v>
      </c>
      <c r="AA9" s="436">
        <f t="shared" ref="AA9" si="3">SUM(AA10:AA12)</f>
        <v>4189.6512564334271</v>
      </c>
      <c r="AB9" s="436">
        <f t="shared" ref="AB9" si="4">SUM(AB10:AB12)</f>
        <v>4227.3775725223713</v>
      </c>
      <c r="AC9" s="1047">
        <f t="shared" ref="AC9" si="5">SUM(AC10:AC12)</f>
        <v>4266.1932043264842</v>
      </c>
      <c r="AD9" s="437"/>
      <c r="AE9" s="437"/>
      <c r="AF9" s="437"/>
      <c r="AG9" s="437"/>
      <c r="AH9" s="437"/>
      <c r="AI9" s="437"/>
      <c r="AJ9" s="437"/>
      <c r="AK9" s="437"/>
      <c r="AL9" s="437"/>
      <c r="AM9" s="437"/>
      <c r="AN9" s="437"/>
      <c r="AO9" s="437"/>
      <c r="AP9" s="437"/>
      <c r="AQ9" s="437"/>
      <c r="AR9" s="437"/>
      <c r="AS9" s="437"/>
      <c r="AT9" s="437"/>
      <c r="AU9" s="437"/>
      <c r="AV9" s="437"/>
      <c r="AW9" s="437"/>
      <c r="AX9" s="437"/>
      <c r="AY9" s="437"/>
      <c r="AZ9" s="437"/>
      <c r="BA9" s="437"/>
      <c r="BB9" s="437"/>
      <c r="BC9" s="437"/>
    </row>
    <row r="10" spans="4:56" x14ac:dyDescent="0.3">
      <c r="D10" s="185" t="s">
        <v>573</v>
      </c>
      <c r="E10" s="343" t="s">
        <v>223</v>
      </c>
      <c r="F10" s="1102">
        <f>'Haver Pivoted'!GQ27</f>
        <v>1701.9</v>
      </c>
      <c r="G10" s="843">
        <f>'Haver Pivoted'!GR27</f>
        <v>1707.8</v>
      </c>
      <c r="H10" s="843">
        <f>'Haver Pivoted'!GS27</f>
        <v>1728.6</v>
      </c>
      <c r="I10" s="843">
        <f>'Haver Pivoted'!GT27</f>
        <v>1737.9</v>
      </c>
      <c r="J10" s="843">
        <f>'Haver Pivoted'!GU27</f>
        <v>1581.5</v>
      </c>
      <c r="K10" s="843">
        <f>'Haver Pivoted'!GV27</f>
        <v>1662.2</v>
      </c>
      <c r="L10" s="843">
        <f>'Haver Pivoted'!GW27</f>
        <v>1736.9</v>
      </c>
      <c r="M10" s="843">
        <f>'Haver Pivoted'!GX27</f>
        <v>1851.9</v>
      </c>
      <c r="N10" s="843">
        <f>'Haver Pivoted'!GY27</f>
        <v>1928.3</v>
      </c>
      <c r="O10" s="1043">
        <f>'Haver Pivoted'!GZ27</f>
        <v>0</v>
      </c>
      <c r="P10" s="945">
        <f t="shared" ref="P10" si="6">O10*P71/O71</f>
        <v>0</v>
      </c>
      <c r="Q10" s="945">
        <f>Q71*I63</f>
        <v>2007.5565714689392</v>
      </c>
      <c r="R10" s="945">
        <f t="shared" ref="R10:T10" si="7">Q10*R71/Q71</f>
        <v>2035.5440482689082</v>
      </c>
      <c r="S10" s="945">
        <f t="shared" si="7"/>
        <v>2061.2652824784373</v>
      </c>
      <c r="T10" s="945">
        <f t="shared" si="7"/>
        <v>2085.1537084727474</v>
      </c>
      <c r="U10" s="945">
        <f>U71*J63</f>
        <v>2107.6799121449349</v>
      </c>
      <c r="V10" s="945">
        <f t="shared" ref="V10:X10" si="8">U10*V71/U71</f>
        <v>2129.5250046560614</v>
      </c>
      <c r="W10" s="945">
        <f t="shared" si="8"/>
        <v>2150.7261375240028</v>
      </c>
      <c r="X10" s="945">
        <f t="shared" si="8"/>
        <v>2170.8994117307061</v>
      </c>
      <c r="Y10" s="945">
        <f>Y71*K63</f>
        <v>2190.9364637051976</v>
      </c>
      <c r="Z10" s="945">
        <f t="shared" ref="Z10:AB10" si="9">Y10*Z71/Y71</f>
        <v>2209.8713539826986</v>
      </c>
      <c r="AA10" s="945">
        <f t="shared" si="9"/>
        <v>2230.0074766715261</v>
      </c>
      <c r="AB10" s="429">
        <f t="shared" si="9"/>
        <v>2250.5027306998222</v>
      </c>
      <c r="AC10" s="1048">
        <f>AC71*L63</f>
        <v>2271.9515403536038</v>
      </c>
      <c r="AD10" s="195"/>
      <c r="AE10" s="195"/>
      <c r="AF10" s="195"/>
      <c r="AG10" s="195"/>
      <c r="AH10" s="195"/>
      <c r="AI10" s="195"/>
      <c r="AJ10" s="195"/>
      <c r="AK10" s="195"/>
      <c r="AL10" s="195"/>
      <c r="AM10" s="195"/>
      <c r="AN10" s="195"/>
      <c r="AO10" s="195"/>
      <c r="AP10" s="195"/>
      <c r="AQ10" s="195"/>
      <c r="AR10" s="195"/>
      <c r="AS10" s="195"/>
      <c r="AT10" s="195"/>
      <c r="AU10" s="195"/>
      <c r="AV10" s="195"/>
      <c r="AW10" s="195"/>
      <c r="AX10" s="195"/>
      <c r="AY10" s="195"/>
      <c r="AZ10" s="195"/>
      <c r="BA10" s="195"/>
      <c r="BB10" s="195"/>
      <c r="BC10" s="195"/>
    </row>
    <row r="11" spans="4:56" x14ac:dyDescent="0.3">
      <c r="D11" s="185" t="s">
        <v>572</v>
      </c>
      <c r="E11" s="112" t="s">
        <v>226</v>
      </c>
      <c r="F11" s="1102">
        <f>'Haver Pivoted'!GQ30</f>
        <v>1399.3</v>
      </c>
      <c r="G11" s="843">
        <f>'Haver Pivoted'!GR30</f>
        <v>1406.9</v>
      </c>
      <c r="H11" s="843">
        <f>'Haver Pivoted'!GS30</f>
        <v>1426.4</v>
      </c>
      <c r="I11" s="843">
        <f>'Haver Pivoted'!GT30</f>
        <v>1457.1</v>
      </c>
      <c r="J11" s="843">
        <f>'Haver Pivoted'!GU30</f>
        <v>1391.6</v>
      </c>
      <c r="K11" s="843">
        <f>'Haver Pivoted'!GV30</f>
        <v>1443.8</v>
      </c>
      <c r="L11" s="843">
        <f>'Haver Pivoted'!GW30</f>
        <v>1486</v>
      </c>
      <c r="M11" s="843">
        <f>'Haver Pivoted'!GX30</f>
        <v>1517.9</v>
      </c>
      <c r="N11" s="843">
        <f>'Haver Pivoted'!GY30</f>
        <v>1542.2</v>
      </c>
      <c r="O11" s="1043">
        <f>'Haver Pivoted'!GZ30</f>
        <v>0</v>
      </c>
      <c r="P11" s="945">
        <f t="shared" ref="P11:P13" si="10">O11*P74/O74</f>
        <v>0</v>
      </c>
      <c r="Q11" s="945">
        <f>Q74*I64</f>
        <v>1605.858408485956</v>
      </c>
      <c r="R11" s="945">
        <f t="shared" ref="R11:T13" si="11">Q11*R74/Q74</f>
        <v>1625.7708076754996</v>
      </c>
      <c r="S11" s="945">
        <f t="shared" si="11"/>
        <v>1643.6919669460888</v>
      </c>
      <c r="T11" s="945">
        <f t="shared" si="11"/>
        <v>1660.5409201064717</v>
      </c>
      <c r="U11" s="945">
        <f>U74*J64</f>
        <v>1676.1644948551905</v>
      </c>
      <c r="V11" s="945">
        <f t="shared" ref="V11:X13" si="12">U11*V74/U74</f>
        <v>1691.3285526995351</v>
      </c>
      <c r="W11" s="945">
        <f t="shared" si="12"/>
        <v>1706.7989551467958</v>
      </c>
      <c r="X11" s="945">
        <f t="shared" si="12"/>
        <v>1722.5757021969725</v>
      </c>
      <c r="Y11" s="945">
        <f>Y74*K64</f>
        <v>1737.3261948273807</v>
      </c>
      <c r="Z11" s="945">
        <f t="shared" ref="Z11:AB13" si="13">Y11*Z74/Y74</f>
        <v>1752.7965972746415</v>
      </c>
      <c r="AA11" s="945">
        <f t="shared" si="13"/>
        <v>1768.6499304755473</v>
      </c>
      <c r="AB11" s="429">
        <f t="shared" si="13"/>
        <v>1784.288822454412</v>
      </c>
      <c r="AC11" s="1048">
        <f>AC74*L64</f>
        <v>1799.9430316634223</v>
      </c>
      <c r="AD11" s="195"/>
      <c r="AE11" s="195"/>
      <c r="AF11" s="195"/>
      <c r="AG11" s="195"/>
      <c r="AH11" s="195"/>
      <c r="AI11" s="195"/>
      <c r="AJ11" s="195"/>
      <c r="AK11" s="195"/>
      <c r="AL11" s="195"/>
      <c r="AM11" s="195"/>
      <c r="AN11" s="195"/>
      <c r="AO11" s="195"/>
      <c r="AP11" s="195"/>
      <c r="AQ11" s="195"/>
      <c r="AR11" s="195"/>
      <c r="AS11" s="195"/>
      <c r="AT11" s="195"/>
      <c r="AU11" s="195"/>
      <c r="AV11" s="195"/>
      <c r="AW11" s="195"/>
      <c r="AX11" s="195"/>
      <c r="AY11" s="195"/>
      <c r="AZ11" s="195"/>
      <c r="BA11" s="195"/>
      <c r="BB11" s="195"/>
      <c r="BC11" s="195"/>
    </row>
    <row r="12" spans="4:56" x14ac:dyDescent="0.3">
      <c r="D12" s="185" t="s">
        <v>570</v>
      </c>
      <c r="E12" s="343" t="s">
        <v>224</v>
      </c>
      <c r="F12" s="1102">
        <f>'Haver Pivoted'!GQ28</f>
        <v>172.2</v>
      </c>
      <c r="G12" s="843">
        <f>'Haver Pivoted'!GR28</f>
        <v>175.3</v>
      </c>
      <c r="H12" s="843">
        <f>'Haver Pivoted'!GS28</f>
        <v>177.9</v>
      </c>
      <c r="I12" s="843">
        <f>'Haver Pivoted'!GT28</f>
        <v>185.8</v>
      </c>
      <c r="J12" s="843">
        <f>'Haver Pivoted'!GU28</f>
        <v>138.30000000000001</v>
      </c>
      <c r="K12" s="843">
        <f>'Haver Pivoted'!GV28</f>
        <v>151.30000000000001</v>
      </c>
      <c r="L12" s="843">
        <f>'Haver Pivoted'!GW28</f>
        <v>156.6</v>
      </c>
      <c r="M12" s="843">
        <f>'Haver Pivoted'!GX28</f>
        <v>166.2</v>
      </c>
      <c r="N12" s="843">
        <f>'Haver Pivoted'!GY28</f>
        <v>177.8</v>
      </c>
      <c r="O12" s="1043">
        <f>'Haver Pivoted'!GZ28</f>
        <v>0</v>
      </c>
      <c r="P12" s="945">
        <f t="shared" si="10"/>
        <v>0</v>
      </c>
      <c r="Q12" s="945">
        <f>Q75*I65</f>
        <v>177.30882584051193</v>
      </c>
      <c r="R12" s="945">
        <f t="shared" si="11"/>
        <v>179.57503179939275</v>
      </c>
      <c r="S12" s="945">
        <f t="shared" si="11"/>
        <v>182.05914217739672</v>
      </c>
      <c r="T12" s="945">
        <f t="shared" si="11"/>
        <v>184.32534813627754</v>
      </c>
      <c r="U12" s="945">
        <f>U75*J65</f>
        <v>180.67485446964741</v>
      </c>
      <c r="V12" s="945">
        <f t="shared" si="12"/>
        <v>182.48149736271273</v>
      </c>
      <c r="W12" s="945">
        <f t="shared" si="12"/>
        <v>184.29870541889539</v>
      </c>
      <c r="X12" s="945">
        <f t="shared" si="12"/>
        <v>186.02082700702198</v>
      </c>
      <c r="Y12" s="945">
        <f>Y75*K65</f>
        <v>187.63624044766337</v>
      </c>
      <c r="Z12" s="945">
        <f t="shared" si="13"/>
        <v>189.28546241028027</v>
      </c>
      <c r="AA12" s="945">
        <f t="shared" si="13"/>
        <v>190.99384928635433</v>
      </c>
      <c r="AB12" s="429">
        <f t="shared" si="13"/>
        <v>192.58601936813761</v>
      </c>
      <c r="AC12" s="1048">
        <f>AC75*L65</f>
        <v>194.29863230945855</v>
      </c>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row>
    <row r="13" spans="4:56" s="434" customFormat="1" ht="14.5" x14ac:dyDescent="0.35">
      <c r="D13" s="101" t="s">
        <v>640</v>
      </c>
      <c r="E13" s="837" t="s">
        <v>225</v>
      </c>
      <c r="F13" s="1103">
        <f>'Haver Pivoted'!GQ29</f>
        <v>218.9</v>
      </c>
      <c r="G13" s="677">
        <f>'Haver Pivoted'!GR29</f>
        <v>206.5</v>
      </c>
      <c r="H13" s="677">
        <f>'Haver Pivoted'!GS29</f>
        <v>231.4</v>
      </c>
      <c r="I13" s="677">
        <f>'Haver Pivoted'!GT29</f>
        <v>166.7</v>
      </c>
      <c r="J13" s="677">
        <f>'Haver Pivoted'!GU29</f>
        <v>167.4</v>
      </c>
      <c r="K13" s="677">
        <f>'Haver Pivoted'!GV29</f>
        <v>211.7</v>
      </c>
      <c r="L13" s="677">
        <f>'Haver Pivoted'!GW29</f>
        <v>225.1</v>
      </c>
      <c r="M13" s="677">
        <f>'Haver Pivoted'!GX29</f>
        <v>246.4</v>
      </c>
      <c r="N13" s="677">
        <f>'Haver Pivoted'!GY29</f>
        <v>275.10000000000002</v>
      </c>
      <c r="O13" s="1044">
        <f>'Haver Pivoted'!GZ29</f>
        <v>0</v>
      </c>
      <c r="P13" s="945">
        <f t="shared" si="10"/>
        <v>0</v>
      </c>
      <c r="Q13" s="945">
        <f>Q76*I66</f>
        <v>331.9957125021694</v>
      </c>
      <c r="R13" s="945">
        <f t="shared" si="11"/>
        <v>337.72752744381148</v>
      </c>
      <c r="S13" s="945">
        <f t="shared" si="11"/>
        <v>339.30096683955634</v>
      </c>
      <c r="T13" s="945">
        <f t="shared" si="11"/>
        <v>339.07618978302133</v>
      </c>
      <c r="U13" s="945">
        <f>U76*J66</f>
        <v>337.39036185900898</v>
      </c>
      <c r="V13" s="945">
        <f t="shared" si="12"/>
        <v>334.46826012405421</v>
      </c>
      <c r="W13" s="945">
        <f t="shared" si="12"/>
        <v>332.67004367177435</v>
      </c>
      <c r="X13" s="945">
        <f t="shared" si="12"/>
        <v>332.67004367177435</v>
      </c>
      <c r="Y13" s="945">
        <f>Y76*K66</f>
        <v>332.1755341473974</v>
      </c>
      <c r="Z13" s="945">
        <f t="shared" si="13"/>
        <v>333.80516780727601</v>
      </c>
      <c r="AA13" s="945">
        <f t="shared" si="13"/>
        <v>335.18754670496617</v>
      </c>
      <c r="AB13" s="429">
        <f t="shared" si="13"/>
        <v>337.08691283268678</v>
      </c>
      <c r="AC13" s="1048">
        <f>AC76*L66</f>
        <v>337.99725991165343</v>
      </c>
      <c r="AD13" s="437"/>
      <c r="AE13" s="437"/>
      <c r="AF13" s="437"/>
      <c r="AG13" s="437"/>
      <c r="AH13" s="437"/>
      <c r="AI13" s="437"/>
      <c r="AJ13" s="437"/>
      <c r="AK13" s="437"/>
      <c r="AL13" s="437"/>
      <c r="AM13" s="437"/>
      <c r="AN13" s="437"/>
      <c r="AO13" s="437"/>
      <c r="AP13" s="437"/>
      <c r="AQ13" s="437"/>
      <c r="AR13" s="437"/>
      <c r="AS13" s="437"/>
      <c r="AT13" s="437"/>
      <c r="AU13" s="437"/>
      <c r="AV13" s="437"/>
      <c r="AW13" s="437"/>
      <c r="AX13" s="437"/>
      <c r="AY13" s="437"/>
      <c r="AZ13" s="437"/>
      <c r="BA13" s="437"/>
      <c r="BB13" s="437"/>
      <c r="BC13" s="437"/>
    </row>
    <row r="14" spans="4:56" x14ac:dyDescent="0.3">
      <c r="D14" s="365"/>
      <c r="E14" s="744"/>
      <c r="F14" s="834"/>
      <c r="G14" s="840"/>
      <c r="H14" s="841"/>
      <c r="I14" s="841"/>
      <c r="J14" s="841"/>
      <c r="K14" s="841"/>
      <c r="L14" s="841"/>
      <c r="M14" s="841"/>
      <c r="N14" s="840"/>
      <c r="O14" s="1045"/>
      <c r="P14" s="430"/>
      <c r="Q14" s="431"/>
      <c r="R14" s="430"/>
      <c r="S14" s="430"/>
      <c r="T14" s="431"/>
      <c r="U14" s="432"/>
      <c r="V14" s="430"/>
      <c r="W14" s="430"/>
      <c r="X14" s="430"/>
      <c r="Y14" s="430"/>
      <c r="Z14" s="430"/>
      <c r="AA14" s="430"/>
      <c r="AB14" s="430"/>
      <c r="AC14" s="1049"/>
      <c r="AD14" s="195"/>
      <c r="AE14" s="195"/>
      <c r="AF14" s="195"/>
      <c r="AG14" s="195"/>
      <c r="AH14" s="195"/>
      <c r="AI14" s="195"/>
      <c r="AJ14" s="195"/>
      <c r="AK14" s="195"/>
      <c r="AL14" s="195"/>
      <c r="AM14" s="195"/>
      <c r="AN14" s="195"/>
      <c r="AO14" s="195"/>
      <c r="AP14" s="195"/>
      <c r="AQ14" s="195"/>
      <c r="AR14" s="195"/>
      <c r="AS14" s="195"/>
      <c r="AT14" s="195"/>
      <c r="AU14" s="195"/>
      <c r="AV14" s="195"/>
      <c r="AW14" s="195"/>
      <c r="AX14" s="195"/>
      <c r="AY14" s="195"/>
      <c r="AZ14" s="195"/>
      <c r="BA14" s="195"/>
      <c r="BB14" s="195"/>
      <c r="BC14" s="195"/>
    </row>
    <row r="15" spans="4:56" x14ac:dyDescent="0.3">
      <c r="D15" s="366" t="s">
        <v>423</v>
      </c>
      <c r="E15" s="112"/>
      <c r="F15" s="844"/>
      <c r="G15" s="841"/>
      <c r="H15" s="840"/>
      <c r="I15" s="840"/>
      <c r="J15" s="840"/>
      <c r="K15" s="840"/>
      <c r="L15" s="840"/>
      <c r="M15" s="840"/>
      <c r="N15" s="840"/>
      <c r="O15" s="1045"/>
      <c r="P15" s="428"/>
      <c r="Q15" s="428"/>
      <c r="R15" s="428"/>
      <c r="S15" s="428"/>
      <c r="T15" s="428"/>
      <c r="U15" s="428"/>
      <c r="V15" s="428"/>
      <c r="W15" s="428"/>
      <c r="X15" s="428"/>
      <c r="Y15" s="428"/>
      <c r="Z15" s="428"/>
      <c r="AA15" s="428"/>
      <c r="AB15" s="428"/>
      <c r="AC15" s="1046"/>
    </row>
    <row r="16" spans="4:56" s="434" customFormat="1" ht="14.5" x14ac:dyDescent="0.35">
      <c r="D16" s="418" t="s">
        <v>639</v>
      </c>
      <c r="E16" s="838"/>
      <c r="F16" s="1103">
        <f t="shared" ref="F16:X16" si="14">SUM(F17:F19)</f>
        <v>1890.1</v>
      </c>
      <c r="G16" s="677">
        <f t="shared" si="14"/>
        <v>1889.7999999999997</v>
      </c>
      <c r="H16" s="677">
        <f t="shared" si="14"/>
        <v>1893.3000000000002</v>
      </c>
      <c r="I16" s="677">
        <f t="shared" si="14"/>
        <v>1915.1999999999998</v>
      </c>
      <c r="J16" s="677">
        <f t="shared" si="14"/>
        <v>1858.8000000000002</v>
      </c>
      <c r="K16" s="677">
        <f t="shared" si="14"/>
        <v>1932.2</v>
      </c>
      <c r="L16" s="677">
        <f t="shared" si="14"/>
        <v>1943.7</v>
      </c>
      <c r="M16" s="677">
        <f t="shared" si="14"/>
        <v>1995.3000000000002</v>
      </c>
      <c r="N16" s="677">
        <f t="shared" si="14"/>
        <v>2066.8000000000002</v>
      </c>
      <c r="O16" s="1044">
        <f t="shared" si="14"/>
        <v>0</v>
      </c>
      <c r="P16" s="435" t="e">
        <f t="shared" si="14"/>
        <v>#DIV/0!</v>
      </c>
      <c r="Q16" s="435" t="e">
        <f t="shared" si="14"/>
        <v>#DIV/0!</v>
      </c>
      <c r="R16" s="435" t="e">
        <f t="shared" si="14"/>
        <v>#DIV/0!</v>
      </c>
      <c r="S16" s="435" t="e">
        <f t="shared" si="14"/>
        <v>#DIV/0!</v>
      </c>
      <c r="T16" s="435" t="e">
        <f t="shared" si="14"/>
        <v>#DIV/0!</v>
      </c>
      <c r="U16" s="435" t="e">
        <f t="shared" si="14"/>
        <v>#DIV/0!</v>
      </c>
      <c r="V16" s="435" t="e">
        <f t="shared" si="14"/>
        <v>#DIV/0!</v>
      </c>
      <c r="W16" s="435" t="e">
        <f t="shared" si="14"/>
        <v>#DIV/0!</v>
      </c>
      <c r="X16" s="435" t="e">
        <f t="shared" si="14"/>
        <v>#DIV/0!</v>
      </c>
      <c r="Y16" s="435" t="e">
        <f t="shared" ref="Y16" si="15">SUM(Y17:Y19)</f>
        <v>#DIV/0!</v>
      </c>
      <c r="Z16" s="435" t="e">
        <f t="shared" ref="Z16" si="16">SUM(Z17:Z19)</f>
        <v>#DIV/0!</v>
      </c>
      <c r="AA16" s="435" t="e">
        <f t="shared" ref="AA16" si="17">SUM(AA17:AA19)</f>
        <v>#DIV/0!</v>
      </c>
      <c r="AB16" s="435" t="e">
        <f t="shared" ref="AB16" si="18">SUM(AB17:AB19)</f>
        <v>#DIV/0!</v>
      </c>
      <c r="AC16" s="1050" t="e">
        <f t="shared" ref="AC16" si="19">SUM(AC17:AC19)</f>
        <v>#DIV/0!</v>
      </c>
    </row>
    <row r="17" spans="4:40" x14ac:dyDescent="0.3">
      <c r="D17" s="185" t="s">
        <v>571</v>
      </c>
      <c r="E17" s="112" t="s">
        <v>229</v>
      </c>
      <c r="F17" s="1102">
        <f>'Haver Pivoted'!GQ33</f>
        <v>520.9</v>
      </c>
      <c r="G17" s="843">
        <f>'Haver Pivoted'!GR33</f>
        <v>497.4</v>
      </c>
      <c r="H17" s="843">
        <f>'Haver Pivoted'!GS33</f>
        <v>494.7</v>
      </c>
      <c r="I17" s="843">
        <f>'Haver Pivoted'!GT33</f>
        <v>503.8</v>
      </c>
      <c r="J17" s="843">
        <f>'Haver Pivoted'!GU33</f>
        <v>517.5</v>
      </c>
      <c r="K17" s="843">
        <f>'Haver Pivoted'!GV33</f>
        <v>519.6</v>
      </c>
      <c r="L17" s="843">
        <f>'Haver Pivoted'!GW33</f>
        <v>522.79999999999995</v>
      </c>
      <c r="M17" s="843">
        <f>'Haver Pivoted'!GX33</f>
        <v>560.20000000000005</v>
      </c>
      <c r="N17" s="843">
        <f>'Haver Pivoted'!GY33</f>
        <v>586.4</v>
      </c>
      <c r="O17" s="1043">
        <f>'Haver Pivoted'!GZ33</f>
        <v>0</v>
      </c>
      <c r="P17" s="433" t="e">
        <f t="shared" ref="P17:AC17" si="20">P96*P71</f>
        <v>#DIV/0!</v>
      </c>
      <c r="Q17" s="433" t="e">
        <f t="shared" si="20"/>
        <v>#DIV/0!</v>
      </c>
      <c r="R17" s="433" t="e">
        <f t="shared" si="20"/>
        <v>#DIV/0!</v>
      </c>
      <c r="S17" s="433" t="e">
        <f t="shared" si="20"/>
        <v>#DIV/0!</v>
      </c>
      <c r="T17" s="433" t="e">
        <f t="shared" si="20"/>
        <v>#DIV/0!</v>
      </c>
      <c r="U17" s="433" t="e">
        <f t="shared" si="20"/>
        <v>#DIV/0!</v>
      </c>
      <c r="V17" s="433" t="e">
        <f t="shared" si="20"/>
        <v>#DIV/0!</v>
      </c>
      <c r="W17" s="433" t="e">
        <f t="shared" si="20"/>
        <v>#DIV/0!</v>
      </c>
      <c r="X17" s="433" t="e">
        <f t="shared" si="20"/>
        <v>#DIV/0!</v>
      </c>
      <c r="Y17" s="433" t="e">
        <f t="shared" si="20"/>
        <v>#DIV/0!</v>
      </c>
      <c r="Z17" s="433" t="e">
        <f t="shared" si="20"/>
        <v>#DIV/0!</v>
      </c>
      <c r="AA17" s="433" t="e">
        <f t="shared" si="20"/>
        <v>#DIV/0!</v>
      </c>
      <c r="AB17" s="433" t="e">
        <f t="shared" si="20"/>
        <v>#DIV/0!</v>
      </c>
      <c r="AC17" s="1051" t="e">
        <f t="shared" si="20"/>
        <v>#DIV/0!</v>
      </c>
    </row>
    <row r="18" spans="4:40" x14ac:dyDescent="0.3">
      <c r="D18" s="185" t="s">
        <v>572</v>
      </c>
      <c r="E18" s="112" t="s">
        <v>232</v>
      </c>
      <c r="F18" s="1102">
        <f>'Haver Pivoted'!GQ36</f>
        <v>20.5</v>
      </c>
      <c r="G18" s="843">
        <f>'Haver Pivoted'!GR36</f>
        <v>20.3</v>
      </c>
      <c r="H18" s="843">
        <f>'Haver Pivoted'!GS36</f>
        <v>20.2</v>
      </c>
      <c r="I18" s="843">
        <f>'Haver Pivoted'!GT36</f>
        <v>20.100000000000001</v>
      </c>
      <c r="J18" s="843">
        <f>'Haver Pivoted'!GU36</f>
        <v>19.100000000000001</v>
      </c>
      <c r="K18" s="843">
        <f>'Haver Pivoted'!GV36</f>
        <v>19.899999999999999</v>
      </c>
      <c r="L18" s="843">
        <f>'Haver Pivoted'!GW36</f>
        <v>20.5</v>
      </c>
      <c r="M18" s="843">
        <f>'Haver Pivoted'!GX36</f>
        <v>21.2</v>
      </c>
      <c r="N18" s="843">
        <f>'Haver Pivoted'!GY36</f>
        <v>21.9</v>
      </c>
      <c r="O18" s="1043">
        <f>'Haver Pivoted'!GZ36</f>
        <v>0</v>
      </c>
      <c r="P18" s="433" t="e">
        <f t="shared" ref="P18:AC18" si="21">P97*P74</f>
        <v>#VALUE!</v>
      </c>
      <c r="Q18" s="433" t="e">
        <f t="shared" si="21"/>
        <v>#VALUE!</v>
      </c>
      <c r="R18" s="433" t="e">
        <f t="shared" si="21"/>
        <v>#VALUE!</v>
      </c>
      <c r="S18" s="433" t="e">
        <f t="shared" si="21"/>
        <v>#VALUE!</v>
      </c>
      <c r="T18" s="433" t="e">
        <f t="shared" si="21"/>
        <v>#VALUE!</v>
      </c>
      <c r="U18" s="433" t="e">
        <f t="shared" si="21"/>
        <v>#VALUE!</v>
      </c>
      <c r="V18" s="433" t="e">
        <f t="shared" si="21"/>
        <v>#VALUE!</v>
      </c>
      <c r="W18" s="433" t="e">
        <f t="shared" si="21"/>
        <v>#VALUE!</v>
      </c>
      <c r="X18" s="433" t="e">
        <f t="shared" si="21"/>
        <v>#VALUE!</v>
      </c>
      <c r="Y18" s="433" t="e">
        <f t="shared" si="21"/>
        <v>#VALUE!</v>
      </c>
      <c r="Z18" s="433" t="e">
        <f t="shared" si="21"/>
        <v>#VALUE!</v>
      </c>
      <c r="AA18" s="433" t="e">
        <f t="shared" si="21"/>
        <v>#VALUE!</v>
      </c>
      <c r="AB18" s="433" t="e">
        <f t="shared" si="21"/>
        <v>#VALUE!</v>
      </c>
      <c r="AC18" s="1051" t="e">
        <f t="shared" si="21"/>
        <v>#VALUE!</v>
      </c>
    </row>
    <row r="19" spans="4:40" x14ac:dyDescent="0.3">
      <c r="D19" s="185" t="s">
        <v>570</v>
      </c>
      <c r="E19" s="112" t="s">
        <v>230</v>
      </c>
      <c r="F19" s="1102">
        <f>'Haver Pivoted'!GQ34</f>
        <v>1348.7</v>
      </c>
      <c r="G19" s="843">
        <f>'Haver Pivoted'!GR34</f>
        <v>1372.1</v>
      </c>
      <c r="H19" s="843">
        <f>'Haver Pivoted'!GS34</f>
        <v>1378.4</v>
      </c>
      <c r="I19" s="843">
        <f>'Haver Pivoted'!GT34</f>
        <v>1391.3</v>
      </c>
      <c r="J19" s="843">
        <f>'Haver Pivoted'!GU34</f>
        <v>1322.2</v>
      </c>
      <c r="K19" s="843">
        <f>'Haver Pivoted'!GV34</f>
        <v>1392.7</v>
      </c>
      <c r="L19" s="843">
        <f>'Haver Pivoted'!GW34</f>
        <v>1400.4</v>
      </c>
      <c r="M19" s="843">
        <f>'Haver Pivoted'!GX34</f>
        <v>1413.9</v>
      </c>
      <c r="N19" s="843">
        <f>'Haver Pivoted'!GY34</f>
        <v>1458.5</v>
      </c>
      <c r="O19" s="1043">
        <f>'Haver Pivoted'!GZ34</f>
        <v>0</v>
      </c>
      <c r="P19" s="433" t="e">
        <f t="shared" ref="P19:AC19" si="22">P98*P75</f>
        <v>#VALUE!</v>
      </c>
      <c r="Q19" s="433" t="e">
        <f t="shared" si="22"/>
        <v>#VALUE!</v>
      </c>
      <c r="R19" s="433" t="e">
        <f t="shared" si="22"/>
        <v>#VALUE!</v>
      </c>
      <c r="S19" s="433" t="e">
        <f t="shared" si="22"/>
        <v>#VALUE!</v>
      </c>
      <c r="T19" s="433" t="e">
        <f t="shared" si="22"/>
        <v>#VALUE!</v>
      </c>
      <c r="U19" s="433" t="e">
        <f t="shared" si="22"/>
        <v>#VALUE!</v>
      </c>
      <c r="V19" s="433" t="e">
        <f t="shared" si="22"/>
        <v>#VALUE!</v>
      </c>
      <c r="W19" s="433" t="e">
        <f t="shared" si="22"/>
        <v>#VALUE!</v>
      </c>
      <c r="X19" s="433" t="e">
        <f t="shared" si="22"/>
        <v>#VALUE!</v>
      </c>
      <c r="Y19" s="433" t="e">
        <f t="shared" si="22"/>
        <v>#VALUE!</v>
      </c>
      <c r="Z19" s="433" t="e">
        <f t="shared" si="22"/>
        <v>#VALUE!</v>
      </c>
      <c r="AA19" s="433" t="e">
        <f t="shared" si="22"/>
        <v>#VALUE!</v>
      </c>
      <c r="AB19" s="433" t="e">
        <f t="shared" si="22"/>
        <v>#VALUE!</v>
      </c>
      <c r="AC19" s="1051" t="e">
        <f t="shared" si="22"/>
        <v>#VALUE!</v>
      </c>
    </row>
    <row r="20" spans="4:40" s="434" customFormat="1" ht="14.5" x14ac:dyDescent="0.35">
      <c r="D20" s="438" t="s">
        <v>640</v>
      </c>
      <c r="E20" s="839" t="s">
        <v>231</v>
      </c>
      <c r="F20" s="1104">
        <f>'Haver Pivoted'!GQ35</f>
        <v>72.8</v>
      </c>
      <c r="G20" s="835">
        <f>'Haver Pivoted'!GR35</f>
        <v>73.099999999999994</v>
      </c>
      <c r="H20" s="835">
        <f>'Haver Pivoted'!GS35</f>
        <v>72.400000000000006</v>
      </c>
      <c r="I20" s="835">
        <f>'Haver Pivoted'!GT35</f>
        <v>66.5</v>
      </c>
      <c r="J20" s="835">
        <f>'Haver Pivoted'!GU35</f>
        <v>61.9</v>
      </c>
      <c r="K20" s="835">
        <f>'Haver Pivoted'!GV35</f>
        <v>76.8</v>
      </c>
      <c r="L20" s="835">
        <f>'Haver Pivoted'!GW35</f>
        <v>78.8</v>
      </c>
      <c r="M20" s="835">
        <f>'Haver Pivoted'!GX35</f>
        <v>85.5</v>
      </c>
      <c r="N20" s="835">
        <f>'Haver Pivoted'!GY35</f>
        <v>91.9</v>
      </c>
      <c r="O20" s="845">
        <f>'Haver Pivoted'!GZ35</f>
        <v>0</v>
      </c>
      <c r="P20" s="1052" t="e">
        <f t="shared" ref="P20:AC20" si="23">P99*P76</f>
        <v>#VALUE!</v>
      </c>
      <c r="Q20" s="1052" t="e">
        <f t="shared" si="23"/>
        <v>#VALUE!</v>
      </c>
      <c r="R20" s="1052" t="e">
        <f t="shared" si="23"/>
        <v>#VALUE!</v>
      </c>
      <c r="S20" s="1052" t="e">
        <f t="shared" si="23"/>
        <v>#VALUE!</v>
      </c>
      <c r="T20" s="1052" t="e">
        <f t="shared" si="23"/>
        <v>#VALUE!</v>
      </c>
      <c r="U20" s="1052" t="e">
        <f t="shared" si="23"/>
        <v>#VALUE!</v>
      </c>
      <c r="V20" s="1052" t="e">
        <f t="shared" si="23"/>
        <v>#VALUE!</v>
      </c>
      <c r="W20" s="1052" t="e">
        <f t="shared" si="23"/>
        <v>#VALUE!</v>
      </c>
      <c r="X20" s="1052" t="e">
        <f t="shared" si="23"/>
        <v>#VALUE!</v>
      </c>
      <c r="Y20" s="1052" t="e">
        <f t="shared" si="23"/>
        <v>#VALUE!</v>
      </c>
      <c r="Z20" s="1052" t="e">
        <f t="shared" si="23"/>
        <v>#VALUE!</v>
      </c>
      <c r="AA20" s="1052" t="e">
        <f t="shared" si="23"/>
        <v>#VALUE!</v>
      </c>
      <c r="AB20" s="1052" t="e">
        <f t="shared" si="23"/>
        <v>#VALUE!</v>
      </c>
      <c r="AC20" s="1053" t="e">
        <f t="shared" si="23"/>
        <v>#VALUE!</v>
      </c>
    </row>
    <row r="21" spans="4:40" s="678" customFormat="1" ht="14.5" x14ac:dyDescent="0.35">
      <c r="D21" s="674"/>
      <c r="E21" s="675"/>
      <c r="F21" s="676"/>
      <c r="G21" s="676"/>
      <c r="H21" s="677"/>
      <c r="I21" s="677"/>
      <c r="J21" s="677"/>
      <c r="K21" s="677"/>
      <c r="L21" s="677"/>
      <c r="M21" s="677"/>
      <c r="N21" s="677"/>
      <c r="O21" s="677"/>
      <c r="P21" s="677"/>
      <c r="Q21" s="677"/>
      <c r="R21" s="677"/>
      <c r="S21" s="677"/>
      <c r="T21" s="677"/>
      <c r="U21" s="677"/>
      <c r="V21" s="677"/>
      <c r="W21" s="677"/>
      <c r="X21" s="677"/>
      <c r="Y21" s="677"/>
    </row>
    <row r="22" spans="4:40" ht="41.5" customHeight="1" x14ac:dyDescent="0.35">
      <c r="D22" s="362"/>
      <c r="E22" s="362"/>
      <c r="F22" s="481"/>
      <c r="G22" s="481"/>
      <c r="H22" s="419"/>
      <c r="I22" s="419"/>
      <c r="J22" s="419"/>
      <c r="K22" s="419"/>
      <c r="L22" s="419"/>
      <c r="M22" s="132"/>
      <c r="N22" s="132"/>
      <c r="O22" s="37"/>
      <c r="P22" s="37"/>
      <c r="Q22" s="37"/>
      <c r="R22" s="37"/>
      <c r="S22" s="37"/>
      <c r="T22" s="37"/>
      <c r="U22" s="37"/>
      <c r="V22" s="37"/>
      <c r="W22" s="37"/>
      <c r="X22" s="37"/>
      <c r="Y22" s="37"/>
      <c r="Z22" s="37"/>
      <c r="AA22" s="37"/>
      <c r="AB22" s="37"/>
      <c r="AC22" s="37"/>
      <c r="AD22" s="419"/>
      <c r="AE22" s="419"/>
      <c r="AF22" s="419"/>
      <c r="AG22" s="419"/>
      <c r="AH22" s="419"/>
      <c r="AI22" s="419"/>
      <c r="AJ22" s="419"/>
      <c r="AK22" s="419"/>
      <c r="AL22" s="362"/>
      <c r="AM22" s="419"/>
      <c r="AN22" s="419"/>
    </row>
    <row r="23" spans="4:40" ht="30.5" customHeight="1" x14ac:dyDescent="0.3">
      <c r="D23" s="487" t="s">
        <v>1180</v>
      </c>
      <c r="E23" s="488">
        <v>2018</v>
      </c>
      <c r="F23" s="489">
        <v>2019</v>
      </c>
      <c r="G23" s="489">
        <v>2020</v>
      </c>
      <c r="H23" s="498">
        <v>2021</v>
      </c>
      <c r="I23" s="497">
        <v>2022</v>
      </c>
      <c r="J23" s="497">
        <v>2023</v>
      </c>
      <c r="K23" s="497">
        <v>2024</v>
      </c>
      <c r="L23" s="904">
        <v>2025</v>
      </c>
      <c r="M23" s="37"/>
      <c r="N23" s="946"/>
      <c r="O23" s="687"/>
      <c r="P23" s="37"/>
      <c r="Q23" s="37"/>
      <c r="R23" s="37"/>
      <c r="S23" s="37"/>
      <c r="T23" s="37"/>
      <c r="U23" s="37"/>
      <c r="V23" s="37"/>
      <c r="W23" s="37"/>
      <c r="X23" s="37"/>
      <c r="Y23" s="37"/>
      <c r="Z23" s="37"/>
      <c r="AA23" s="37"/>
      <c r="AB23" s="37"/>
      <c r="AC23" s="37"/>
    </row>
    <row r="24" spans="4:40" s="56" customFormat="1" ht="16.5" customHeight="1" x14ac:dyDescent="0.3">
      <c r="D24" s="1010" t="s">
        <v>641</v>
      </c>
      <c r="E24" s="997">
        <v>1683.5</v>
      </c>
      <c r="F24" s="998">
        <v>1717.9</v>
      </c>
      <c r="G24" s="1006">
        <v>1609</v>
      </c>
      <c r="H24" s="999">
        <v>1951.672</v>
      </c>
      <c r="I24" s="999">
        <v>2327.7150000000001</v>
      </c>
      <c r="J24" s="999">
        <v>2333.6329999999998</v>
      </c>
      <c r="K24" s="999">
        <v>2353.3359999999998</v>
      </c>
      <c r="L24" s="1000">
        <v>2383.1750000000002</v>
      </c>
      <c r="M24" s="1037" t="s">
        <v>1148</v>
      </c>
      <c r="N24" s="765"/>
      <c r="O24" s="761"/>
      <c r="P24" s="762"/>
      <c r="Q24" s="762"/>
      <c r="R24" s="762"/>
      <c r="S24" s="762"/>
      <c r="T24" s="762"/>
      <c r="U24" s="762"/>
      <c r="V24" s="762"/>
      <c r="W24" s="762"/>
      <c r="X24" s="722"/>
      <c r="Y24" s="760"/>
      <c r="Z24" s="763"/>
    </row>
    <row r="25" spans="4:40" s="56" customFormat="1" ht="16.5" customHeight="1" x14ac:dyDescent="0.3">
      <c r="D25" s="1010" t="s">
        <v>642</v>
      </c>
      <c r="E25" s="1001">
        <v>1170.7</v>
      </c>
      <c r="F25" s="1002">
        <v>1243.4000000000001</v>
      </c>
      <c r="G25" s="1007">
        <v>1310</v>
      </c>
      <c r="H25" s="467">
        <v>1345.5429999999999</v>
      </c>
      <c r="I25" s="467">
        <v>1391.2439999999999</v>
      </c>
      <c r="J25" s="467">
        <v>1503.952</v>
      </c>
      <c r="K25" s="467">
        <v>1549.5619999999999</v>
      </c>
      <c r="L25" s="956">
        <v>1588.4880000000001</v>
      </c>
      <c r="M25" s="760"/>
      <c r="N25" s="760"/>
      <c r="O25" s="761"/>
      <c r="P25" s="762"/>
      <c r="Q25" s="762"/>
      <c r="R25" s="762"/>
      <c r="S25" s="762"/>
      <c r="T25" s="762"/>
      <c r="U25" s="762"/>
      <c r="V25" s="762"/>
      <c r="W25" s="762"/>
      <c r="X25" s="722"/>
      <c r="Y25" s="760"/>
      <c r="Z25" s="763"/>
    </row>
    <row r="26" spans="4:40" s="56" customFormat="1" x14ac:dyDescent="0.3">
      <c r="D26" s="521" t="s">
        <v>1185</v>
      </c>
      <c r="E26" s="698">
        <f>E27+E28</f>
        <v>136.30000000000001</v>
      </c>
      <c r="F26" s="397">
        <f t="shared" ref="F26:G26" si="24">F27+F28</f>
        <v>170.6</v>
      </c>
      <c r="G26" s="1008">
        <f t="shared" si="24"/>
        <v>156</v>
      </c>
      <c r="H26" s="467">
        <f>H27+H28</f>
        <v>156</v>
      </c>
      <c r="I26" s="467">
        <f>I27+I28</f>
        <v>174</v>
      </c>
      <c r="J26" s="467">
        <f>J27+J28</f>
        <v>177</v>
      </c>
      <c r="K26" s="467">
        <f>K27+K28</f>
        <v>181</v>
      </c>
      <c r="L26" s="956">
        <f>L27+L28</f>
        <v>181</v>
      </c>
      <c r="N26" s="726"/>
      <c r="O26" s="766"/>
      <c r="P26" s="767"/>
      <c r="Q26" s="767"/>
      <c r="R26" s="767"/>
      <c r="S26" s="767"/>
      <c r="T26" s="767"/>
      <c r="U26" s="767"/>
      <c r="V26" s="767"/>
      <c r="W26" s="767"/>
      <c r="X26" s="766"/>
    </row>
    <row r="27" spans="4:40" s="56" customFormat="1" ht="16.5" customHeight="1" x14ac:dyDescent="0.3">
      <c r="D27" s="185" t="s">
        <v>1186</v>
      </c>
      <c r="E27" s="1001">
        <v>95</v>
      </c>
      <c r="F27" s="1002">
        <v>99.8</v>
      </c>
      <c r="G27" s="1007">
        <v>87</v>
      </c>
      <c r="H27" s="994">
        <v>75</v>
      </c>
      <c r="I27" s="994">
        <v>86</v>
      </c>
      <c r="J27" s="994">
        <v>88</v>
      </c>
      <c r="K27" s="994">
        <v>91</v>
      </c>
      <c r="L27" s="1003">
        <v>91</v>
      </c>
      <c r="M27" s="760"/>
      <c r="N27" s="760"/>
      <c r="O27" s="764"/>
      <c r="P27" s="762"/>
      <c r="Q27" s="762"/>
      <c r="R27" s="762"/>
      <c r="S27" s="762"/>
      <c r="T27" s="762"/>
      <c r="U27" s="762"/>
      <c r="V27" s="762"/>
      <c r="W27" s="762"/>
      <c r="X27" s="722"/>
      <c r="Y27" s="760"/>
      <c r="Z27" s="763"/>
    </row>
    <row r="28" spans="4:40" s="56" customFormat="1" ht="16.5" customHeight="1" x14ac:dyDescent="0.3">
      <c r="D28" s="185" t="s">
        <v>1187</v>
      </c>
      <c r="E28" s="1001">
        <v>41.3</v>
      </c>
      <c r="F28" s="1002">
        <v>70.8</v>
      </c>
      <c r="G28" s="1007">
        <v>69</v>
      </c>
      <c r="H28" s="994">
        <v>81</v>
      </c>
      <c r="I28" s="994">
        <v>88</v>
      </c>
      <c r="J28" s="994">
        <v>89</v>
      </c>
      <c r="K28" s="994">
        <v>90</v>
      </c>
      <c r="L28" s="1003">
        <v>90</v>
      </c>
      <c r="M28" s="760"/>
      <c r="N28" s="760"/>
      <c r="O28" s="764"/>
      <c r="P28" s="762"/>
      <c r="Q28" s="762"/>
      <c r="R28" s="762"/>
      <c r="S28" s="762"/>
      <c r="T28" s="762"/>
      <c r="U28" s="762"/>
      <c r="V28" s="762"/>
      <c r="W28" s="762"/>
      <c r="X28" s="722"/>
      <c r="Y28" s="760"/>
      <c r="Z28" s="763"/>
    </row>
    <row r="29" spans="4:40" ht="16.5" customHeight="1" x14ac:dyDescent="0.3">
      <c r="D29" s="1011" t="s">
        <v>643</v>
      </c>
      <c r="E29" s="1004">
        <v>204.7</v>
      </c>
      <c r="F29" s="1005">
        <v>230.2</v>
      </c>
      <c r="G29" s="1009">
        <v>212</v>
      </c>
      <c r="H29" s="995">
        <v>238.38800000000001</v>
      </c>
      <c r="I29" s="995">
        <v>316.697</v>
      </c>
      <c r="J29" s="995">
        <v>379.19200000000001</v>
      </c>
      <c r="K29" s="995">
        <v>389.55099999999999</v>
      </c>
      <c r="L29" s="996">
        <v>402.43099999999998</v>
      </c>
      <c r="M29" s="420"/>
      <c r="N29" s="420"/>
      <c r="O29" s="723"/>
      <c r="P29" s="724"/>
      <c r="Q29" s="724"/>
      <c r="R29" s="724"/>
      <c r="S29" s="724"/>
      <c r="T29" s="724"/>
      <c r="U29" s="724"/>
      <c r="V29" s="724"/>
      <c r="W29" s="724"/>
      <c r="X29" s="725"/>
      <c r="Y29" s="420"/>
      <c r="Z29" s="370"/>
    </row>
    <row r="30" spans="4:40" ht="16.5" customHeight="1" x14ac:dyDescent="0.3">
      <c r="D30" s="369"/>
      <c r="E30" s="422"/>
      <c r="F30" s="422"/>
      <c r="G30" s="420"/>
      <c r="H30" s="420"/>
      <c r="I30" s="420"/>
      <c r="J30" s="420"/>
      <c r="K30" s="420"/>
      <c r="L30" s="420"/>
      <c r="M30" s="420"/>
      <c r="N30" s="420"/>
      <c r="O30" s="725"/>
      <c r="P30" s="725"/>
      <c r="Q30" s="725"/>
      <c r="R30" s="725"/>
      <c r="S30" s="725"/>
      <c r="T30" s="725"/>
      <c r="U30" s="725"/>
      <c r="V30" s="725"/>
      <c r="W30" s="725"/>
      <c r="X30" s="725"/>
      <c r="Y30" s="420"/>
      <c r="Z30" s="370"/>
    </row>
    <row r="31" spans="4:40" x14ac:dyDescent="0.3">
      <c r="D31" s="483" t="s">
        <v>688</v>
      </c>
      <c r="E31" s="973">
        <v>2018</v>
      </c>
      <c r="F31" s="974">
        <v>2019</v>
      </c>
      <c r="G31" s="975">
        <v>2020</v>
      </c>
      <c r="H31" s="976">
        <v>2021</v>
      </c>
      <c r="I31" s="976">
        <v>2022</v>
      </c>
      <c r="J31" s="976">
        <v>2023</v>
      </c>
      <c r="K31" s="976">
        <v>2024</v>
      </c>
      <c r="L31" s="977">
        <v>2025</v>
      </c>
      <c r="O31" s="286" t="s">
        <v>644</v>
      </c>
    </row>
    <row r="32" spans="4:40" ht="14.5" customHeight="1" x14ac:dyDescent="0.3">
      <c r="D32" s="482" t="s">
        <v>641</v>
      </c>
      <c r="E32" s="368">
        <v>1622</v>
      </c>
      <c r="F32" s="368">
        <v>1687</v>
      </c>
      <c r="G32" s="421">
        <v>1695</v>
      </c>
      <c r="H32" s="978">
        <f>AVERAGE(L10:O10)</f>
        <v>1379.2750000000001</v>
      </c>
      <c r="I32" s="979">
        <f>AVERAGE(P10:S10)</f>
        <v>1526.0914755540712</v>
      </c>
      <c r="J32" s="979">
        <f>AVERAGE(T10:W10)</f>
        <v>2118.2711906994368</v>
      </c>
      <c r="K32" s="979">
        <f>AVERAGE(X10:AA10)</f>
        <v>2200.428676522532</v>
      </c>
      <c r="L32" s="980"/>
    </row>
    <row r="33" spans="4:20" x14ac:dyDescent="0.3">
      <c r="D33" s="482" t="s">
        <v>645</v>
      </c>
      <c r="E33" s="368">
        <v>1332</v>
      </c>
      <c r="F33" s="368">
        <v>1388</v>
      </c>
      <c r="G33" s="421">
        <v>1414</v>
      </c>
      <c r="H33" s="947">
        <f>AVERAGE(L11:O11)</f>
        <v>1136.5250000000001</v>
      </c>
      <c r="I33" s="948">
        <f>AVERAGE(P11:S11)</f>
        <v>1218.830295776886</v>
      </c>
      <c r="J33" s="948">
        <f>AVERAGE(T11:W11)</f>
        <v>1683.7082307019982</v>
      </c>
      <c r="K33" s="948">
        <f>AVERAGE(X11:AA11)</f>
        <v>1745.3371061936355</v>
      </c>
      <c r="L33" s="981"/>
      <c r="N33" s="516"/>
      <c r="O33" s="1461"/>
      <c r="P33" s="1461"/>
      <c r="Q33" s="1461"/>
      <c r="R33" s="1461"/>
    </row>
    <row r="34" spans="4:20" x14ac:dyDescent="0.3">
      <c r="D34" s="482" t="s">
        <v>646</v>
      </c>
      <c r="E34" s="368">
        <v>150</v>
      </c>
      <c r="F34" s="368">
        <v>175</v>
      </c>
      <c r="G34" s="358">
        <v>160</v>
      </c>
      <c r="H34" s="947">
        <f>AVERAGE(L12:O12)</f>
        <v>125.14999999999999</v>
      </c>
      <c r="I34" s="948">
        <f>AVERAGE(P12:S12)</f>
        <v>134.73574995432534</v>
      </c>
      <c r="J34" s="948">
        <f>AVERAGE(T12:W12)</f>
        <v>182.94510134688329</v>
      </c>
      <c r="K34" s="948">
        <f>AVERAGE(X12:AA12)</f>
        <v>188.48409478783</v>
      </c>
      <c r="L34" s="981"/>
      <c r="N34" s="516"/>
      <c r="O34" s="1461" t="s">
        <v>486</v>
      </c>
      <c r="P34" s="1461"/>
      <c r="Q34" s="1461"/>
      <c r="R34" s="1461"/>
    </row>
    <row r="35" spans="4:20" x14ac:dyDescent="0.3">
      <c r="D35" s="453" t="s">
        <v>509</v>
      </c>
      <c r="E35" s="186">
        <v>208</v>
      </c>
      <c r="F35" s="186">
        <v>219</v>
      </c>
      <c r="G35" s="423">
        <v>197</v>
      </c>
      <c r="H35" s="982">
        <f>AVERAGE(L13:O13)</f>
        <v>186.65</v>
      </c>
      <c r="I35" s="983">
        <f>AVERAGE(P13:S13)</f>
        <v>252.2560516963843</v>
      </c>
      <c r="J35" s="983">
        <f>AVERAGE(T13:W13)</f>
        <v>335.90121385946475</v>
      </c>
      <c r="K35" s="983">
        <f>AVERAGE(X13:AA13)</f>
        <v>333.45957308285347</v>
      </c>
      <c r="L35" s="984"/>
      <c r="N35" s="516"/>
      <c r="O35" s="363" t="s">
        <v>647</v>
      </c>
      <c r="P35" s="363" t="s">
        <v>648</v>
      </c>
      <c r="Q35" s="363" t="s">
        <v>649</v>
      </c>
      <c r="R35" s="363" t="s">
        <v>650</v>
      </c>
    </row>
    <row r="36" spans="4:20" ht="14.5" x14ac:dyDescent="0.35">
      <c r="D36" s="424"/>
      <c r="E36" s="368"/>
      <c r="F36" s="368"/>
      <c r="G36" s="368"/>
      <c r="H36" s="115"/>
      <c r="I36" s="115"/>
      <c r="J36" s="115"/>
      <c r="K36" s="115"/>
      <c r="L36" s="115"/>
      <c r="N36" s="286" t="s">
        <v>651</v>
      </c>
      <c r="O36" s="362">
        <v>2291.1</v>
      </c>
      <c r="P36" s="362">
        <v>2308.4</v>
      </c>
      <c r="Q36" s="362">
        <v>2338.6999999999998</v>
      </c>
      <c r="R36" s="362">
        <v>2350.6</v>
      </c>
    </row>
    <row r="37" spans="4:20" x14ac:dyDescent="0.3">
      <c r="D37" s="546" t="s">
        <v>1190</v>
      </c>
      <c r="E37" s="368"/>
      <c r="F37" s="368"/>
      <c r="G37" s="368"/>
      <c r="H37" s="115"/>
      <c r="I37" s="115"/>
      <c r="J37" s="115"/>
      <c r="K37" s="115"/>
      <c r="L37" s="115"/>
      <c r="P37" s="286">
        <f>P36/O36</f>
        <v>1.0075509580550828</v>
      </c>
      <c r="Q37" s="286">
        <f>Q36/P36</f>
        <v>1.0131259747010914</v>
      </c>
      <c r="R37" s="286">
        <f>R36/Q36</f>
        <v>1.0050882969170907</v>
      </c>
    </row>
    <row r="38" spans="4:20" x14ac:dyDescent="0.3">
      <c r="D38" s="484" t="s">
        <v>687</v>
      </c>
      <c r="E38" s="485">
        <v>2018</v>
      </c>
      <c r="F38" s="485">
        <v>2019</v>
      </c>
      <c r="G38" s="486">
        <v>2020</v>
      </c>
      <c r="H38" s="991">
        <v>2021</v>
      </c>
      <c r="I38" s="992">
        <v>2022</v>
      </c>
      <c r="J38" s="992">
        <v>2023</v>
      </c>
      <c r="K38" s="992">
        <v>2024</v>
      </c>
      <c r="L38" s="993">
        <v>2025</v>
      </c>
    </row>
    <row r="39" spans="4:20" x14ac:dyDescent="0.3">
      <c r="D39" s="482" t="s">
        <v>641</v>
      </c>
      <c r="E39" s="391">
        <f t="shared" ref="E39:G41" si="25">E32/E24</f>
        <v>0.96346896346896349</v>
      </c>
      <c r="F39" s="391">
        <f t="shared" si="25"/>
        <v>0.98201292275452579</v>
      </c>
      <c r="G39" s="405">
        <f t="shared" si="25"/>
        <v>1.0534493474207582</v>
      </c>
      <c r="H39" s="986">
        <f t="shared" ref="H39:K39" si="26">H32/H24</f>
        <v>0.70671455039576325</v>
      </c>
      <c r="I39" s="987">
        <f t="shared" si="26"/>
        <v>0.65561783790286654</v>
      </c>
      <c r="J39" s="987">
        <f t="shared" si="26"/>
        <v>0.90771393389596267</v>
      </c>
      <c r="K39" s="987">
        <f t="shared" si="26"/>
        <v>0.93502529027836745</v>
      </c>
      <c r="L39" s="1093"/>
      <c r="T39" s="220"/>
    </row>
    <row r="40" spans="4:20" x14ac:dyDescent="0.3">
      <c r="D40" s="482" t="s">
        <v>645</v>
      </c>
      <c r="E40" s="391">
        <f t="shared" si="25"/>
        <v>1.1377808148970701</v>
      </c>
      <c r="F40" s="391">
        <f t="shared" si="25"/>
        <v>1.1162940324915553</v>
      </c>
      <c r="G40" s="405">
        <f t="shared" si="25"/>
        <v>1.0793893129770993</v>
      </c>
      <c r="H40" s="988">
        <f t="shared" ref="H40:K40" si="27">H33/H25</f>
        <v>0.84465899640516895</v>
      </c>
      <c r="I40" s="985">
        <f t="shared" si="27"/>
        <v>0.87607227472455307</v>
      </c>
      <c r="J40" s="985">
        <f t="shared" si="27"/>
        <v>1.1195225849641466</v>
      </c>
      <c r="K40" s="985">
        <f t="shared" si="27"/>
        <v>1.1263422219915276</v>
      </c>
      <c r="L40" s="981"/>
    </row>
    <row r="41" spans="4:20" x14ac:dyDescent="0.3">
      <c r="D41" s="482" t="s">
        <v>646</v>
      </c>
      <c r="E41" s="391">
        <f t="shared" si="25"/>
        <v>1.1005135730007336</v>
      </c>
      <c r="F41" s="391">
        <f t="shared" si="25"/>
        <v>1.0257913247362251</v>
      </c>
      <c r="G41" s="391">
        <f t="shared" si="25"/>
        <v>1.0256410256410255</v>
      </c>
      <c r="H41" s="988">
        <f t="shared" ref="H41:K41" si="28">H34/H26</f>
        <v>0.80224358974358967</v>
      </c>
      <c r="I41" s="985">
        <f t="shared" si="28"/>
        <v>0.77434339054209966</v>
      </c>
      <c r="J41" s="985">
        <f t="shared" si="28"/>
        <v>1.0335881432027305</v>
      </c>
      <c r="K41" s="985">
        <f t="shared" si="28"/>
        <v>1.0413485899880111</v>
      </c>
      <c r="L41" s="981"/>
    </row>
    <row r="42" spans="4:20" x14ac:dyDescent="0.3">
      <c r="D42" s="453" t="s">
        <v>509</v>
      </c>
      <c r="E42" s="408">
        <f>E35/E29</f>
        <v>1.0161211529066927</v>
      </c>
      <c r="F42" s="408">
        <f>F35/F29</f>
        <v>0.95134665508253702</v>
      </c>
      <c r="G42" s="408">
        <f>G35/G29</f>
        <v>0.92924528301886788</v>
      </c>
      <c r="H42" s="989">
        <f t="shared" ref="H42:K42" si="29">H35/H29</f>
        <v>0.78296726345285839</v>
      </c>
      <c r="I42" s="990">
        <f t="shared" si="29"/>
        <v>0.79652175958845306</v>
      </c>
      <c r="J42" s="990">
        <f t="shared" si="29"/>
        <v>0.88583412587677146</v>
      </c>
      <c r="K42" s="990">
        <f t="shared" si="29"/>
        <v>0.85601005537876551</v>
      </c>
      <c r="L42" s="984"/>
    </row>
    <row r="44" spans="4:20" x14ac:dyDescent="0.3">
      <c r="D44" s="424"/>
      <c r="E44" s="368"/>
      <c r="F44" s="368"/>
      <c r="G44" s="368"/>
    </row>
    <row r="45" spans="4:20" x14ac:dyDescent="0.3">
      <c r="D45" s="286" t="s">
        <v>702</v>
      </c>
    </row>
    <row r="46" spans="4:20" x14ac:dyDescent="0.3">
      <c r="D46" s="451" t="s">
        <v>1189</v>
      </c>
      <c r="E46" s="973">
        <v>2018</v>
      </c>
      <c r="F46" s="1027">
        <v>2019</v>
      </c>
      <c r="G46" s="1027">
        <v>2020</v>
      </c>
      <c r="H46" s="1028">
        <v>2021</v>
      </c>
      <c r="I46" s="1029">
        <v>2022</v>
      </c>
      <c r="J46" s="1029">
        <v>2023</v>
      </c>
      <c r="K46" s="1029">
        <v>2024</v>
      </c>
      <c r="L46" s="1030">
        <v>2025</v>
      </c>
    </row>
    <row r="47" spans="4:20" x14ac:dyDescent="0.3">
      <c r="D47" s="1038" t="s">
        <v>1188</v>
      </c>
      <c r="E47" s="698">
        <v>14016.099999999999</v>
      </c>
      <c r="F47" s="397">
        <v>14604.2</v>
      </c>
      <c r="G47" s="496">
        <v>14711.300000000001</v>
      </c>
      <c r="H47" s="495">
        <v>15405.2</v>
      </c>
      <c r="I47" s="495">
        <v>16319.2</v>
      </c>
      <c r="J47" s="495">
        <v>17105.099999999999</v>
      </c>
      <c r="K47" s="495">
        <v>17768.5</v>
      </c>
      <c r="L47" s="425">
        <v>18434.599999999999</v>
      </c>
    </row>
    <row r="48" spans="4:20" x14ac:dyDescent="0.3">
      <c r="D48" s="1038" t="s">
        <v>1191</v>
      </c>
      <c r="E48" s="187">
        <v>8804</v>
      </c>
      <c r="F48" s="47">
        <v>9209</v>
      </c>
      <c r="G48" s="496">
        <v>9300</v>
      </c>
      <c r="H48" s="495">
        <v>9843</v>
      </c>
      <c r="I48" s="495">
        <v>10541</v>
      </c>
      <c r="J48" s="495">
        <v>10992</v>
      </c>
      <c r="K48" s="495">
        <v>11395</v>
      </c>
      <c r="L48" s="425">
        <v>11808</v>
      </c>
    </row>
    <row r="49" spans="4:25" x14ac:dyDescent="0.3">
      <c r="D49" s="1038" t="s">
        <v>1192</v>
      </c>
      <c r="E49" s="187">
        <v>13844</v>
      </c>
      <c r="F49" s="47">
        <v>14403</v>
      </c>
      <c r="G49" s="496">
        <v>14201</v>
      </c>
      <c r="H49" s="495">
        <v>15238</v>
      </c>
      <c r="I49" s="495">
        <v>16381</v>
      </c>
      <c r="J49" s="495">
        <v>17184</v>
      </c>
      <c r="K49" s="495">
        <v>17840</v>
      </c>
      <c r="L49" s="425">
        <v>18477</v>
      </c>
    </row>
    <row r="50" spans="4:25" x14ac:dyDescent="0.3">
      <c r="D50" s="1039" t="s">
        <v>1193</v>
      </c>
      <c r="E50" s="939">
        <v>2211</v>
      </c>
      <c r="F50" s="940">
        <v>2243</v>
      </c>
      <c r="G50" s="941">
        <v>2125</v>
      </c>
      <c r="H50" s="942">
        <v>2616</v>
      </c>
      <c r="I50" s="942">
        <v>2996</v>
      </c>
      <c r="J50" s="942">
        <v>2989</v>
      </c>
      <c r="K50" s="942">
        <v>2967</v>
      </c>
      <c r="L50" s="943">
        <v>3017</v>
      </c>
    </row>
    <row r="51" spans="4:25" s="56" customFormat="1" x14ac:dyDescent="0.3"/>
    <row r="53" spans="4:25" x14ac:dyDescent="0.3">
      <c r="D53" s="286" t="s">
        <v>703</v>
      </c>
    </row>
    <row r="54" spans="4:25" x14ac:dyDescent="0.3">
      <c r="D54" s="483" t="s">
        <v>652</v>
      </c>
      <c r="E54" s="333">
        <v>2018</v>
      </c>
      <c r="F54" s="768">
        <v>2019</v>
      </c>
      <c r="G54" s="768">
        <v>2020</v>
      </c>
      <c r="H54" s="1023">
        <v>2021</v>
      </c>
      <c r="I54" s="769">
        <v>2022</v>
      </c>
      <c r="J54" s="769">
        <v>2023</v>
      </c>
      <c r="K54" s="769">
        <v>2024</v>
      </c>
      <c r="L54" s="1024">
        <v>2025</v>
      </c>
    </row>
    <row r="55" spans="4:25" x14ac:dyDescent="0.3">
      <c r="D55" s="1040" t="s">
        <v>641</v>
      </c>
      <c r="E55" s="1031">
        <f>E24/E47</f>
        <v>0.12011187134794987</v>
      </c>
      <c r="F55" s="1032">
        <f t="shared" ref="F55:L55" si="30">F24/F47</f>
        <v>0.11763054463784391</v>
      </c>
      <c r="G55" s="1034">
        <f t="shared" si="30"/>
        <v>0.10937170746297063</v>
      </c>
      <c r="H55" s="936">
        <f t="shared" si="30"/>
        <v>0.12668916989068627</v>
      </c>
      <c r="I55" s="936">
        <f t="shared" si="30"/>
        <v>0.14263658757782244</v>
      </c>
      <c r="J55" s="936">
        <f t="shared" si="30"/>
        <v>0.1364290767081163</v>
      </c>
      <c r="K55" s="936">
        <f t="shared" si="30"/>
        <v>0.13244426935306863</v>
      </c>
      <c r="L55" s="1026">
        <f t="shared" si="30"/>
        <v>0.12927728293534985</v>
      </c>
    </row>
    <row r="56" spans="4:25" x14ac:dyDescent="0.3">
      <c r="D56" s="1040" t="s">
        <v>642</v>
      </c>
      <c r="E56" s="1033">
        <f t="shared" ref="E56:L56" si="31">E25/E48</f>
        <v>0.13297364834166289</v>
      </c>
      <c r="F56" s="494">
        <f t="shared" si="31"/>
        <v>0.13502008904332718</v>
      </c>
      <c r="G56" s="1035">
        <f t="shared" si="31"/>
        <v>0.14086021505376345</v>
      </c>
      <c r="H56" s="501">
        <f t="shared" si="31"/>
        <v>0.13670049781570659</v>
      </c>
      <c r="I56" s="501">
        <f t="shared" si="31"/>
        <v>0.13198406223318471</v>
      </c>
      <c r="J56" s="501">
        <f t="shared" si="31"/>
        <v>0.13682241630276565</v>
      </c>
      <c r="K56" s="501">
        <f t="shared" si="31"/>
        <v>0.13598613426941641</v>
      </c>
      <c r="L56" s="937">
        <f t="shared" si="31"/>
        <v>0.13452642276422766</v>
      </c>
    </row>
    <row r="57" spans="4:25" x14ac:dyDescent="0.3">
      <c r="D57" s="1038" t="s">
        <v>653</v>
      </c>
      <c r="E57" s="1033">
        <f t="shared" ref="E57:L57" si="32">E26/E49</f>
        <v>9.8454203987286912E-3</v>
      </c>
      <c r="F57" s="494">
        <f t="shared" si="32"/>
        <v>1.1844754565021176E-2</v>
      </c>
      <c r="G57" s="1035">
        <f t="shared" si="32"/>
        <v>1.0985141891416098E-2</v>
      </c>
      <c r="H57" s="501">
        <f t="shared" si="32"/>
        <v>1.0237563984774906E-2</v>
      </c>
      <c r="I57" s="501">
        <f t="shared" si="32"/>
        <v>1.0622062145168183E-2</v>
      </c>
      <c r="J57" s="501">
        <f t="shared" si="32"/>
        <v>1.0300279329608938E-2</v>
      </c>
      <c r="K57" s="501">
        <f t="shared" si="32"/>
        <v>1.0145739910313901E-2</v>
      </c>
      <c r="L57" s="937">
        <f t="shared" si="32"/>
        <v>9.7959625480326887E-3</v>
      </c>
    </row>
    <row r="58" spans="4:25" x14ac:dyDescent="0.3">
      <c r="D58" s="1041" t="s">
        <v>643</v>
      </c>
      <c r="E58" s="938">
        <f>E29/E50</f>
        <v>9.258254183627318E-2</v>
      </c>
      <c r="F58" s="380">
        <f t="shared" ref="F58:L58" si="33">F29/F50</f>
        <v>0.10263040570664288</v>
      </c>
      <c r="G58" s="1036">
        <f t="shared" si="33"/>
        <v>9.9764705882352936E-2</v>
      </c>
      <c r="H58" s="382">
        <f t="shared" si="33"/>
        <v>9.112691131498471E-2</v>
      </c>
      <c r="I58" s="382">
        <f t="shared" si="33"/>
        <v>0.10570660881174899</v>
      </c>
      <c r="J58" s="382">
        <f t="shared" si="33"/>
        <v>0.12686249581799933</v>
      </c>
      <c r="K58" s="382">
        <f t="shared" si="33"/>
        <v>0.13129457364341085</v>
      </c>
      <c r="L58" s="383">
        <f t="shared" si="33"/>
        <v>0.13338780245276766</v>
      </c>
    </row>
    <row r="60" spans="4:25" x14ac:dyDescent="0.3">
      <c r="D60" s="286" t="s">
        <v>1194</v>
      </c>
    </row>
    <row r="61" spans="4:25" x14ac:dyDescent="0.3">
      <c r="D61" s="1096" t="s">
        <v>398</v>
      </c>
    </row>
    <row r="62" spans="4:25" x14ac:dyDescent="0.3">
      <c r="D62" s="483" t="s">
        <v>654</v>
      </c>
      <c r="E62" s="485">
        <v>2018</v>
      </c>
      <c r="F62" s="489">
        <v>2019</v>
      </c>
      <c r="G62" s="489">
        <v>2020</v>
      </c>
      <c r="H62" s="499">
        <v>2021</v>
      </c>
      <c r="I62" s="490">
        <v>2022</v>
      </c>
      <c r="J62" s="490">
        <v>2023</v>
      </c>
      <c r="K62" s="490">
        <v>2024</v>
      </c>
      <c r="L62" s="491">
        <v>2025</v>
      </c>
    </row>
    <row r="63" spans="4:25" ht="20" customHeight="1" x14ac:dyDescent="0.3">
      <c r="D63" s="492" t="s">
        <v>641</v>
      </c>
      <c r="E63" s="1031">
        <f t="shared" ref="E63:G66" si="34">E55*E39</f>
        <v>0.11572406018792676</v>
      </c>
      <c r="F63" s="1032">
        <f t="shared" si="34"/>
        <v>0.11551471494501581</v>
      </c>
      <c r="G63" s="1032">
        <f t="shared" si="34"/>
        <v>0.11521755385316049</v>
      </c>
      <c r="H63" s="1025">
        <f>N82</f>
        <v>0.12383839292021759</v>
      </c>
      <c r="I63" s="936">
        <f>H63</f>
        <v>0.12383839292021759</v>
      </c>
      <c r="J63" s="936">
        <f t="shared" ref="J63:L63" si="35">I63</f>
        <v>0.12383839292021759</v>
      </c>
      <c r="K63" s="936">
        <f t="shared" si="35"/>
        <v>0.12383839292021759</v>
      </c>
      <c r="L63" s="1026">
        <f t="shared" si="35"/>
        <v>0.12383839292021759</v>
      </c>
      <c r="M63" s="1055"/>
      <c r="N63" s="1054"/>
      <c r="O63" s="426"/>
      <c r="P63" s="426"/>
      <c r="Q63" s="426"/>
      <c r="R63" s="426"/>
      <c r="S63" s="426"/>
      <c r="T63" s="426"/>
      <c r="U63" s="426"/>
      <c r="V63" s="426"/>
      <c r="W63" s="426"/>
      <c r="X63" s="426"/>
      <c r="Y63" s="426"/>
    </row>
    <row r="64" spans="4:25" ht="18.5" customHeight="1" x14ac:dyDescent="0.3">
      <c r="D64" s="492" t="s">
        <v>642</v>
      </c>
      <c r="E64" s="1033">
        <f t="shared" si="34"/>
        <v>0.15129486597001363</v>
      </c>
      <c r="F64" s="494">
        <f t="shared" si="34"/>
        <v>0.15072211966554458</v>
      </c>
      <c r="G64" s="494">
        <f t="shared" si="34"/>
        <v>0.1520430107526882</v>
      </c>
      <c r="H64" s="500">
        <f>N83</f>
        <v>0.1531723014580271</v>
      </c>
      <c r="I64" s="501">
        <f>H64</f>
        <v>0.1531723014580271</v>
      </c>
      <c r="J64" s="501">
        <f>I64</f>
        <v>0.1531723014580271</v>
      </c>
      <c r="K64" s="501">
        <f t="shared" ref="K64:L64" si="36">J64</f>
        <v>0.1531723014580271</v>
      </c>
      <c r="L64" s="937">
        <f t="shared" si="36"/>
        <v>0.1531723014580271</v>
      </c>
      <c r="M64" s="1055"/>
      <c r="N64" s="1054"/>
      <c r="O64" s="426"/>
      <c r="P64" s="426"/>
      <c r="Q64" s="426"/>
      <c r="R64" s="426"/>
      <c r="S64" s="426"/>
      <c r="T64" s="426"/>
      <c r="U64" s="426"/>
      <c r="V64" s="426"/>
      <c r="W64" s="426"/>
      <c r="X64" s="426"/>
      <c r="Y64" s="426"/>
    </row>
    <row r="65" spans="4:32" ht="19" customHeight="1" x14ac:dyDescent="0.3">
      <c r="D65" s="482" t="s">
        <v>646</v>
      </c>
      <c r="E65" s="1033">
        <f t="shared" si="34"/>
        <v>1.0835018780699219E-2</v>
      </c>
      <c r="F65" s="494">
        <f t="shared" si="34"/>
        <v>1.2150246476428523E-2</v>
      </c>
      <c r="G65" s="494">
        <f t="shared" si="34"/>
        <v>1.1266812196324201E-2</v>
      </c>
      <c r="H65" s="500">
        <f>N84</f>
        <v>1.1344639689649452E-2</v>
      </c>
      <c r="I65" s="501">
        <f>AVERAGE($F41:$G41)*I57</f>
        <v>1.0895220956157794E-2</v>
      </c>
      <c r="J65" s="501">
        <f>AVERAGE($F41:$G41)*J57</f>
        <v>1.056516311734094E-2</v>
      </c>
      <c r="K65" s="501">
        <f>J65</f>
        <v>1.056516311734094E-2</v>
      </c>
      <c r="L65" s="937">
        <f>K65</f>
        <v>1.056516311734094E-2</v>
      </c>
      <c r="M65" s="1055"/>
      <c r="N65" s="1054"/>
      <c r="O65" s="426"/>
      <c r="P65" s="426"/>
      <c r="Q65" s="426"/>
      <c r="R65" s="426"/>
      <c r="S65" s="426"/>
      <c r="T65" s="426"/>
      <c r="U65" s="426"/>
      <c r="V65" s="426"/>
      <c r="W65" s="426"/>
      <c r="X65" s="426"/>
      <c r="Y65" s="426"/>
    </row>
    <row r="66" spans="4:32" ht="19" customHeight="1" x14ac:dyDescent="0.3">
      <c r="D66" s="493" t="s">
        <v>643</v>
      </c>
      <c r="E66" s="938">
        <f t="shared" si="34"/>
        <v>9.4075079149706017E-2</v>
      </c>
      <c r="F66" s="380">
        <f t="shared" si="34"/>
        <v>9.7637093178778417E-2</v>
      </c>
      <c r="G66" s="380">
        <f t="shared" si="34"/>
        <v>9.2705882352941166E-2</v>
      </c>
      <c r="H66" s="381">
        <f>M85</f>
        <v>0.11817745803357314</v>
      </c>
      <c r="I66" s="382">
        <f>N85</f>
        <v>0.11238852826749134</v>
      </c>
      <c r="J66" s="382">
        <f>I66</f>
        <v>0.11238852826749134</v>
      </c>
      <c r="K66" s="382">
        <f>J66</f>
        <v>0.11238852826749134</v>
      </c>
      <c r="L66" s="383">
        <f>K66</f>
        <v>0.11238852826749134</v>
      </c>
      <c r="M66" s="1055"/>
      <c r="N66" s="1054"/>
      <c r="O66" s="426"/>
      <c r="P66" s="426"/>
      <c r="Q66" s="426"/>
      <c r="R66" s="426"/>
      <c r="S66" s="426"/>
      <c r="T66" s="426"/>
      <c r="U66" s="426"/>
      <c r="V66" s="426"/>
      <c r="W66" s="426"/>
      <c r="X66" s="426"/>
      <c r="Y66" s="426"/>
    </row>
    <row r="67" spans="4:32" x14ac:dyDescent="0.3">
      <c r="E67" s="944"/>
      <c r="F67" s="944"/>
      <c r="G67" s="944"/>
      <c r="H67" s="944"/>
      <c r="I67" s="944"/>
      <c r="J67" s="944"/>
      <c r="K67" s="944"/>
      <c r="L67" s="944"/>
    </row>
    <row r="68" spans="4:32" x14ac:dyDescent="0.3">
      <c r="D68" s="1095" t="s">
        <v>399</v>
      </c>
      <c r="E68" s="426"/>
      <c r="F68" s="426"/>
      <c r="G68" s="426"/>
      <c r="H68" s="426"/>
      <c r="I68" s="426"/>
      <c r="J68" s="426"/>
      <c r="K68" s="426"/>
      <c r="L68" s="494"/>
      <c r="M68" s="426"/>
      <c r="N68" s="426"/>
      <c r="O68" s="426"/>
      <c r="P68" s="426"/>
      <c r="Q68" s="426"/>
      <c r="R68" s="426"/>
      <c r="S68" s="426"/>
      <c r="T68" s="426"/>
      <c r="U68" s="426"/>
      <c r="V68" s="426"/>
      <c r="W68" s="426"/>
      <c r="X68" s="426"/>
      <c r="Y68" s="426"/>
    </row>
    <row r="69" spans="4:32" ht="14.5" customHeight="1" x14ac:dyDescent="0.3">
      <c r="D69" s="1455" t="s">
        <v>1204</v>
      </c>
      <c r="E69" s="1456"/>
      <c r="F69" s="1335">
        <v>2019</v>
      </c>
      <c r="G69" s="1336"/>
      <c r="H69" s="1337"/>
      <c r="I69" s="1336">
        <v>2020</v>
      </c>
      <c r="J69" s="1336"/>
      <c r="K69" s="1336"/>
      <c r="L69" s="1336"/>
      <c r="M69" s="1335">
        <v>2021</v>
      </c>
      <c r="N69" s="1336"/>
      <c r="O69" s="1337"/>
      <c r="P69" s="1198">
        <v>2021</v>
      </c>
      <c r="Q69" s="1343">
        <v>2022</v>
      </c>
      <c r="R69" s="1344"/>
      <c r="S69" s="1344"/>
      <c r="T69" s="1345"/>
      <c r="U69" s="1440">
        <v>2023</v>
      </c>
      <c r="V69" s="1441"/>
      <c r="W69" s="1441"/>
      <c r="X69" s="1441"/>
      <c r="Y69" s="1343">
        <v>2024</v>
      </c>
      <c r="Z69" s="1344"/>
      <c r="AA69" s="1344"/>
      <c r="AB69" s="1344"/>
      <c r="AC69" s="439">
        <v>2025</v>
      </c>
    </row>
    <row r="70" spans="4:32" x14ac:dyDescent="0.3">
      <c r="D70" s="1466"/>
      <c r="E70" s="1467"/>
      <c r="F70" s="211" t="s">
        <v>136</v>
      </c>
      <c r="G70" s="189" t="s">
        <v>137</v>
      </c>
      <c r="H70" s="1056" t="s">
        <v>138</v>
      </c>
      <c r="I70" s="190" t="s">
        <v>135</v>
      </c>
      <c r="J70" s="190" t="s">
        <v>136</v>
      </c>
      <c r="K70" s="190" t="s">
        <v>137</v>
      </c>
      <c r="L70" s="190" t="s">
        <v>138</v>
      </c>
      <c r="M70" s="205" t="s">
        <v>135</v>
      </c>
      <c r="N70" s="190" t="s">
        <v>136</v>
      </c>
      <c r="O70" s="1056" t="s">
        <v>137</v>
      </c>
      <c r="P70" s="66" t="s">
        <v>138</v>
      </c>
      <c r="Q70" s="63" t="s">
        <v>135</v>
      </c>
      <c r="R70" s="64" t="s">
        <v>136</v>
      </c>
      <c r="S70" s="64" t="s">
        <v>137</v>
      </c>
      <c r="T70" s="64" t="s">
        <v>138</v>
      </c>
      <c r="U70" s="63" t="s">
        <v>135</v>
      </c>
      <c r="V70" s="64" t="s">
        <v>136</v>
      </c>
      <c r="W70" s="64" t="s">
        <v>137</v>
      </c>
      <c r="X70" s="64" t="s">
        <v>138</v>
      </c>
      <c r="Y70" s="63" t="s">
        <v>135</v>
      </c>
      <c r="Z70" s="634" t="s">
        <v>136</v>
      </c>
      <c r="AA70" s="64" t="s">
        <v>137</v>
      </c>
      <c r="AB70" s="64" t="s">
        <v>138</v>
      </c>
      <c r="AC70" s="66" t="s">
        <v>135</v>
      </c>
    </row>
    <row r="71" spans="4:32" x14ac:dyDescent="0.3">
      <c r="D71" s="1060" t="s">
        <v>1188</v>
      </c>
      <c r="E71" s="772"/>
      <c r="F71" s="1057">
        <f>F72+F73</f>
        <v>14660.3</v>
      </c>
      <c r="G71" s="1058">
        <f t="shared" ref="G71:AC71" si="37">G72+G73</f>
        <v>14748</v>
      </c>
      <c r="H71" s="1058">
        <f t="shared" si="37"/>
        <v>14896.1</v>
      </c>
      <c r="I71" s="1058">
        <f t="shared" si="37"/>
        <v>15018.7</v>
      </c>
      <c r="J71" s="1058">
        <f t="shared" si="37"/>
        <v>14127</v>
      </c>
      <c r="K71" s="1058">
        <f t="shared" si="37"/>
        <v>14803.099999999999</v>
      </c>
      <c r="L71" s="1058">
        <f t="shared" si="37"/>
        <v>15014.2</v>
      </c>
      <c r="M71" s="1058">
        <f t="shared" si="37"/>
        <v>15152.900000000001</v>
      </c>
      <c r="N71" s="1058">
        <f t="shared" si="37"/>
        <v>15654.4</v>
      </c>
      <c r="O71" s="1059">
        <f t="shared" si="37"/>
        <v>15799.3</v>
      </c>
      <c r="P71" s="1074">
        <f t="shared" si="37"/>
        <v>15983.8</v>
      </c>
      <c r="Q71" s="1074">
        <f t="shared" si="37"/>
        <v>16211.099999999999</v>
      </c>
      <c r="R71" s="1074">
        <f t="shared" si="37"/>
        <v>16437.099999999999</v>
      </c>
      <c r="S71" s="1074">
        <f t="shared" si="37"/>
        <v>16644.8</v>
      </c>
      <c r="T71" s="1074">
        <f t="shared" si="37"/>
        <v>16837.7</v>
      </c>
      <c r="U71" s="1074">
        <f t="shared" si="37"/>
        <v>17019.599999999999</v>
      </c>
      <c r="V71" s="1074">
        <f t="shared" si="37"/>
        <v>17196</v>
      </c>
      <c r="W71" s="1074">
        <f t="shared" si="37"/>
        <v>17367.2</v>
      </c>
      <c r="X71" s="1074">
        <f t="shared" si="37"/>
        <v>17530.099999999999</v>
      </c>
      <c r="Y71" s="1074">
        <f t="shared" si="37"/>
        <v>17691.900000000001</v>
      </c>
      <c r="Z71" s="1074">
        <f t="shared" si="37"/>
        <v>17844.8</v>
      </c>
      <c r="AA71" s="1074">
        <f t="shared" si="37"/>
        <v>18007.400000000001</v>
      </c>
      <c r="AB71" s="1074">
        <f t="shared" si="37"/>
        <v>18172.900000000001</v>
      </c>
      <c r="AC71" s="1075">
        <f t="shared" si="37"/>
        <v>18346.099999999999</v>
      </c>
    </row>
    <row r="72" spans="4:32" ht="28" x14ac:dyDescent="0.3">
      <c r="D72" s="162" t="s">
        <v>1196</v>
      </c>
      <c r="E72" s="771" t="s">
        <v>1198</v>
      </c>
      <c r="F72" s="852">
        <v>9274.9</v>
      </c>
      <c r="G72" s="596">
        <v>9311.2999999999993</v>
      </c>
      <c r="H72" s="596">
        <v>9422.5</v>
      </c>
      <c r="I72" s="596">
        <v>9526.1</v>
      </c>
      <c r="J72" s="596">
        <v>8908.7999999999993</v>
      </c>
      <c r="K72" s="596">
        <v>9343.2999999999993</v>
      </c>
      <c r="L72" s="596">
        <v>9546</v>
      </c>
      <c r="M72" s="596">
        <v>9702.2000000000007</v>
      </c>
      <c r="N72" s="596">
        <v>9950.4</v>
      </c>
      <c r="O72" s="1078">
        <v>10175.1</v>
      </c>
      <c r="P72" s="467">
        <v>10336.6</v>
      </c>
      <c r="Q72" s="467">
        <v>10484.299999999999</v>
      </c>
      <c r="R72" s="467">
        <v>10614</v>
      </c>
      <c r="S72" s="467">
        <v>10730.6</v>
      </c>
      <c r="T72" s="467">
        <v>10841</v>
      </c>
      <c r="U72" s="467">
        <v>10942.9</v>
      </c>
      <c r="V72" s="467">
        <v>11042.2</v>
      </c>
      <c r="W72" s="467">
        <v>11143.2</v>
      </c>
      <c r="X72" s="467">
        <v>11246.1</v>
      </c>
      <c r="Y72" s="467">
        <v>11342.3</v>
      </c>
      <c r="Z72" s="467">
        <v>11443.3</v>
      </c>
      <c r="AA72" s="467">
        <v>11546.8</v>
      </c>
      <c r="AB72" s="467">
        <v>11648.9</v>
      </c>
      <c r="AC72" s="956">
        <v>11751.1</v>
      </c>
    </row>
    <row r="73" spans="4:32" ht="28" x14ac:dyDescent="0.3">
      <c r="D73" s="162" t="s">
        <v>1197</v>
      </c>
      <c r="E73" s="771"/>
      <c r="F73" s="852">
        <v>5385.4</v>
      </c>
      <c r="G73" s="596">
        <v>5436.7</v>
      </c>
      <c r="H73" s="596">
        <v>5473.6</v>
      </c>
      <c r="I73" s="596">
        <v>5492.6</v>
      </c>
      <c r="J73" s="596">
        <v>5218.2</v>
      </c>
      <c r="K73" s="596">
        <v>5459.8</v>
      </c>
      <c r="L73" s="596">
        <v>5468.2</v>
      </c>
      <c r="M73" s="596">
        <v>5450.7</v>
      </c>
      <c r="N73" s="596">
        <v>5704</v>
      </c>
      <c r="O73" s="1078">
        <v>5624.2</v>
      </c>
      <c r="P73" s="467">
        <v>5647.2</v>
      </c>
      <c r="Q73" s="467">
        <v>5726.8</v>
      </c>
      <c r="R73" s="467">
        <v>5823.1</v>
      </c>
      <c r="S73" s="467">
        <v>5914.2</v>
      </c>
      <c r="T73" s="467">
        <v>5996.7</v>
      </c>
      <c r="U73" s="467">
        <v>6076.7</v>
      </c>
      <c r="V73" s="467">
        <v>6153.8</v>
      </c>
      <c r="W73" s="467">
        <v>6224</v>
      </c>
      <c r="X73" s="467">
        <v>6284</v>
      </c>
      <c r="Y73" s="467">
        <v>6349.6</v>
      </c>
      <c r="Z73" s="467">
        <v>6401.5</v>
      </c>
      <c r="AA73" s="467">
        <v>6460.6</v>
      </c>
      <c r="AB73" s="467">
        <v>6524</v>
      </c>
      <c r="AC73" s="956">
        <v>6595</v>
      </c>
    </row>
    <row r="74" spans="4:32" s="56" customFormat="1" x14ac:dyDescent="0.3">
      <c r="D74" s="206" t="s">
        <v>1191</v>
      </c>
      <c r="E74" s="771"/>
      <c r="F74" s="1061"/>
      <c r="G74" s="1062"/>
      <c r="H74" s="1063"/>
      <c r="I74" s="1063"/>
      <c r="J74" s="1063"/>
      <c r="K74" s="1063"/>
      <c r="L74" s="596"/>
      <c r="M74" s="596">
        <v>9702</v>
      </c>
      <c r="N74" s="596">
        <v>9950</v>
      </c>
      <c r="O74" s="1078">
        <v>10175</v>
      </c>
      <c r="P74" s="467">
        <v>10337</v>
      </c>
      <c r="Q74" s="467">
        <v>10484</v>
      </c>
      <c r="R74" s="467">
        <v>10614</v>
      </c>
      <c r="S74" s="467">
        <v>10731</v>
      </c>
      <c r="T74" s="467">
        <v>10841</v>
      </c>
      <c r="U74" s="467">
        <v>10943</v>
      </c>
      <c r="V74" s="467">
        <v>11042</v>
      </c>
      <c r="W74" s="467">
        <v>11143</v>
      </c>
      <c r="X74" s="467">
        <v>11246</v>
      </c>
      <c r="Y74" s="467">
        <v>11342.3</v>
      </c>
      <c r="Z74" s="467">
        <v>11443.3</v>
      </c>
      <c r="AA74" s="467">
        <v>11546.8</v>
      </c>
      <c r="AB74" s="467">
        <v>11648.9</v>
      </c>
      <c r="AC74" s="956">
        <v>11751.1</v>
      </c>
    </row>
    <row r="75" spans="4:32" s="56" customFormat="1" x14ac:dyDescent="0.3">
      <c r="D75" s="206" t="s">
        <v>1192</v>
      </c>
      <c r="E75" s="1064"/>
      <c r="F75" s="1065"/>
      <c r="G75" s="1066"/>
      <c r="H75" s="1063"/>
      <c r="I75" s="1063"/>
      <c r="J75" s="1063"/>
      <c r="K75" s="1063"/>
      <c r="L75" s="1063"/>
      <c r="M75" s="1063">
        <v>15041</v>
      </c>
      <c r="N75" s="1063">
        <v>15551</v>
      </c>
      <c r="O75" s="1079">
        <v>15824</v>
      </c>
      <c r="P75" s="1076">
        <v>16056</v>
      </c>
      <c r="Q75" s="1076">
        <v>16274</v>
      </c>
      <c r="R75" s="1076">
        <v>16482</v>
      </c>
      <c r="S75" s="1076">
        <v>16710</v>
      </c>
      <c r="T75" s="1076">
        <v>16918</v>
      </c>
      <c r="U75" s="1076">
        <v>17101</v>
      </c>
      <c r="V75" s="1076">
        <v>17272</v>
      </c>
      <c r="W75" s="1076">
        <v>17444</v>
      </c>
      <c r="X75" s="1076">
        <v>17607</v>
      </c>
      <c r="Y75" s="1076">
        <v>17759.900000000001</v>
      </c>
      <c r="Z75" s="467">
        <v>17916</v>
      </c>
      <c r="AA75" s="467">
        <v>18077.7</v>
      </c>
      <c r="AB75" s="467">
        <v>18228.400000000001</v>
      </c>
      <c r="AC75" s="956">
        <v>18390.5</v>
      </c>
    </row>
    <row r="76" spans="4:32" s="56" customFormat="1" x14ac:dyDescent="0.3">
      <c r="D76" s="1067" t="s">
        <v>1195</v>
      </c>
      <c r="E76" s="1068"/>
      <c r="F76" s="1069"/>
      <c r="G76" s="1070"/>
      <c r="H76" s="1071"/>
      <c r="I76" s="1071"/>
      <c r="J76" s="1071"/>
      <c r="K76" s="1071"/>
      <c r="L76" s="1072"/>
      <c r="M76" s="1072">
        <v>2374</v>
      </c>
      <c r="N76" s="1072">
        <v>2822</v>
      </c>
      <c r="O76" s="1080">
        <v>2975</v>
      </c>
      <c r="P76" s="903">
        <v>3009</v>
      </c>
      <c r="Q76" s="903">
        <v>2954</v>
      </c>
      <c r="R76" s="903">
        <v>3005</v>
      </c>
      <c r="S76" s="903">
        <v>3019</v>
      </c>
      <c r="T76" s="903">
        <v>3017</v>
      </c>
      <c r="U76" s="903">
        <v>3002</v>
      </c>
      <c r="V76" s="903">
        <v>2976</v>
      </c>
      <c r="W76" s="903">
        <v>2960</v>
      </c>
      <c r="X76" s="903">
        <v>2960</v>
      </c>
      <c r="Y76" s="903">
        <v>2955.6</v>
      </c>
      <c r="Z76" s="903">
        <v>2970.1</v>
      </c>
      <c r="AA76" s="903">
        <v>2982.4</v>
      </c>
      <c r="AB76" s="903">
        <v>2999.3</v>
      </c>
      <c r="AC76" s="1077">
        <v>3007.4</v>
      </c>
    </row>
    <row r="77" spans="4:32" s="56" customFormat="1" x14ac:dyDescent="0.3">
      <c r="D77" s="1086"/>
      <c r="E77" s="1094"/>
      <c r="F77" s="1066"/>
      <c r="G77" s="1066"/>
      <c r="H77" s="1063"/>
      <c r="I77" s="1063"/>
      <c r="J77" s="1063"/>
      <c r="K77" s="1063"/>
      <c r="L77" s="596"/>
      <c r="M77" s="596"/>
      <c r="N77" s="596"/>
      <c r="O77" s="596"/>
      <c r="P77" s="596"/>
      <c r="Q77" s="596"/>
      <c r="R77" s="596"/>
      <c r="S77" s="596"/>
      <c r="T77" s="596"/>
      <c r="U77" s="596"/>
      <c r="V77" s="596"/>
      <c r="W77" s="596"/>
      <c r="X77" s="596"/>
      <c r="Y77" s="596"/>
      <c r="Z77" s="596"/>
      <c r="AA77" s="596"/>
      <c r="AB77" s="596"/>
      <c r="AC77" s="596"/>
    </row>
    <row r="78" spans="4:32" x14ac:dyDescent="0.3">
      <c r="D78" s="56"/>
      <c r="O78" s="115"/>
      <c r="P78" s="115"/>
      <c r="Q78" s="115"/>
      <c r="R78" s="115"/>
      <c r="S78" s="115"/>
      <c r="T78" s="115"/>
      <c r="U78" s="115"/>
      <c r="V78" s="115"/>
      <c r="W78" s="115"/>
      <c r="X78" s="115"/>
      <c r="Y78" s="115"/>
      <c r="Z78" s="115"/>
      <c r="AA78" s="115"/>
      <c r="AB78" s="115"/>
      <c r="AC78" s="115"/>
    </row>
    <row r="79" spans="4:32" ht="14.5" customHeight="1" x14ac:dyDescent="0.3">
      <c r="D79" s="1455" t="s">
        <v>1201</v>
      </c>
      <c r="E79" s="1456"/>
      <c r="F79" s="1335">
        <v>2019</v>
      </c>
      <c r="G79" s="1336"/>
      <c r="H79" s="1337"/>
      <c r="I79" s="1336">
        <v>2020</v>
      </c>
      <c r="J79" s="1336"/>
      <c r="K79" s="1336"/>
      <c r="L79" s="1336"/>
      <c r="M79" s="1335">
        <v>2021</v>
      </c>
      <c r="N79" s="1336"/>
      <c r="O79" s="1337"/>
      <c r="P79" s="1198">
        <v>2021</v>
      </c>
      <c r="Q79" s="1343">
        <v>2022</v>
      </c>
      <c r="R79" s="1344"/>
      <c r="S79" s="1344"/>
      <c r="T79" s="1345"/>
      <c r="U79" s="1440">
        <v>2023</v>
      </c>
      <c r="V79" s="1441"/>
      <c r="W79" s="1441"/>
      <c r="X79" s="1441"/>
      <c r="Y79" s="1343">
        <v>2024</v>
      </c>
      <c r="Z79" s="1344"/>
      <c r="AA79" s="1344"/>
      <c r="AB79" s="1344"/>
      <c r="AC79" s="439">
        <v>2025</v>
      </c>
      <c r="AD79" s="57"/>
      <c r="AE79" s="57"/>
      <c r="AF79" s="57"/>
    </row>
    <row r="80" spans="4:32" x14ac:dyDescent="0.3">
      <c r="D80" s="1457"/>
      <c r="E80" s="1458"/>
      <c r="F80" s="211" t="s">
        <v>136</v>
      </c>
      <c r="G80" s="189" t="s">
        <v>137</v>
      </c>
      <c r="H80" s="1056" t="s">
        <v>138</v>
      </c>
      <c r="I80" s="190" t="s">
        <v>135</v>
      </c>
      <c r="J80" s="190" t="s">
        <v>136</v>
      </c>
      <c r="K80" s="190" t="s">
        <v>137</v>
      </c>
      <c r="L80" s="190" t="s">
        <v>138</v>
      </c>
      <c r="M80" s="205" t="s">
        <v>135</v>
      </c>
      <c r="N80" s="190" t="s">
        <v>136</v>
      </c>
      <c r="O80" s="1056" t="s">
        <v>137</v>
      </c>
      <c r="P80" s="66" t="s">
        <v>138</v>
      </c>
      <c r="Q80" s="63" t="s">
        <v>135</v>
      </c>
      <c r="R80" s="64" t="s">
        <v>136</v>
      </c>
      <c r="S80" s="64" t="s">
        <v>137</v>
      </c>
      <c r="T80" s="64" t="s">
        <v>138</v>
      </c>
      <c r="U80" s="63" t="s">
        <v>135</v>
      </c>
      <c r="V80" s="64" t="s">
        <v>136</v>
      </c>
      <c r="W80" s="64" t="s">
        <v>137</v>
      </c>
      <c r="X80" s="64" t="s">
        <v>138</v>
      </c>
      <c r="Y80" s="63" t="s">
        <v>135</v>
      </c>
      <c r="Z80" s="634" t="s">
        <v>136</v>
      </c>
      <c r="AA80" s="64" t="s">
        <v>137</v>
      </c>
      <c r="AB80" s="64" t="s">
        <v>138</v>
      </c>
      <c r="AC80" s="66" t="s">
        <v>135</v>
      </c>
    </row>
    <row r="81" spans="4:30" x14ac:dyDescent="0.3">
      <c r="D81" s="1459" t="s">
        <v>1200</v>
      </c>
      <c r="E81" s="1460"/>
      <c r="F81" s="1299"/>
      <c r="G81" s="1083"/>
      <c r="H81" s="1084"/>
      <c r="I81" s="1084"/>
      <c r="J81" s="1084"/>
      <c r="K81" s="1084"/>
      <c r="L81" s="1084"/>
      <c r="M81" s="1084"/>
      <c r="N81" s="1084"/>
      <c r="O81" s="1085"/>
      <c r="P81" s="965"/>
      <c r="Q81" s="965"/>
      <c r="R81" s="965"/>
      <c r="S81" s="965"/>
      <c r="T81" s="965"/>
      <c r="U81" s="965"/>
      <c r="V81" s="965"/>
      <c r="W81" s="965"/>
      <c r="X81" s="965"/>
      <c r="Y81" s="965"/>
      <c r="Z81" s="965"/>
      <c r="AA81" s="965"/>
      <c r="AB81" s="965"/>
      <c r="AC81" s="964"/>
    </row>
    <row r="82" spans="4:30" x14ac:dyDescent="0.3">
      <c r="D82" s="185" t="s">
        <v>573</v>
      </c>
      <c r="E82" s="520"/>
      <c r="F82" s="1300"/>
      <c r="G82" s="385"/>
      <c r="H82" s="385">
        <f t="shared" ref="H82:N82" si="38">H10/H87</f>
        <v>0.11700680272108843</v>
      </c>
      <c r="I82" s="385">
        <f t="shared" si="38"/>
        <v>0.11639541892706451</v>
      </c>
      <c r="J82" s="385">
        <f t="shared" si="38"/>
        <v>0.11239828008954905</v>
      </c>
      <c r="K82" s="385">
        <f t="shared" si="38"/>
        <v>0.11278940368591048</v>
      </c>
      <c r="L82" s="385">
        <f t="shared" si="38"/>
        <v>0.11477868971624176</v>
      </c>
      <c r="M82" s="385">
        <f t="shared" si="38"/>
        <v>0.12176423015471204</v>
      </c>
      <c r="N82" s="385">
        <f t="shared" si="38"/>
        <v>0.12383839292021759</v>
      </c>
      <c r="O82" s="1082" t="e">
        <f t="shared" ref="O82" si="39">O10/O87</f>
        <v>#DIV/0!</v>
      </c>
      <c r="P82" s="966"/>
      <c r="Q82" s="966"/>
      <c r="R82" s="966"/>
      <c r="S82" s="966"/>
      <c r="T82" s="966"/>
      <c r="U82" s="966"/>
      <c r="V82" s="966"/>
      <c r="W82" s="966"/>
      <c r="X82" s="966"/>
      <c r="Y82" s="966"/>
      <c r="Z82" s="966"/>
      <c r="AA82" s="966"/>
      <c r="AB82" s="966"/>
      <c r="AC82" s="967"/>
    </row>
    <row r="83" spans="4:30" x14ac:dyDescent="0.3">
      <c r="D83" s="185" t="s">
        <v>572</v>
      </c>
      <c r="E83" s="520"/>
      <c r="F83" s="1300"/>
      <c r="G83" s="385"/>
      <c r="H83" s="385">
        <f t="shared" ref="H83:N84" si="40">H11/H92</f>
        <v>0.15069303583502366</v>
      </c>
      <c r="I83" s="385">
        <f t="shared" si="40"/>
        <v>0.15171645443092011</v>
      </c>
      <c r="J83" s="385">
        <f t="shared" si="40"/>
        <v>0.1549838512083751</v>
      </c>
      <c r="K83" s="385">
        <f t="shared" si="40"/>
        <v>0.15342762717447903</v>
      </c>
      <c r="L83" s="385">
        <f t="shared" si="40"/>
        <v>0.15189614637636717</v>
      </c>
      <c r="M83" s="385">
        <f t="shared" si="40"/>
        <v>0.15364604421410641</v>
      </c>
      <c r="N83" s="385">
        <f t="shared" si="40"/>
        <v>0.1531723014580271</v>
      </c>
      <c r="O83" s="1082" t="e">
        <f t="shared" ref="O83" si="41">O11/O92</f>
        <v>#VALUE!</v>
      </c>
      <c r="P83" s="966"/>
      <c r="Q83" s="966"/>
      <c r="R83" s="966"/>
      <c r="S83" s="966"/>
      <c r="T83" s="966"/>
      <c r="U83" s="966"/>
      <c r="V83" s="966"/>
      <c r="W83" s="966"/>
      <c r="X83" s="966"/>
      <c r="Y83" s="966"/>
      <c r="Z83" s="966"/>
      <c r="AA83" s="966"/>
      <c r="AB83" s="966"/>
      <c r="AC83" s="967"/>
    </row>
    <row r="84" spans="4:30" x14ac:dyDescent="0.3">
      <c r="D84" s="185" t="s">
        <v>570</v>
      </c>
      <c r="E84" s="520"/>
      <c r="F84" s="1300"/>
      <c r="G84" s="385"/>
      <c r="H84" s="385">
        <f t="shared" si="40"/>
        <v>1.2140112870976327E-2</v>
      </c>
      <c r="I84" s="385">
        <f t="shared" si="40"/>
        <v>1.2867838023145487E-2</v>
      </c>
      <c r="J84" s="385">
        <f t="shared" si="40"/>
        <v>1.0646897156978221E-2</v>
      </c>
      <c r="K84" s="385">
        <f t="shared" si="40"/>
        <v>1.0585008884971108E-2</v>
      </c>
      <c r="L84" s="385">
        <f t="shared" si="40"/>
        <v>1.0824186458016532E-2</v>
      </c>
      <c r="M84" s="385">
        <f t="shared" si="40"/>
        <v>1.1076012635451236E-2</v>
      </c>
      <c r="N84" s="385">
        <f t="shared" si="40"/>
        <v>1.1344639689649452E-2</v>
      </c>
      <c r="O84" s="1082" t="e">
        <f t="shared" ref="O84" si="42">O12/O93</f>
        <v>#VALUE!</v>
      </c>
      <c r="P84" s="966"/>
      <c r="Q84" s="966"/>
      <c r="R84" s="966"/>
      <c r="S84" s="966"/>
      <c r="T84" s="966"/>
      <c r="U84" s="966"/>
      <c r="V84" s="966"/>
      <c r="W84" s="966"/>
      <c r="X84" s="966"/>
      <c r="Y84" s="966"/>
      <c r="Z84" s="966"/>
      <c r="AA84" s="966"/>
      <c r="AB84" s="966"/>
      <c r="AC84" s="967"/>
    </row>
    <row r="85" spans="4:30" x14ac:dyDescent="0.3">
      <c r="D85" s="107" t="s">
        <v>640</v>
      </c>
      <c r="E85" s="520"/>
      <c r="F85" s="1300"/>
      <c r="G85" s="385"/>
      <c r="H85" s="385">
        <f t="shared" ref="H85:M85" si="43">H13/H94</f>
        <v>0.12172540768016833</v>
      </c>
      <c r="I85" s="385">
        <f t="shared" si="43"/>
        <v>9.8615712257453844E-2</v>
      </c>
      <c r="J85" s="385">
        <f t="shared" si="43"/>
        <v>0.10910512937495927</v>
      </c>
      <c r="K85" s="385">
        <f t="shared" si="43"/>
        <v>0.10686521958606764</v>
      </c>
      <c r="L85" s="385">
        <f t="shared" si="43"/>
        <v>0.11540630607536528</v>
      </c>
      <c r="M85" s="1298">
        <f t="shared" si="43"/>
        <v>0.11817745803357314</v>
      </c>
      <c r="N85" s="1297">
        <f>AVERAGE(J85:M85)</f>
        <v>0.11238852826749134</v>
      </c>
      <c r="O85" s="1082" t="s">
        <v>1243</v>
      </c>
      <c r="P85" s="966"/>
      <c r="Q85" s="966"/>
      <c r="R85" s="966"/>
      <c r="S85" s="966"/>
      <c r="T85" s="966"/>
      <c r="U85" s="966"/>
      <c r="V85" s="966"/>
      <c r="W85" s="966"/>
      <c r="X85" s="966"/>
      <c r="Y85" s="966"/>
      <c r="Z85" s="966"/>
      <c r="AA85" s="966"/>
      <c r="AB85" s="966"/>
      <c r="AC85" s="967"/>
    </row>
    <row r="86" spans="4:30" x14ac:dyDescent="0.3">
      <c r="D86" s="770" t="s">
        <v>1203</v>
      </c>
      <c r="E86" s="520"/>
      <c r="F86" s="187"/>
      <c r="G86" s="47"/>
      <c r="H86" s="47"/>
      <c r="I86" s="47"/>
      <c r="J86" s="47"/>
      <c r="K86" s="47"/>
      <c r="L86" s="47"/>
      <c r="M86" s="47"/>
      <c r="N86" s="47"/>
      <c r="O86" s="1191"/>
      <c r="P86" s="966"/>
      <c r="Q86" s="966"/>
      <c r="R86" s="966"/>
      <c r="S86" s="966"/>
      <c r="T86" s="966"/>
      <c r="U86" s="966"/>
      <c r="V86" s="966"/>
      <c r="W86" s="966"/>
      <c r="X86" s="966"/>
      <c r="Y86" s="966"/>
      <c r="Z86" s="966"/>
      <c r="AA86" s="966"/>
      <c r="AB86" s="966"/>
      <c r="AC86" s="967"/>
    </row>
    <row r="87" spans="4:30" x14ac:dyDescent="0.3">
      <c r="D87" s="206" t="s">
        <v>1154</v>
      </c>
      <c r="E87" s="520"/>
      <c r="F87" s="1301">
        <f>SUM(F88:F91)</f>
        <v>14511.699999999999</v>
      </c>
      <c r="G87" s="1105">
        <f t="shared" ref="G87:O87" si="44">SUM(G88:G91)</f>
        <v>14602.099999999999</v>
      </c>
      <c r="H87" s="1105">
        <f t="shared" si="44"/>
        <v>14773.5</v>
      </c>
      <c r="I87" s="1105">
        <f t="shared" si="44"/>
        <v>14931</v>
      </c>
      <c r="J87" s="1105">
        <f t="shared" si="44"/>
        <v>14070.5</v>
      </c>
      <c r="K87" s="1105">
        <f t="shared" si="44"/>
        <v>14737.2</v>
      </c>
      <c r="L87" s="1105">
        <f t="shared" si="44"/>
        <v>15132.6</v>
      </c>
      <c r="M87" s="1105">
        <f t="shared" si="44"/>
        <v>15208.900000000001</v>
      </c>
      <c r="N87" s="1105">
        <f t="shared" si="44"/>
        <v>15571.099999999999</v>
      </c>
      <c r="O87" s="1303">
        <f t="shared" si="44"/>
        <v>0</v>
      </c>
      <c r="P87" s="966"/>
      <c r="Q87" s="966"/>
      <c r="R87" s="966"/>
      <c r="S87" s="966"/>
      <c r="T87" s="966"/>
      <c r="U87" s="966"/>
      <c r="V87" s="966"/>
      <c r="W87" s="966"/>
      <c r="X87" s="966"/>
      <c r="Y87" s="966"/>
      <c r="Z87" s="966"/>
      <c r="AA87" s="966"/>
      <c r="AB87" s="966"/>
      <c r="AC87" s="967"/>
    </row>
    <row r="88" spans="4:30" x14ac:dyDescent="0.3">
      <c r="D88" s="1073" t="s">
        <v>1150</v>
      </c>
      <c r="E88" s="520" t="s">
        <v>1206</v>
      </c>
      <c r="F88" s="698">
        <v>9275.4</v>
      </c>
      <c r="G88" s="397">
        <v>9326.7999999999993</v>
      </c>
      <c r="H88" s="397">
        <v>9465.6</v>
      </c>
      <c r="I88" s="397">
        <v>9604.1</v>
      </c>
      <c r="J88" s="397">
        <v>8979</v>
      </c>
      <c r="K88" s="397">
        <v>9410.2999999999993</v>
      </c>
      <c r="L88" s="397">
        <v>9783</v>
      </c>
      <c r="M88" s="397">
        <v>9879.2000000000007</v>
      </c>
      <c r="N88" s="397">
        <v>10068.4</v>
      </c>
      <c r="O88" s="1191" t="s">
        <v>1243</v>
      </c>
      <c r="P88" s="1305" t="s">
        <v>1244</v>
      </c>
      <c r="Q88" s="966"/>
      <c r="R88" s="966"/>
      <c r="S88" s="966"/>
      <c r="T88" s="966"/>
      <c r="U88" s="966"/>
      <c r="V88" s="966"/>
      <c r="W88" s="966"/>
      <c r="X88" s="966"/>
      <c r="Y88" s="966"/>
      <c r="Z88" s="966"/>
      <c r="AA88" s="966"/>
      <c r="AB88" s="966"/>
      <c r="AC88" s="967"/>
    </row>
    <row r="89" spans="4:30" x14ac:dyDescent="0.3">
      <c r="D89" s="1073" t="s">
        <v>1151</v>
      </c>
      <c r="E89" s="520"/>
      <c r="F89" s="698">
        <v>1572.8</v>
      </c>
      <c r="G89" s="397">
        <v>1610.6</v>
      </c>
      <c r="H89" s="397">
        <v>1626.8</v>
      </c>
      <c r="I89" s="397">
        <v>1638.3</v>
      </c>
      <c r="J89" s="397">
        <v>1471.1</v>
      </c>
      <c r="K89" s="397">
        <v>1760.7</v>
      </c>
      <c r="L89" s="397">
        <v>1730</v>
      </c>
      <c r="M89" s="397">
        <v>1714</v>
      </c>
      <c r="N89" s="397">
        <v>1846.9</v>
      </c>
      <c r="O89" s="1191" t="s">
        <v>1243</v>
      </c>
      <c r="P89" s="966"/>
      <c r="Q89" s="966"/>
      <c r="R89" s="966"/>
      <c r="S89" s="966"/>
      <c r="T89" s="966"/>
      <c r="U89" s="966"/>
      <c r="V89" s="966"/>
      <c r="W89" s="966"/>
      <c r="X89" s="966"/>
      <c r="Y89" s="966"/>
      <c r="Z89" s="966"/>
      <c r="AA89" s="966"/>
      <c r="AB89" s="966"/>
      <c r="AC89" s="967"/>
    </row>
    <row r="90" spans="4:30" x14ac:dyDescent="0.3">
      <c r="D90" s="1073" t="s">
        <v>1152</v>
      </c>
      <c r="E90" s="520"/>
      <c r="F90" s="698">
        <v>691</v>
      </c>
      <c r="G90" s="397">
        <v>691.5</v>
      </c>
      <c r="H90" s="397">
        <v>699</v>
      </c>
      <c r="I90" s="397">
        <v>712.2</v>
      </c>
      <c r="J90" s="397">
        <v>709.5</v>
      </c>
      <c r="K90" s="397">
        <v>714.5</v>
      </c>
      <c r="L90" s="397">
        <v>710</v>
      </c>
      <c r="M90" s="397">
        <v>716.9</v>
      </c>
      <c r="N90" s="397">
        <v>719</v>
      </c>
      <c r="O90" s="1191" t="s">
        <v>1243</v>
      </c>
      <c r="P90" s="966"/>
      <c r="Q90" s="966"/>
      <c r="R90" s="966"/>
      <c r="S90" s="966"/>
      <c r="T90" s="966"/>
      <c r="U90" s="966"/>
      <c r="V90" s="966"/>
      <c r="W90" s="966"/>
      <c r="X90" s="966"/>
      <c r="Y90" s="966"/>
      <c r="Z90" s="966"/>
      <c r="AA90" s="966"/>
      <c r="AB90" s="966"/>
      <c r="AC90" s="967"/>
    </row>
    <row r="91" spans="4:30" x14ac:dyDescent="0.3">
      <c r="D91" s="1073" t="s">
        <v>1153</v>
      </c>
      <c r="E91" s="520"/>
      <c r="F91" s="698">
        <v>2972.5</v>
      </c>
      <c r="G91" s="397">
        <v>2973.2</v>
      </c>
      <c r="H91" s="397">
        <v>2982.1</v>
      </c>
      <c r="I91" s="397">
        <v>2976.4</v>
      </c>
      <c r="J91" s="397">
        <v>2910.9</v>
      </c>
      <c r="K91" s="397">
        <v>2851.7</v>
      </c>
      <c r="L91" s="397">
        <v>2909.6</v>
      </c>
      <c r="M91" s="397">
        <v>2898.8</v>
      </c>
      <c r="N91" s="397">
        <v>2936.8</v>
      </c>
      <c r="O91" s="1191" t="s">
        <v>1243</v>
      </c>
      <c r="P91" s="966"/>
      <c r="Q91" s="966"/>
      <c r="R91" s="966"/>
      <c r="S91" s="966"/>
      <c r="T91" s="966"/>
      <c r="U91" s="966"/>
      <c r="V91" s="966"/>
      <c r="W91" s="966"/>
      <c r="X91" s="966"/>
      <c r="Y91" s="966"/>
      <c r="Z91" s="966"/>
      <c r="AA91" s="966"/>
      <c r="AB91" s="966"/>
      <c r="AC91" s="967"/>
    </row>
    <row r="92" spans="4:30" x14ac:dyDescent="0.3">
      <c r="D92" s="206" t="s">
        <v>1191</v>
      </c>
      <c r="E92" s="520"/>
      <c r="F92" s="1301">
        <v>9275.4</v>
      </c>
      <c r="G92" s="1105">
        <v>9326.7999999999993</v>
      </c>
      <c r="H92" s="1105">
        <v>9465.6</v>
      </c>
      <c r="I92" s="1105">
        <v>9604.1</v>
      </c>
      <c r="J92" s="1105">
        <v>8979</v>
      </c>
      <c r="K92" s="1105">
        <v>9410.2999999999993</v>
      </c>
      <c r="L92" s="1105">
        <v>9783</v>
      </c>
      <c r="M92" s="1105">
        <v>9879.2000000000007</v>
      </c>
      <c r="N92" s="1105">
        <v>10068.4</v>
      </c>
      <c r="O92" s="1191" t="s">
        <v>1243</v>
      </c>
      <c r="P92" s="966"/>
      <c r="Q92" s="966"/>
      <c r="R92" s="966"/>
      <c r="S92" s="966"/>
      <c r="T92" s="966"/>
      <c r="U92" s="966"/>
      <c r="V92" s="966"/>
      <c r="W92" s="966"/>
      <c r="X92" s="966"/>
      <c r="Y92" s="966"/>
      <c r="Z92" s="966"/>
      <c r="AA92" s="966"/>
      <c r="AB92" s="966"/>
      <c r="AC92" s="967"/>
    </row>
    <row r="93" spans="4:30" x14ac:dyDescent="0.3">
      <c r="D93" s="206" t="s">
        <v>1192</v>
      </c>
      <c r="E93" s="520"/>
      <c r="F93" s="1301">
        <v>14375.7</v>
      </c>
      <c r="G93" s="1105">
        <v>14529.5</v>
      </c>
      <c r="H93" s="1105">
        <v>14653.9</v>
      </c>
      <c r="I93" s="1105">
        <v>14439.1</v>
      </c>
      <c r="J93" s="1105">
        <v>12989.7</v>
      </c>
      <c r="K93" s="1105">
        <v>14293.8</v>
      </c>
      <c r="L93" s="1105">
        <v>14467.6</v>
      </c>
      <c r="M93" s="1105">
        <v>15005.4</v>
      </c>
      <c r="N93" s="1105">
        <v>15672.6</v>
      </c>
      <c r="O93" s="1191" t="s">
        <v>1243</v>
      </c>
      <c r="P93" s="966"/>
      <c r="Q93" s="966"/>
      <c r="R93" s="966"/>
      <c r="S93" s="966"/>
      <c r="T93" s="966"/>
      <c r="U93" s="966"/>
      <c r="V93" s="966"/>
      <c r="W93" s="966"/>
      <c r="X93" s="966"/>
      <c r="Y93" s="966"/>
      <c r="Z93" s="966"/>
      <c r="AA93" s="966"/>
      <c r="AB93" s="966"/>
      <c r="AC93" s="967"/>
    </row>
    <row r="94" spans="4:30" x14ac:dyDescent="0.3">
      <c r="D94" s="206" t="s">
        <v>1199</v>
      </c>
      <c r="E94" s="520"/>
      <c r="F94" s="1301">
        <v>1858.1</v>
      </c>
      <c r="G94" s="1105">
        <v>1859.3</v>
      </c>
      <c r="H94" s="1105">
        <v>1901</v>
      </c>
      <c r="I94" s="1105">
        <v>1690.4</v>
      </c>
      <c r="J94" s="1105">
        <v>1534.3</v>
      </c>
      <c r="K94" s="1105">
        <v>1981</v>
      </c>
      <c r="L94" s="1105">
        <v>1950.5</v>
      </c>
      <c r="M94" s="1105">
        <v>2085</v>
      </c>
      <c r="N94" s="397"/>
      <c r="O94" s="1191"/>
      <c r="P94" s="966"/>
      <c r="Q94" s="966"/>
      <c r="R94" s="966"/>
      <c r="S94" s="966"/>
      <c r="T94" s="966"/>
      <c r="U94" s="966"/>
      <c r="V94" s="966"/>
      <c r="W94" s="966"/>
      <c r="X94" s="966"/>
      <c r="Y94" s="966"/>
      <c r="Z94" s="966"/>
      <c r="AA94" s="966"/>
      <c r="AB94" s="966"/>
      <c r="AC94" s="967"/>
    </row>
    <row r="95" spans="4:30" x14ac:dyDescent="0.3">
      <c r="D95" s="770" t="s">
        <v>1202</v>
      </c>
      <c r="E95" s="520"/>
      <c r="F95" s="187"/>
      <c r="G95" s="47"/>
      <c r="H95" s="47"/>
      <c r="I95" s="47"/>
      <c r="J95" s="47"/>
      <c r="K95" s="47"/>
      <c r="L95" s="47"/>
      <c r="M95" s="47"/>
      <c r="N95" s="47"/>
      <c r="O95" s="1191"/>
      <c r="P95" s="966"/>
      <c r="Q95" s="966"/>
      <c r="R95" s="966"/>
      <c r="S95" s="966"/>
      <c r="T95" s="966"/>
      <c r="U95" s="966"/>
      <c r="V95" s="966"/>
      <c r="W95" s="966"/>
      <c r="X95" s="966"/>
      <c r="Y95" s="966"/>
      <c r="Z95" s="966"/>
      <c r="AA95" s="966"/>
      <c r="AB95" s="966"/>
      <c r="AC95" s="967"/>
    </row>
    <row r="96" spans="4:30" x14ac:dyDescent="0.3">
      <c r="D96" s="1038" t="s">
        <v>571</v>
      </c>
      <c r="E96" s="520"/>
      <c r="F96" s="1033">
        <f>F17/F87</f>
        <v>3.5895174238717728E-2</v>
      </c>
      <c r="G96" s="494">
        <f t="shared" ref="G96:O96" si="45">G17/G87</f>
        <v>3.4063593592702418E-2</v>
      </c>
      <c r="H96" s="494">
        <f t="shared" si="45"/>
        <v>3.3485633059193824E-2</v>
      </c>
      <c r="I96" s="494">
        <f t="shared" si="45"/>
        <v>3.3741879311499565E-2</v>
      </c>
      <c r="J96" s="494">
        <f t="shared" si="45"/>
        <v>3.6779076791869515E-2</v>
      </c>
      <c r="K96" s="494">
        <f t="shared" si="45"/>
        <v>3.5257715169774446E-2</v>
      </c>
      <c r="L96" s="494">
        <f t="shared" si="45"/>
        <v>3.4547929635356772E-2</v>
      </c>
      <c r="M96" s="494">
        <f t="shared" si="45"/>
        <v>3.6833696059544084E-2</v>
      </c>
      <c r="N96" s="494">
        <f t="shared" si="45"/>
        <v>3.7659510246546492E-2</v>
      </c>
      <c r="O96" s="1082" t="e">
        <f t="shared" si="45"/>
        <v>#DIV/0!</v>
      </c>
      <c r="P96" s="1088" t="e">
        <f t="shared" ref="P96:AC98" si="46">O96</f>
        <v>#DIV/0!</v>
      </c>
      <c r="Q96" s="1088" t="e">
        <f t="shared" si="46"/>
        <v>#DIV/0!</v>
      </c>
      <c r="R96" s="1088" t="e">
        <f t="shared" si="46"/>
        <v>#DIV/0!</v>
      </c>
      <c r="S96" s="1088" t="e">
        <f t="shared" si="46"/>
        <v>#DIV/0!</v>
      </c>
      <c r="T96" s="1088" t="e">
        <f t="shared" si="46"/>
        <v>#DIV/0!</v>
      </c>
      <c r="U96" s="1088" t="e">
        <f t="shared" si="46"/>
        <v>#DIV/0!</v>
      </c>
      <c r="V96" s="1088" t="e">
        <f t="shared" si="46"/>
        <v>#DIV/0!</v>
      </c>
      <c r="W96" s="1088" t="e">
        <f t="shared" si="46"/>
        <v>#DIV/0!</v>
      </c>
      <c r="X96" s="1088" t="e">
        <f t="shared" si="46"/>
        <v>#DIV/0!</v>
      </c>
      <c r="Y96" s="1088" t="e">
        <f t="shared" si="46"/>
        <v>#DIV/0!</v>
      </c>
      <c r="Z96" s="1088" t="e">
        <f t="shared" si="46"/>
        <v>#DIV/0!</v>
      </c>
      <c r="AA96" s="1088" t="e">
        <f t="shared" si="46"/>
        <v>#DIV/0!</v>
      </c>
      <c r="AB96" s="1088" t="e">
        <f t="shared" si="46"/>
        <v>#DIV/0!</v>
      </c>
      <c r="AC96" s="1089" t="e">
        <f t="shared" si="46"/>
        <v>#DIV/0!</v>
      </c>
      <c r="AD96" s="1092"/>
    </row>
    <row r="97" spans="4:30" x14ac:dyDescent="0.3">
      <c r="D97" s="1038" t="s">
        <v>572</v>
      </c>
      <c r="E97" s="520"/>
      <c r="F97" s="1033">
        <f>F18/F92</f>
        <v>2.2101472712767107E-3</v>
      </c>
      <c r="G97" s="494">
        <f t="shared" ref="G97:M97" si="47">G18/G92</f>
        <v>2.1765235664965477E-3</v>
      </c>
      <c r="H97" s="494">
        <f t="shared" si="47"/>
        <v>2.1340432724814063E-3</v>
      </c>
      <c r="I97" s="494">
        <f t="shared" si="47"/>
        <v>2.092856176008163E-3</v>
      </c>
      <c r="J97" s="494">
        <f t="shared" si="47"/>
        <v>2.1271856554181982E-3</v>
      </c>
      <c r="K97" s="494">
        <f t="shared" si="47"/>
        <v>2.1147041008256909E-3</v>
      </c>
      <c r="L97" s="494">
        <f t="shared" si="47"/>
        <v>2.0954717366860882E-3</v>
      </c>
      <c r="M97" s="494">
        <f t="shared" si="47"/>
        <v>2.1459227467811154E-3</v>
      </c>
      <c r="N97" s="494">
        <f>N18/N92</f>
        <v>2.1751221643955343E-3</v>
      </c>
      <c r="O97" s="1082" t="e">
        <f>O18/O92</f>
        <v>#VALUE!</v>
      </c>
      <c r="P97" s="1088" t="e">
        <f t="shared" si="46"/>
        <v>#VALUE!</v>
      </c>
      <c r="Q97" s="1088" t="e">
        <f t="shared" si="46"/>
        <v>#VALUE!</v>
      </c>
      <c r="R97" s="1088" t="e">
        <f t="shared" si="46"/>
        <v>#VALUE!</v>
      </c>
      <c r="S97" s="1088" t="e">
        <f t="shared" si="46"/>
        <v>#VALUE!</v>
      </c>
      <c r="T97" s="1088" t="e">
        <f t="shared" si="46"/>
        <v>#VALUE!</v>
      </c>
      <c r="U97" s="1088" t="e">
        <f t="shared" si="46"/>
        <v>#VALUE!</v>
      </c>
      <c r="V97" s="1088" t="e">
        <f t="shared" si="46"/>
        <v>#VALUE!</v>
      </c>
      <c r="W97" s="1088" t="e">
        <f t="shared" si="46"/>
        <v>#VALUE!</v>
      </c>
      <c r="X97" s="1088" t="e">
        <f t="shared" si="46"/>
        <v>#VALUE!</v>
      </c>
      <c r="Y97" s="1088" t="e">
        <f t="shared" si="46"/>
        <v>#VALUE!</v>
      </c>
      <c r="Z97" s="1088" t="e">
        <f t="shared" si="46"/>
        <v>#VALUE!</v>
      </c>
      <c r="AA97" s="1088" t="e">
        <f t="shared" si="46"/>
        <v>#VALUE!</v>
      </c>
      <c r="AB97" s="1088" t="e">
        <f t="shared" si="46"/>
        <v>#VALUE!</v>
      </c>
      <c r="AC97" s="1089" t="e">
        <f t="shared" si="46"/>
        <v>#VALUE!</v>
      </c>
      <c r="AD97" s="1092"/>
    </row>
    <row r="98" spans="4:30" x14ac:dyDescent="0.3">
      <c r="D98" s="1038" t="s">
        <v>570</v>
      </c>
      <c r="E98" s="520"/>
      <c r="F98" s="1033">
        <f>F19/F93</f>
        <v>9.3818040165000657E-2</v>
      </c>
      <c r="G98" s="494">
        <f t="shared" ref="G98:M98" si="48">G19/G93</f>
        <v>9.4435458893974325E-2</v>
      </c>
      <c r="H98" s="494">
        <f t="shared" si="48"/>
        <v>9.406369635387167E-2</v>
      </c>
      <c r="I98" s="494">
        <f t="shared" si="48"/>
        <v>9.635642110657866E-2</v>
      </c>
      <c r="J98" s="494">
        <f t="shared" si="48"/>
        <v>0.10178833999245555</v>
      </c>
      <c r="K98" s="494">
        <f t="shared" si="48"/>
        <v>9.7433852439519242E-2</v>
      </c>
      <c r="L98" s="494">
        <f t="shared" si="48"/>
        <v>9.6795598440653607E-2</v>
      </c>
      <c r="M98" s="494">
        <f t="shared" si="48"/>
        <v>9.4226078611699793E-2</v>
      </c>
      <c r="N98" s="494">
        <f>N19/N93</f>
        <v>9.3060500491303294E-2</v>
      </c>
      <c r="O98" s="1082" t="e">
        <f>O19/O93</f>
        <v>#VALUE!</v>
      </c>
      <c r="P98" s="1088" t="e">
        <f t="shared" si="46"/>
        <v>#VALUE!</v>
      </c>
      <c r="Q98" s="1088" t="e">
        <f t="shared" si="46"/>
        <v>#VALUE!</v>
      </c>
      <c r="R98" s="1088" t="e">
        <f t="shared" si="46"/>
        <v>#VALUE!</v>
      </c>
      <c r="S98" s="1088" t="e">
        <f t="shared" si="46"/>
        <v>#VALUE!</v>
      </c>
      <c r="T98" s="1088" t="e">
        <f t="shared" si="46"/>
        <v>#VALUE!</v>
      </c>
      <c r="U98" s="1088" t="e">
        <f t="shared" si="46"/>
        <v>#VALUE!</v>
      </c>
      <c r="V98" s="1088" t="e">
        <f t="shared" si="46"/>
        <v>#VALUE!</v>
      </c>
      <c r="W98" s="1088" t="e">
        <f t="shared" si="46"/>
        <v>#VALUE!</v>
      </c>
      <c r="X98" s="1088" t="e">
        <f t="shared" si="46"/>
        <v>#VALUE!</v>
      </c>
      <c r="Y98" s="1088" t="e">
        <f t="shared" si="46"/>
        <v>#VALUE!</v>
      </c>
      <c r="Z98" s="1088" t="e">
        <f t="shared" si="46"/>
        <v>#VALUE!</v>
      </c>
      <c r="AA98" s="1088" t="e">
        <f t="shared" si="46"/>
        <v>#VALUE!</v>
      </c>
      <c r="AB98" s="1088" t="e">
        <f t="shared" si="46"/>
        <v>#VALUE!</v>
      </c>
      <c r="AC98" s="1089" t="e">
        <f t="shared" si="46"/>
        <v>#VALUE!</v>
      </c>
      <c r="AD98" s="1092"/>
    </row>
    <row r="99" spans="4:30" x14ac:dyDescent="0.3">
      <c r="D99" s="1039" t="s">
        <v>1149</v>
      </c>
      <c r="E99" s="46"/>
      <c r="F99" s="938">
        <f>F20/F94</f>
        <v>3.9179807330068352E-2</v>
      </c>
      <c r="G99" s="380">
        <f t="shared" ref="G99:M99" si="49">G20/G94</f>
        <v>3.9315871564567305E-2</v>
      </c>
      <c r="H99" s="380">
        <f t="shared" si="49"/>
        <v>3.8085218306154661E-2</v>
      </c>
      <c r="I99" s="380">
        <f t="shared" si="49"/>
        <v>3.9339801230477991E-2</v>
      </c>
      <c r="J99" s="380">
        <f t="shared" si="49"/>
        <v>4.0344130874014207E-2</v>
      </c>
      <c r="K99" s="380">
        <f t="shared" si="49"/>
        <v>3.8768298838970212E-2</v>
      </c>
      <c r="L99" s="380">
        <f t="shared" si="49"/>
        <v>4.039989746218918E-2</v>
      </c>
      <c r="M99" s="380">
        <f t="shared" si="49"/>
        <v>4.100719424460432E-2</v>
      </c>
      <c r="N99" s="1302">
        <f>M99</f>
        <v>4.100719424460432E-2</v>
      </c>
      <c r="O99" s="1304" t="s">
        <v>1243</v>
      </c>
      <c r="P99" s="1090" t="str">
        <f>O99</f>
        <v>?</v>
      </c>
      <c r="Q99" s="1090" t="str">
        <f t="shared" ref="Q99:AC99" si="50">P99</f>
        <v>?</v>
      </c>
      <c r="R99" s="1090" t="str">
        <f t="shared" si="50"/>
        <v>?</v>
      </c>
      <c r="S99" s="1090" t="str">
        <f t="shared" si="50"/>
        <v>?</v>
      </c>
      <c r="T99" s="1090" t="str">
        <f t="shared" si="50"/>
        <v>?</v>
      </c>
      <c r="U99" s="1090" t="str">
        <f t="shared" si="50"/>
        <v>?</v>
      </c>
      <c r="V99" s="1090" t="str">
        <f t="shared" si="50"/>
        <v>?</v>
      </c>
      <c r="W99" s="1090" t="str">
        <f t="shared" si="50"/>
        <v>?</v>
      </c>
      <c r="X99" s="1090" t="str">
        <f t="shared" si="50"/>
        <v>?</v>
      </c>
      <c r="Y99" s="1090" t="str">
        <f t="shared" si="50"/>
        <v>?</v>
      </c>
      <c r="Z99" s="1090" t="str">
        <f t="shared" si="50"/>
        <v>?</v>
      </c>
      <c r="AA99" s="1090" t="str">
        <f t="shared" si="50"/>
        <v>?</v>
      </c>
      <c r="AB99" s="1090" t="str">
        <f t="shared" si="50"/>
        <v>?</v>
      </c>
      <c r="AC99" s="1091" t="str">
        <f t="shared" si="50"/>
        <v>?</v>
      </c>
      <c r="AD99" s="1092"/>
    </row>
    <row r="101" spans="4:30" ht="18.5" customHeight="1" x14ac:dyDescent="0.3"/>
  </sheetData>
  <mergeCells count="28">
    <mergeCell ref="D2:AC3"/>
    <mergeCell ref="D1:AC1"/>
    <mergeCell ref="Y69:AB69"/>
    <mergeCell ref="Y6:AB6"/>
    <mergeCell ref="O34:R34"/>
    <mergeCell ref="D69:E70"/>
    <mergeCell ref="U6:X6"/>
    <mergeCell ref="F69:H69"/>
    <mergeCell ref="F6:H6"/>
    <mergeCell ref="I6:L6"/>
    <mergeCell ref="Q6:T6"/>
    <mergeCell ref="D5:E7"/>
    <mergeCell ref="D81:E81"/>
    <mergeCell ref="Q79:T79"/>
    <mergeCell ref="U79:X79"/>
    <mergeCell ref="O33:R33"/>
    <mergeCell ref="I69:L69"/>
    <mergeCell ref="Q69:T69"/>
    <mergeCell ref="U69:X69"/>
    <mergeCell ref="M6:O6"/>
    <mergeCell ref="F5:O5"/>
    <mergeCell ref="P5:AC5"/>
    <mergeCell ref="M69:O69"/>
    <mergeCell ref="Y79:AB79"/>
    <mergeCell ref="F79:H79"/>
    <mergeCell ref="I79:L79"/>
    <mergeCell ref="D79:E80"/>
    <mergeCell ref="M79:O79"/>
  </mergeCells>
  <phoneticPr fontId="53" type="noConversion"/>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Z80"/>
  <sheetViews>
    <sheetView zoomScale="110" workbookViewId="0">
      <pane xSplit="1" ySplit="1" topLeftCell="GO2" activePane="bottomRight" state="frozen"/>
      <selection pane="topRight" activeCell="B1" sqref="B1"/>
      <selection pane="bottomLeft" activeCell="A2" sqref="A2"/>
      <selection pane="bottomRight" activeCell="GY2" sqref="GY2"/>
    </sheetView>
  </sheetViews>
  <sheetFormatPr defaultColWidth="10.90625" defaultRowHeight="14.5" x14ac:dyDescent="0.35"/>
  <cols>
    <col min="1" max="16384" width="10.90625" style="1131"/>
  </cols>
  <sheetData>
    <row r="1" spans="1:208" x14ac:dyDescent="0.35">
      <c r="A1" s="1131" t="s">
        <v>627</v>
      </c>
      <c r="B1" s="1131" t="s">
        <v>723</v>
      </c>
      <c r="C1" s="1131" t="s">
        <v>724</v>
      </c>
      <c r="D1" s="1131" t="s">
        <v>725</v>
      </c>
      <c r="E1" s="1131" t="s">
        <v>726</v>
      </c>
      <c r="F1" s="1131" t="s">
        <v>727</v>
      </c>
      <c r="G1" s="1131" t="s">
        <v>728</v>
      </c>
      <c r="H1" s="1131" t="s">
        <v>729</v>
      </c>
      <c r="I1" s="1131" t="s">
        <v>730</v>
      </c>
      <c r="J1" s="1131" t="s">
        <v>731</v>
      </c>
      <c r="K1" s="1131" t="s">
        <v>732</v>
      </c>
      <c r="L1" s="1131" t="s">
        <v>733</v>
      </c>
      <c r="M1" s="1131" t="s">
        <v>734</v>
      </c>
      <c r="N1" s="1131" t="s">
        <v>735</v>
      </c>
      <c r="O1" s="1131" t="s">
        <v>736</v>
      </c>
      <c r="P1" s="1131" t="s">
        <v>737</v>
      </c>
      <c r="Q1" s="1131" t="s">
        <v>738</v>
      </c>
      <c r="R1" s="1131" t="s">
        <v>739</v>
      </c>
      <c r="S1" s="1131" t="s">
        <v>740</v>
      </c>
      <c r="T1" s="1131" t="s">
        <v>741</v>
      </c>
      <c r="U1" s="1131" t="s">
        <v>742</v>
      </c>
      <c r="V1" s="1131" t="s">
        <v>743</v>
      </c>
      <c r="W1" s="1131" t="s">
        <v>744</v>
      </c>
      <c r="X1" s="1131" t="s">
        <v>745</v>
      </c>
      <c r="Y1" s="1131" t="s">
        <v>746</v>
      </c>
      <c r="Z1" s="1131" t="s">
        <v>747</v>
      </c>
      <c r="AA1" s="1131" t="s">
        <v>748</v>
      </c>
      <c r="AB1" s="1131" t="s">
        <v>749</v>
      </c>
      <c r="AC1" s="1131" t="s">
        <v>750</v>
      </c>
      <c r="AD1" s="1131" t="s">
        <v>751</v>
      </c>
      <c r="AE1" s="1131" t="s">
        <v>752</v>
      </c>
      <c r="AF1" s="1131" t="s">
        <v>753</v>
      </c>
      <c r="AG1" s="1131" t="s">
        <v>754</v>
      </c>
      <c r="AH1" s="1131" t="s">
        <v>755</v>
      </c>
      <c r="AI1" s="1131" t="s">
        <v>756</v>
      </c>
      <c r="AJ1" s="1131" t="s">
        <v>757</v>
      </c>
      <c r="AK1" s="1131" t="s">
        <v>758</v>
      </c>
      <c r="AL1" s="1131" t="s">
        <v>759</v>
      </c>
      <c r="AM1" s="1131" t="s">
        <v>760</v>
      </c>
      <c r="AN1" s="1131" t="s">
        <v>761</v>
      </c>
      <c r="AO1" s="1131" t="s">
        <v>762</v>
      </c>
      <c r="AP1" s="1131" t="s">
        <v>763</v>
      </c>
      <c r="AQ1" s="1131" t="s">
        <v>764</v>
      </c>
      <c r="AR1" s="1131" t="s">
        <v>765</v>
      </c>
      <c r="AS1" s="1131" t="s">
        <v>766</v>
      </c>
      <c r="AT1" s="1131" t="s">
        <v>767</v>
      </c>
      <c r="AU1" s="1131" t="s">
        <v>768</v>
      </c>
      <c r="AV1" s="1131" t="s">
        <v>769</v>
      </c>
      <c r="AW1" s="1131" t="s">
        <v>770</v>
      </c>
      <c r="AX1" s="1131" t="s">
        <v>771</v>
      </c>
      <c r="AY1" s="1131" t="s">
        <v>772</v>
      </c>
      <c r="AZ1" s="1131" t="s">
        <v>773</v>
      </c>
      <c r="BA1" s="1131" t="s">
        <v>774</v>
      </c>
      <c r="BB1" s="1131" t="s">
        <v>775</v>
      </c>
      <c r="BC1" s="1131" t="s">
        <v>776</v>
      </c>
      <c r="BD1" s="1131" t="s">
        <v>777</v>
      </c>
      <c r="BE1" s="1131" t="s">
        <v>778</v>
      </c>
      <c r="BF1" s="1131" t="s">
        <v>779</v>
      </c>
      <c r="BG1" s="1131" t="s">
        <v>780</v>
      </c>
      <c r="BH1" s="1131" t="s">
        <v>781</v>
      </c>
      <c r="BI1" s="1131" t="s">
        <v>782</v>
      </c>
      <c r="BJ1" s="1131" t="s">
        <v>783</v>
      </c>
      <c r="BK1" s="1131" t="s">
        <v>784</v>
      </c>
      <c r="BL1" s="1131" t="s">
        <v>785</v>
      </c>
      <c r="BM1" s="1131" t="s">
        <v>786</v>
      </c>
      <c r="BN1" s="1131" t="s">
        <v>787</v>
      </c>
      <c r="BO1" s="1131" t="s">
        <v>788</v>
      </c>
      <c r="BP1" s="1131" t="s">
        <v>789</v>
      </c>
      <c r="BQ1" s="1131" t="s">
        <v>790</v>
      </c>
      <c r="BR1" s="1131" t="s">
        <v>791</v>
      </c>
      <c r="BS1" s="1131" t="s">
        <v>792</v>
      </c>
      <c r="BT1" s="1131" t="s">
        <v>793</v>
      </c>
      <c r="BU1" s="1131" t="s">
        <v>794</v>
      </c>
      <c r="BV1" s="1131" t="s">
        <v>795</v>
      </c>
      <c r="BW1" s="1131" t="s">
        <v>796</v>
      </c>
      <c r="BX1" s="1131" t="s">
        <v>797</v>
      </c>
      <c r="BY1" s="1131" t="s">
        <v>798</v>
      </c>
      <c r="BZ1" s="1131" t="s">
        <v>799</v>
      </c>
      <c r="CA1" s="1131" t="s">
        <v>800</v>
      </c>
      <c r="CB1" s="1131" t="s">
        <v>801</v>
      </c>
      <c r="CC1" s="1131" t="s">
        <v>802</v>
      </c>
      <c r="CD1" s="1131" t="s">
        <v>803</v>
      </c>
      <c r="CE1" s="1131" t="s">
        <v>804</v>
      </c>
      <c r="CF1" s="1131" t="s">
        <v>805</v>
      </c>
      <c r="CG1" s="1131" t="s">
        <v>806</v>
      </c>
      <c r="CH1" s="1131" t="s">
        <v>807</v>
      </c>
      <c r="CI1" s="1131" t="s">
        <v>808</v>
      </c>
      <c r="CJ1" s="1131" t="s">
        <v>809</v>
      </c>
      <c r="CK1" s="1131" t="s">
        <v>810</v>
      </c>
      <c r="CL1" s="1131" t="s">
        <v>811</v>
      </c>
      <c r="CM1" s="1131" t="s">
        <v>812</v>
      </c>
      <c r="CN1" s="1131" t="s">
        <v>813</v>
      </c>
      <c r="CO1" s="1131" t="s">
        <v>814</v>
      </c>
      <c r="CP1" s="1131" t="s">
        <v>815</v>
      </c>
      <c r="CQ1" s="1131" t="s">
        <v>816</v>
      </c>
      <c r="CR1" s="1131" t="s">
        <v>817</v>
      </c>
      <c r="CS1" s="1131" t="s">
        <v>818</v>
      </c>
      <c r="CT1" s="1131" t="s">
        <v>819</v>
      </c>
      <c r="CU1" s="1131" t="s">
        <v>820</v>
      </c>
      <c r="CV1" s="1131" t="s">
        <v>821</v>
      </c>
      <c r="CW1" s="1131" t="s">
        <v>822</v>
      </c>
      <c r="CX1" s="1131" t="s">
        <v>823</v>
      </c>
      <c r="CY1" s="1131" t="s">
        <v>824</v>
      </c>
      <c r="CZ1" s="1131" t="s">
        <v>825</v>
      </c>
      <c r="DA1" s="1131" t="s">
        <v>826</v>
      </c>
      <c r="DB1" s="1131" t="s">
        <v>827</v>
      </c>
      <c r="DC1" s="1131" t="s">
        <v>828</v>
      </c>
      <c r="DD1" s="1131" t="s">
        <v>829</v>
      </c>
      <c r="DE1" s="1131" t="s">
        <v>830</v>
      </c>
      <c r="DF1" s="1131" t="s">
        <v>831</v>
      </c>
      <c r="DG1" s="1131" t="s">
        <v>832</v>
      </c>
      <c r="DH1" s="1131" t="s">
        <v>833</v>
      </c>
      <c r="DI1" s="1131" t="s">
        <v>834</v>
      </c>
      <c r="DJ1" s="1131" t="s">
        <v>835</v>
      </c>
      <c r="DK1" s="1131" t="s">
        <v>836</v>
      </c>
      <c r="DL1" s="1131" t="s">
        <v>837</v>
      </c>
      <c r="DM1" s="1131" t="s">
        <v>838</v>
      </c>
      <c r="DN1" s="1131" t="s">
        <v>839</v>
      </c>
      <c r="DO1" s="1131" t="s">
        <v>840</v>
      </c>
      <c r="DP1" s="1131" t="s">
        <v>841</v>
      </c>
      <c r="DQ1" s="1131" t="s">
        <v>842</v>
      </c>
      <c r="DR1" s="1131" t="s">
        <v>843</v>
      </c>
      <c r="DS1" s="1131" t="s">
        <v>844</v>
      </c>
      <c r="DT1" s="1131" t="s">
        <v>845</v>
      </c>
      <c r="DU1" s="1131" t="s">
        <v>846</v>
      </c>
      <c r="DV1" s="1131" t="s">
        <v>847</v>
      </c>
      <c r="DW1" s="1131" t="s">
        <v>848</v>
      </c>
      <c r="DX1" s="1131" t="s">
        <v>849</v>
      </c>
      <c r="DY1" s="1131" t="s">
        <v>850</v>
      </c>
      <c r="DZ1" s="1131" t="s">
        <v>851</v>
      </c>
      <c r="EA1" s="1131" t="s">
        <v>852</v>
      </c>
      <c r="EB1" s="1131" t="s">
        <v>853</v>
      </c>
      <c r="EC1" s="1131" t="s">
        <v>854</v>
      </c>
      <c r="ED1" s="1131" t="s">
        <v>855</v>
      </c>
      <c r="EE1" s="1131" t="s">
        <v>856</v>
      </c>
      <c r="EF1" s="1131" t="s">
        <v>857</v>
      </c>
      <c r="EG1" s="1131" t="s">
        <v>858</v>
      </c>
      <c r="EH1" s="1131" t="s">
        <v>859</v>
      </c>
      <c r="EI1" s="1131" t="s">
        <v>860</v>
      </c>
      <c r="EJ1" s="1131" t="s">
        <v>861</v>
      </c>
      <c r="EK1" s="1131" t="s">
        <v>862</v>
      </c>
      <c r="EL1" s="1131" t="s">
        <v>863</v>
      </c>
      <c r="EM1" s="1131" t="s">
        <v>864</v>
      </c>
      <c r="EN1" s="1131" t="s">
        <v>865</v>
      </c>
      <c r="EO1" s="1131" t="s">
        <v>866</v>
      </c>
      <c r="EP1" s="1131" t="s">
        <v>867</v>
      </c>
      <c r="EQ1" s="1131" t="s">
        <v>868</v>
      </c>
      <c r="ER1" s="1131" t="s">
        <v>869</v>
      </c>
      <c r="ES1" s="1131" t="s">
        <v>870</v>
      </c>
      <c r="ET1" s="1131" t="s">
        <v>871</v>
      </c>
      <c r="EU1" s="1131" t="s">
        <v>872</v>
      </c>
      <c r="EV1" s="1131" t="s">
        <v>873</v>
      </c>
      <c r="EW1" s="1131" t="s">
        <v>874</v>
      </c>
      <c r="EX1" s="1131" t="s">
        <v>875</v>
      </c>
      <c r="EY1" s="1131" t="s">
        <v>876</v>
      </c>
      <c r="EZ1" s="1131" t="s">
        <v>877</v>
      </c>
      <c r="FA1" s="1131" t="s">
        <v>878</v>
      </c>
      <c r="FB1" s="1131" t="s">
        <v>879</v>
      </c>
      <c r="FC1" s="1131" t="s">
        <v>880</v>
      </c>
      <c r="FD1" s="1131" t="s">
        <v>881</v>
      </c>
      <c r="FE1" s="1131" t="s">
        <v>882</v>
      </c>
      <c r="FF1" s="1131" t="s">
        <v>883</v>
      </c>
      <c r="FG1" s="1131" t="s">
        <v>884</v>
      </c>
      <c r="FH1" s="1131" t="s">
        <v>885</v>
      </c>
      <c r="FI1" s="1131" t="s">
        <v>886</v>
      </c>
      <c r="FJ1" s="1131" t="s">
        <v>887</v>
      </c>
      <c r="FK1" s="1131" t="s">
        <v>888</v>
      </c>
      <c r="FL1" s="1131" t="s">
        <v>889</v>
      </c>
      <c r="FM1" s="1131" t="s">
        <v>890</v>
      </c>
      <c r="FN1" s="1131" t="s">
        <v>891</v>
      </c>
      <c r="FO1" s="1131" t="s">
        <v>892</v>
      </c>
      <c r="FP1" s="1131" t="s">
        <v>893</v>
      </c>
      <c r="FQ1" s="1131" t="s">
        <v>894</v>
      </c>
      <c r="FR1" s="1131" t="s">
        <v>895</v>
      </c>
      <c r="FS1" s="1131" t="s">
        <v>896</v>
      </c>
      <c r="FT1" s="1131" t="s">
        <v>897</v>
      </c>
      <c r="FU1" s="1131" t="s">
        <v>898</v>
      </c>
      <c r="FV1" s="1131" t="s">
        <v>899</v>
      </c>
      <c r="FW1" s="1131" t="s">
        <v>900</v>
      </c>
      <c r="FX1" s="1131" t="s">
        <v>901</v>
      </c>
      <c r="FY1" s="1131" t="s">
        <v>902</v>
      </c>
      <c r="FZ1" s="1131" t="s">
        <v>903</v>
      </c>
      <c r="GA1" s="1131" t="s">
        <v>904</v>
      </c>
      <c r="GB1" s="1131" t="s">
        <v>905</v>
      </c>
      <c r="GC1" s="1131" t="s">
        <v>906</v>
      </c>
      <c r="GD1" s="1131" t="s">
        <v>907</v>
      </c>
      <c r="GE1" s="1131" t="s">
        <v>908</v>
      </c>
      <c r="GF1" s="1131" t="s">
        <v>909</v>
      </c>
      <c r="GG1" s="1131" t="s">
        <v>910</v>
      </c>
      <c r="GH1" s="1131" t="s">
        <v>911</v>
      </c>
      <c r="GI1" s="1131" t="s">
        <v>912</v>
      </c>
      <c r="GJ1" s="1131" t="s">
        <v>913</v>
      </c>
      <c r="GK1" s="1131" t="s">
        <v>914</v>
      </c>
      <c r="GL1" s="1131" t="s">
        <v>915</v>
      </c>
      <c r="GM1" s="1131" t="s">
        <v>916</v>
      </c>
      <c r="GN1" s="1131" t="s">
        <v>917</v>
      </c>
      <c r="GO1" s="1131" t="s">
        <v>918</v>
      </c>
      <c r="GP1" s="1131" t="s">
        <v>919</v>
      </c>
      <c r="GQ1" s="1131" t="s">
        <v>920</v>
      </c>
      <c r="GR1" s="1131" t="s">
        <v>921</v>
      </c>
      <c r="GS1" s="1131" t="s">
        <v>146</v>
      </c>
      <c r="GT1" s="1131" t="s">
        <v>147</v>
      </c>
      <c r="GU1" s="1131" t="s">
        <v>148</v>
      </c>
      <c r="GV1" s="1131" t="s">
        <v>149</v>
      </c>
      <c r="GW1" s="1131" t="s">
        <v>150</v>
      </c>
      <c r="GX1" s="1131" t="s">
        <v>151</v>
      </c>
      <c r="GY1" s="1131" t="s">
        <v>152</v>
      </c>
      <c r="GZ1" s="1131" t="s">
        <v>153</v>
      </c>
    </row>
    <row r="2" spans="1:208" x14ac:dyDescent="0.35">
      <c r="A2" s="1131" t="s">
        <v>201</v>
      </c>
      <c r="B2" s="1131">
        <v>1051.2</v>
      </c>
      <c r="C2" s="1131">
        <v>1067.4000000000001</v>
      </c>
      <c r="D2" s="1131">
        <v>1086.0999999999999</v>
      </c>
      <c r="E2" s="1131">
        <v>1088.5999999999999</v>
      </c>
      <c r="F2" s="1131">
        <v>1135.2</v>
      </c>
      <c r="G2" s="1131">
        <v>1156.3</v>
      </c>
      <c r="H2" s="1131">
        <v>1177.7</v>
      </c>
      <c r="I2" s="1131">
        <v>1190.3</v>
      </c>
      <c r="J2" s="1131">
        <v>1230.5999999999999</v>
      </c>
      <c r="K2" s="1131">
        <v>1266.4000000000001</v>
      </c>
      <c r="L2" s="1131">
        <v>1290.5999999999999</v>
      </c>
      <c r="M2" s="1131">
        <v>1328.9</v>
      </c>
      <c r="N2" s="1131">
        <v>1377.5</v>
      </c>
      <c r="O2" s="1131">
        <v>1413.9</v>
      </c>
      <c r="P2" s="1131">
        <v>1433.8</v>
      </c>
      <c r="Q2" s="1131">
        <v>1476.3</v>
      </c>
      <c r="R2" s="1131">
        <v>1491.2</v>
      </c>
      <c r="S2" s="1131">
        <v>1530.1</v>
      </c>
      <c r="T2" s="1131">
        <v>1560</v>
      </c>
      <c r="U2" s="1131">
        <v>1599.7</v>
      </c>
      <c r="V2" s="1131">
        <v>1616.1</v>
      </c>
      <c r="W2" s="1131">
        <v>1651.9</v>
      </c>
      <c r="X2" s="1131">
        <v>1709.8</v>
      </c>
      <c r="Y2" s="1131">
        <v>1761.8</v>
      </c>
      <c r="Z2" s="1131">
        <v>1820.5</v>
      </c>
      <c r="AA2" s="1131">
        <v>1852.3</v>
      </c>
      <c r="AB2" s="1131">
        <v>1886.6</v>
      </c>
      <c r="AC2" s="1131">
        <v>1934.3</v>
      </c>
      <c r="AD2" s="1131">
        <v>1988.6</v>
      </c>
      <c r="AE2" s="1131">
        <v>2055.9</v>
      </c>
      <c r="AF2" s="1131">
        <v>2118.5</v>
      </c>
      <c r="AG2" s="1131">
        <v>2164.3000000000002</v>
      </c>
      <c r="AH2" s="1131">
        <v>2202.8000000000002</v>
      </c>
      <c r="AI2" s="1131">
        <v>2331.6</v>
      </c>
      <c r="AJ2" s="1131">
        <v>2395.1</v>
      </c>
      <c r="AK2" s="1131">
        <v>2476.9</v>
      </c>
      <c r="AL2" s="1131">
        <v>2526.6</v>
      </c>
      <c r="AM2" s="1131">
        <v>2591.1999999999998</v>
      </c>
      <c r="AN2" s="1131">
        <v>2667.6</v>
      </c>
      <c r="AO2" s="1131">
        <v>2723.9</v>
      </c>
      <c r="AP2" s="1131">
        <v>2789.8</v>
      </c>
      <c r="AQ2" s="1131">
        <v>2797.4</v>
      </c>
      <c r="AR2" s="1131">
        <v>2856.5</v>
      </c>
      <c r="AS2" s="1131">
        <v>2985.6</v>
      </c>
      <c r="AT2" s="1131">
        <v>3124.2</v>
      </c>
      <c r="AU2" s="1131">
        <v>3162.5</v>
      </c>
      <c r="AV2" s="1131">
        <v>3260.6</v>
      </c>
      <c r="AW2" s="1131">
        <v>3280.8</v>
      </c>
      <c r="AX2" s="1131">
        <v>3274.3</v>
      </c>
      <c r="AY2" s="1131">
        <v>3332</v>
      </c>
      <c r="AZ2" s="1131">
        <v>3366.3</v>
      </c>
      <c r="BA2" s="1131">
        <v>3402.6</v>
      </c>
      <c r="BB2" s="1131">
        <v>3473.4</v>
      </c>
      <c r="BC2" s="1131">
        <v>3578.8</v>
      </c>
      <c r="BD2" s="1131">
        <v>3689.2</v>
      </c>
      <c r="BE2" s="1131">
        <v>3794.7</v>
      </c>
      <c r="BF2" s="1131">
        <v>3908.1</v>
      </c>
      <c r="BG2" s="1131">
        <v>4009.6</v>
      </c>
      <c r="BH2" s="1131">
        <v>4084.3</v>
      </c>
      <c r="BI2" s="1131">
        <v>4148.6000000000004</v>
      </c>
      <c r="BJ2" s="1131">
        <v>4230.2</v>
      </c>
      <c r="BK2" s="1131">
        <v>4294.8999999999996</v>
      </c>
      <c r="BL2" s="1131">
        <v>4386.8</v>
      </c>
      <c r="BM2" s="1131">
        <v>4444.1000000000004</v>
      </c>
      <c r="BN2" s="1131">
        <v>4507.8999999999996</v>
      </c>
      <c r="BO2" s="1131">
        <v>4545.3</v>
      </c>
      <c r="BP2" s="1131">
        <v>4607.7</v>
      </c>
      <c r="BQ2" s="1131">
        <v>4657.6000000000004</v>
      </c>
      <c r="BR2" s="1131">
        <v>4722.2</v>
      </c>
      <c r="BS2" s="1131">
        <v>4806.2</v>
      </c>
      <c r="BT2" s="1131">
        <v>4884.6000000000004</v>
      </c>
      <c r="BU2" s="1131">
        <v>5008</v>
      </c>
      <c r="BV2" s="1131">
        <v>5073.3999999999996</v>
      </c>
      <c r="BW2" s="1131">
        <v>5190</v>
      </c>
      <c r="BX2" s="1131">
        <v>5282.8</v>
      </c>
      <c r="BY2" s="1131">
        <v>5399.5</v>
      </c>
      <c r="BZ2" s="1131">
        <v>5511.3</v>
      </c>
      <c r="CA2" s="1131">
        <v>5612.5</v>
      </c>
      <c r="CB2" s="1131">
        <v>5695.4</v>
      </c>
      <c r="CC2" s="1131">
        <v>5747.2</v>
      </c>
      <c r="CD2" s="1131">
        <v>5872.7</v>
      </c>
      <c r="CE2" s="1131">
        <v>5960</v>
      </c>
      <c r="CF2" s="1131">
        <v>6015.1</v>
      </c>
      <c r="CG2" s="1131">
        <v>6004.7</v>
      </c>
      <c r="CH2" s="1131">
        <v>6035.2</v>
      </c>
      <c r="CI2" s="1131">
        <v>6126.9</v>
      </c>
      <c r="CJ2" s="1131">
        <v>6205.9</v>
      </c>
      <c r="CK2" s="1131">
        <v>6264.5</v>
      </c>
      <c r="CL2" s="1131">
        <v>6363.1</v>
      </c>
      <c r="CM2" s="1131">
        <v>6470.8</v>
      </c>
      <c r="CN2" s="1131">
        <v>6566.6</v>
      </c>
      <c r="CO2" s="1131">
        <v>6680.8</v>
      </c>
      <c r="CP2" s="1131">
        <v>6729.5</v>
      </c>
      <c r="CQ2" s="1131">
        <v>6808.9</v>
      </c>
      <c r="CR2" s="1131">
        <v>6882.1</v>
      </c>
      <c r="CS2" s="1131">
        <v>7013.7</v>
      </c>
      <c r="CT2" s="1131">
        <v>7115.7</v>
      </c>
      <c r="CU2" s="1131">
        <v>7246.9</v>
      </c>
      <c r="CV2" s="1131">
        <v>7331.1</v>
      </c>
      <c r="CW2" s="1131">
        <v>7455.3</v>
      </c>
      <c r="CX2" s="1131">
        <v>7522.3</v>
      </c>
      <c r="CY2" s="1131">
        <v>7581</v>
      </c>
      <c r="CZ2" s="1131">
        <v>7683.1</v>
      </c>
      <c r="DA2" s="1131">
        <v>7772.6</v>
      </c>
      <c r="DB2" s="1131">
        <v>7868.5</v>
      </c>
      <c r="DC2" s="1131">
        <v>8032.8</v>
      </c>
      <c r="DD2" s="1131">
        <v>8131.4</v>
      </c>
      <c r="DE2" s="1131">
        <v>8259.7999999999993</v>
      </c>
      <c r="DF2" s="1131">
        <v>8362.7000000000007</v>
      </c>
      <c r="DG2" s="1131">
        <v>8518.7999999999993</v>
      </c>
      <c r="DH2" s="1131">
        <v>8662.7999999999993</v>
      </c>
      <c r="DI2" s="1131">
        <v>8765.9</v>
      </c>
      <c r="DJ2" s="1131">
        <v>8866.5</v>
      </c>
      <c r="DK2" s="1131">
        <v>8969.7000000000007</v>
      </c>
      <c r="DL2" s="1131">
        <v>9121.1</v>
      </c>
      <c r="DM2" s="1131">
        <v>9294</v>
      </c>
      <c r="DN2" s="1131">
        <v>9411.7000000000007</v>
      </c>
      <c r="DO2" s="1131">
        <v>9526.2000000000007</v>
      </c>
      <c r="DP2" s="1131">
        <v>9686.6</v>
      </c>
      <c r="DQ2" s="1131">
        <v>9900.2000000000007</v>
      </c>
      <c r="DR2" s="1131">
        <v>10002.200000000001</v>
      </c>
      <c r="DS2" s="1131">
        <v>10247.700000000001</v>
      </c>
      <c r="DT2" s="1131">
        <v>10318.200000000001</v>
      </c>
      <c r="DU2" s="1131">
        <v>10435.700000000001</v>
      </c>
      <c r="DV2" s="1131">
        <v>10470.200000000001</v>
      </c>
      <c r="DW2" s="1131">
        <v>10599</v>
      </c>
      <c r="DX2" s="1131">
        <v>10598</v>
      </c>
      <c r="DY2" s="1131">
        <v>10660.5</v>
      </c>
      <c r="DZ2" s="1131">
        <v>10783.5</v>
      </c>
      <c r="EA2" s="1131">
        <v>10887.5</v>
      </c>
      <c r="EB2" s="1131">
        <v>10984</v>
      </c>
      <c r="EC2" s="1131">
        <v>11061.4</v>
      </c>
      <c r="ED2" s="1131">
        <v>11174.1</v>
      </c>
      <c r="EE2" s="1131">
        <v>11312.8</v>
      </c>
      <c r="EF2" s="1131">
        <v>11566.7</v>
      </c>
      <c r="EG2" s="1131">
        <v>11772.2</v>
      </c>
      <c r="EH2" s="1131">
        <v>11923.4</v>
      </c>
      <c r="EI2" s="1131">
        <v>12112.8</v>
      </c>
      <c r="EJ2" s="1131">
        <v>12305.3</v>
      </c>
      <c r="EK2" s="1131">
        <v>12527.2</v>
      </c>
      <c r="EL2" s="1131">
        <v>12767.3</v>
      </c>
      <c r="EM2" s="1131">
        <v>12922.7</v>
      </c>
      <c r="EN2" s="1131">
        <v>13142.6</v>
      </c>
      <c r="EO2" s="1131">
        <v>13324.2</v>
      </c>
      <c r="EP2" s="1131">
        <v>13599.2</v>
      </c>
      <c r="EQ2" s="1131">
        <v>13753.4</v>
      </c>
      <c r="ER2" s="1131">
        <v>13870.2</v>
      </c>
      <c r="ES2" s="1131">
        <v>14039.6</v>
      </c>
      <c r="ET2" s="1131">
        <v>14215.7</v>
      </c>
      <c r="EU2" s="1131">
        <v>14402.1</v>
      </c>
      <c r="EV2" s="1131">
        <v>14564.1</v>
      </c>
      <c r="EW2" s="1131">
        <v>14715.1</v>
      </c>
      <c r="EX2" s="1131">
        <v>14706.5</v>
      </c>
      <c r="EY2" s="1131">
        <v>14865.7</v>
      </c>
      <c r="EZ2" s="1131">
        <v>14899</v>
      </c>
      <c r="FA2" s="1131">
        <v>14608.2</v>
      </c>
      <c r="FB2" s="1131">
        <v>14430.9</v>
      </c>
      <c r="FC2" s="1131">
        <v>14381.2</v>
      </c>
      <c r="FD2" s="1131">
        <v>14448.9</v>
      </c>
      <c r="FE2" s="1131">
        <v>14651.2</v>
      </c>
      <c r="FF2" s="1131">
        <v>14764.6</v>
      </c>
      <c r="FG2" s="1131">
        <v>14980.2</v>
      </c>
      <c r="FH2" s="1131">
        <v>15141.6</v>
      </c>
      <c r="FI2" s="1131">
        <v>15309.5</v>
      </c>
      <c r="FJ2" s="1131">
        <v>15351.4</v>
      </c>
      <c r="FK2" s="1131">
        <v>15557.5</v>
      </c>
      <c r="FL2" s="1131">
        <v>15647.7</v>
      </c>
      <c r="FM2" s="1131">
        <v>15842.3</v>
      </c>
      <c r="FN2" s="1131">
        <v>16068.8</v>
      </c>
      <c r="FO2" s="1131">
        <v>16207.1</v>
      </c>
      <c r="FP2" s="1131">
        <v>16319.5</v>
      </c>
      <c r="FQ2" s="1131">
        <v>16420.400000000001</v>
      </c>
      <c r="FR2" s="1131">
        <v>16629.099999999999</v>
      </c>
      <c r="FS2" s="1131">
        <v>16699.599999999999</v>
      </c>
      <c r="FT2" s="1131">
        <v>16911.099999999999</v>
      </c>
      <c r="FU2" s="1131">
        <v>17133.099999999999</v>
      </c>
      <c r="FV2" s="1131">
        <v>17144.3</v>
      </c>
      <c r="FW2" s="1131">
        <v>17462.7</v>
      </c>
      <c r="FX2" s="1131">
        <v>17743.2</v>
      </c>
      <c r="FY2" s="1131">
        <v>17852.5</v>
      </c>
      <c r="FZ2" s="1131">
        <v>17991.3</v>
      </c>
      <c r="GA2" s="1131">
        <v>18193.7</v>
      </c>
      <c r="GB2" s="1131">
        <v>18307</v>
      </c>
      <c r="GC2" s="1131">
        <v>18332.099999999999</v>
      </c>
      <c r="GD2" s="1131">
        <v>18425.3</v>
      </c>
      <c r="GE2" s="1131">
        <v>18611.599999999999</v>
      </c>
      <c r="GF2" s="1131">
        <v>18775.5</v>
      </c>
      <c r="GG2" s="1131">
        <v>18968</v>
      </c>
      <c r="GH2" s="1131">
        <v>19153.900000000001</v>
      </c>
      <c r="GI2" s="1131">
        <v>19322.900000000001</v>
      </c>
      <c r="GJ2" s="1131">
        <v>19558.7</v>
      </c>
      <c r="GK2" s="1131">
        <v>19883</v>
      </c>
      <c r="GL2" s="1131">
        <v>20143.7</v>
      </c>
      <c r="GM2" s="1131">
        <v>20492.5</v>
      </c>
      <c r="GN2" s="1131">
        <v>20659.099999999999</v>
      </c>
      <c r="GO2" s="1131">
        <v>20813.3</v>
      </c>
      <c r="GP2" s="1131">
        <v>21001.599999999999</v>
      </c>
      <c r="GQ2" s="1131">
        <v>21289.3</v>
      </c>
      <c r="GR2" s="1131">
        <v>21505</v>
      </c>
      <c r="GS2" s="1131">
        <v>21694.5</v>
      </c>
      <c r="GT2" s="1131">
        <v>21481.4</v>
      </c>
      <c r="GU2" s="1131">
        <v>19477.400000000001</v>
      </c>
      <c r="GV2" s="1131">
        <v>21138.6</v>
      </c>
      <c r="GW2" s="1131">
        <v>21477.599999999999</v>
      </c>
      <c r="GX2" s="1131">
        <v>22038.2</v>
      </c>
      <c r="GY2" s="1131">
        <v>22741</v>
      </c>
    </row>
    <row r="3" spans="1:208" x14ac:dyDescent="0.35">
      <c r="A3" s="1131" t="s">
        <v>202</v>
      </c>
      <c r="B3" s="1131">
        <v>4939.8</v>
      </c>
      <c r="C3" s="1131">
        <v>4946.8</v>
      </c>
      <c r="D3" s="1131">
        <v>4992.3999999999996</v>
      </c>
      <c r="E3" s="1131">
        <v>4938.8999999999996</v>
      </c>
      <c r="F3" s="1131">
        <v>5073</v>
      </c>
      <c r="G3" s="1131">
        <v>5100.3999999999996</v>
      </c>
      <c r="H3" s="1131">
        <v>5142.3999999999996</v>
      </c>
      <c r="I3" s="1131">
        <v>5154.5</v>
      </c>
      <c r="J3" s="1131">
        <v>5249.3</v>
      </c>
      <c r="K3" s="1131">
        <v>5368.5</v>
      </c>
      <c r="L3" s="1131">
        <v>5419.2</v>
      </c>
      <c r="M3" s="1131">
        <v>5509.9</v>
      </c>
      <c r="N3" s="1131">
        <v>5646.3</v>
      </c>
      <c r="O3" s="1131">
        <v>5707.8</v>
      </c>
      <c r="P3" s="1131">
        <v>5677.7</v>
      </c>
      <c r="Q3" s="1131">
        <v>5731.6</v>
      </c>
      <c r="R3" s="1131">
        <v>5682.4</v>
      </c>
      <c r="S3" s="1131">
        <v>5695.9</v>
      </c>
      <c r="T3" s="1131">
        <v>5642</v>
      </c>
      <c r="U3" s="1131">
        <v>5620.1</v>
      </c>
      <c r="V3" s="1131">
        <v>5551.7</v>
      </c>
      <c r="W3" s="1131">
        <v>5591.4</v>
      </c>
      <c r="X3" s="1131">
        <v>5687.1</v>
      </c>
      <c r="Y3" s="1131">
        <v>5763.7</v>
      </c>
      <c r="Z3" s="1131">
        <v>5893.3</v>
      </c>
      <c r="AA3" s="1131">
        <v>5936.5</v>
      </c>
      <c r="AB3" s="1131">
        <v>5969.1</v>
      </c>
      <c r="AC3" s="1131">
        <v>6012.4</v>
      </c>
      <c r="AD3" s="1131">
        <v>6083.4</v>
      </c>
      <c r="AE3" s="1131">
        <v>6201.7</v>
      </c>
      <c r="AF3" s="1131">
        <v>6313.6</v>
      </c>
      <c r="AG3" s="1131">
        <v>6313.7</v>
      </c>
      <c r="AH3" s="1131">
        <v>6333.8</v>
      </c>
      <c r="AI3" s="1131">
        <v>6578.6</v>
      </c>
      <c r="AJ3" s="1131">
        <v>6644.8</v>
      </c>
      <c r="AK3" s="1131">
        <v>6734.1</v>
      </c>
      <c r="AL3" s="1131">
        <v>6746.2</v>
      </c>
      <c r="AM3" s="1131">
        <v>6753.4</v>
      </c>
      <c r="AN3" s="1131">
        <v>6803.6</v>
      </c>
      <c r="AO3" s="1131">
        <v>6820.6</v>
      </c>
      <c r="AP3" s="1131">
        <v>6842</v>
      </c>
      <c r="AQ3" s="1131">
        <v>6701</v>
      </c>
      <c r="AR3" s="1131">
        <v>6693.1</v>
      </c>
      <c r="AS3" s="1131">
        <v>6817.9</v>
      </c>
      <c r="AT3" s="1131">
        <v>6951.5</v>
      </c>
      <c r="AU3" s="1131">
        <v>6900</v>
      </c>
      <c r="AV3" s="1131">
        <v>6982.6</v>
      </c>
      <c r="AW3" s="1131">
        <v>6906.5</v>
      </c>
      <c r="AX3" s="1131">
        <v>6799.2</v>
      </c>
      <c r="AY3" s="1131">
        <v>6830.3</v>
      </c>
      <c r="AZ3" s="1131">
        <v>6804.1</v>
      </c>
      <c r="BA3" s="1131">
        <v>6806.9</v>
      </c>
      <c r="BB3" s="1131">
        <v>6896.6</v>
      </c>
      <c r="BC3" s="1131">
        <v>7053.5</v>
      </c>
      <c r="BD3" s="1131">
        <v>7194.5</v>
      </c>
      <c r="BE3" s="1131">
        <v>7344.6</v>
      </c>
      <c r="BF3" s="1131">
        <v>7488.2</v>
      </c>
      <c r="BG3" s="1131">
        <v>7617.5</v>
      </c>
      <c r="BH3" s="1131">
        <v>7691</v>
      </c>
      <c r="BI3" s="1131">
        <v>7754.1</v>
      </c>
      <c r="BJ3" s="1131">
        <v>7829.3</v>
      </c>
      <c r="BK3" s="1131">
        <v>7898.2</v>
      </c>
      <c r="BL3" s="1131">
        <v>8018.8</v>
      </c>
      <c r="BM3" s="1131">
        <v>8078.4</v>
      </c>
      <c r="BN3" s="1131">
        <v>8153.8</v>
      </c>
      <c r="BO3" s="1131">
        <v>8190.6</v>
      </c>
      <c r="BP3" s="1131">
        <v>8268.9</v>
      </c>
      <c r="BQ3" s="1131">
        <v>8313.2999999999993</v>
      </c>
      <c r="BR3" s="1131">
        <v>8375.2999999999993</v>
      </c>
      <c r="BS3" s="1131">
        <v>8465.6</v>
      </c>
      <c r="BT3" s="1131">
        <v>8539.1</v>
      </c>
      <c r="BU3" s="1131">
        <v>8685.7000000000007</v>
      </c>
      <c r="BV3" s="1131">
        <v>8730.6</v>
      </c>
      <c r="BW3" s="1131">
        <v>8845.2999999999993</v>
      </c>
      <c r="BX3" s="1131">
        <v>8897.1</v>
      </c>
      <c r="BY3" s="1131">
        <v>9015.7000000000007</v>
      </c>
      <c r="BZ3" s="1131">
        <v>9107.2999999999993</v>
      </c>
      <c r="CA3" s="1131">
        <v>9176.7999999999993</v>
      </c>
      <c r="CB3" s="1131">
        <v>9244.7999999999993</v>
      </c>
      <c r="CC3" s="1131">
        <v>9263</v>
      </c>
      <c r="CD3" s="1131">
        <v>9364.2999999999993</v>
      </c>
      <c r="CE3" s="1131">
        <v>9398.2000000000007</v>
      </c>
      <c r="CF3" s="1131">
        <v>9404.5</v>
      </c>
      <c r="CG3" s="1131">
        <v>9318.9</v>
      </c>
      <c r="CH3" s="1131">
        <v>9275.2999999999993</v>
      </c>
      <c r="CI3" s="1131">
        <v>9347.6</v>
      </c>
      <c r="CJ3" s="1131">
        <v>9394.7999999999993</v>
      </c>
      <c r="CK3" s="1131">
        <v>9427.6</v>
      </c>
      <c r="CL3" s="1131">
        <v>9540.4</v>
      </c>
      <c r="CM3" s="1131">
        <v>9643.9</v>
      </c>
      <c r="CN3" s="1131">
        <v>9739.2000000000007</v>
      </c>
      <c r="CO3" s="1131">
        <v>9840.7999999999993</v>
      </c>
      <c r="CP3" s="1131">
        <v>9857.2000000000007</v>
      </c>
      <c r="CQ3" s="1131">
        <v>9914.6</v>
      </c>
      <c r="CR3" s="1131">
        <v>9961.9</v>
      </c>
      <c r="CS3" s="1131">
        <v>10097.4</v>
      </c>
      <c r="CT3" s="1131">
        <v>10195.299999999999</v>
      </c>
      <c r="CU3" s="1131">
        <v>10333.5</v>
      </c>
      <c r="CV3" s="1131">
        <v>10393.9</v>
      </c>
      <c r="CW3" s="1131">
        <v>10513</v>
      </c>
      <c r="CX3" s="1131">
        <v>10550.3</v>
      </c>
      <c r="CY3" s="1131">
        <v>10581.7</v>
      </c>
      <c r="CZ3" s="1131">
        <v>10671.7</v>
      </c>
      <c r="DA3" s="1131">
        <v>10744.2</v>
      </c>
      <c r="DB3" s="1131">
        <v>10824.7</v>
      </c>
      <c r="DC3" s="1131">
        <v>11005.2</v>
      </c>
      <c r="DD3" s="1131">
        <v>11103.9</v>
      </c>
      <c r="DE3" s="1131">
        <v>11219.2</v>
      </c>
      <c r="DF3" s="1131">
        <v>11291.7</v>
      </c>
      <c r="DG3" s="1131">
        <v>11479.3</v>
      </c>
      <c r="DH3" s="1131">
        <v>11622.9</v>
      </c>
      <c r="DI3" s="1131">
        <v>11722.7</v>
      </c>
      <c r="DJ3" s="1131">
        <v>11839.9</v>
      </c>
      <c r="DK3" s="1131">
        <v>11949.5</v>
      </c>
      <c r="DL3" s="1131">
        <v>12099.2</v>
      </c>
      <c r="DM3" s="1131">
        <v>12294.7</v>
      </c>
      <c r="DN3" s="1131">
        <v>12410.8</v>
      </c>
      <c r="DO3" s="1131">
        <v>12514.4</v>
      </c>
      <c r="DP3" s="1131">
        <v>12680</v>
      </c>
      <c r="DQ3" s="1131">
        <v>12888.3</v>
      </c>
      <c r="DR3" s="1131">
        <v>12935.3</v>
      </c>
      <c r="DS3" s="1131">
        <v>13170.7</v>
      </c>
      <c r="DT3" s="1131">
        <v>13183.9</v>
      </c>
      <c r="DU3" s="1131">
        <v>13262.3</v>
      </c>
      <c r="DV3" s="1131">
        <v>13219.3</v>
      </c>
      <c r="DW3" s="1131">
        <v>13301.4</v>
      </c>
      <c r="DX3" s="1131">
        <v>13248.1</v>
      </c>
      <c r="DY3" s="1131">
        <v>13284.9</v>
      </c>
      <c r="DZ3" s="1131">
        <v>13394.9</v>
      </c>
      <c r="EA3" s="1131">
        <v>13477.4</v>
      </c>
      <c r="EB3" s="1131">
        <v>13531.7</v>
      </c>
      <c r="EC3" s="1131">
        <v>13549.4</v>
      </c>
      <c r="ED3" s="1131">
        <v>13619.4</v>
      </c>
      <c r="EE3" s="1131">
        <v>13741.1</v>
      </c>
      <c r="EF3" s="1131">
        <v>13970.2</v>
      </c>
      <c r="EG3" s="1131">
        <v>14131.4</v>
      </c>
      <c r="EH3" s="1131">
        <v>14212.3</v>
      </c>
      <c r="EI3" s="1131">
        <v>14323</v>
      </c>
      <c r="EJ3" s="1131">
        <v>14457.8</v>
      </c>
      <c r="EK3" s="1131">
        <v>14605.6</v>
      </c>
      <c r="EL3" s="1131">
        <v>14767.8</v>
      </c>
      <c r="EM3" s="1131">
        <v>14839.7</v>
      </c>
      <c r="EN3" s="1131">
        <v>14956.3</v>
      </c>
      <c r="EO3" s="1131">
        <v>15041.2</v>
      </c>
      <c r="EP3" s="1131">
        <v>15244.1</v>
      </c>
      <c r="EQ3" s="1131">
        <v>15281.5</v>
      </c>
      <c r="ER3" s="1131">
        <v>15304.5</v>
      </c>
      <c r="ES3" s="1131">
        <v>15433.6</v>
      </c>
      <c r="ET3" s="1131">
        <v>15479</v>
      </c>
      <c r="EU3" s="1131">
        <v>15577.8</v>
      </c>
      <c r="EV3" s="1131">
        <v>15671.6</v>
      </c>
      <c r="EW3" s="1131">
        <v>15767.1</v>
      </c>
      <c r="EX3" s="1131">
        <v>15702.9</v>
      </c>
      <c r="EY3" s="1131">
        <v>15792.8</v>
      </c>
      <c r="EZ3" s="1131">
        <v>15709.6</v>
      </c>
      <c r="FA3" s="1131">
        <v>15366.6</v>
      </c>
      <c r="FB3" s="1131">
        <v>15187.5</v>
      </c>
      <c r="FC3" s="1131">
        <v>15161.8</v>
      </c>
      <c r="FD3" s="1131">
        <v>15216.6</v>
      </c>
      <c r="FE3" s="1131">
        <v>15379.2</v>
      </c>
      <c r="FF3" s="1131">
        <v>15456.1</v>
      </c>
      <c r="FG3" s="1131">
        <v>15605.6</v>
      </c>
      <c r="FH3" s="1131">
        <v>15726.3</v>
      </c>
      <c r="FI3" s="1131">
        <v>15808</v>
      </c>
      <c r="FJ3" s="1131">
        <v>15769.9</v>
      </c>
      <c r="FK3" s="1131">
        <v>15876.8</v>
      </c>
      <c r="FL3" s="1131">
        <v>15870.7</v>
      </c>
      <c r="FM3" s="1131">
        <v>16048.7</v>
      </c>
      <c r="FN3" s="1131">
        <v>16180</v>
      </c>
      <c r="FO3" s="1131">
        <v>16253.7</v>
      </c>
      <c r="FP3" s="1131">
        <v>16282.2</v>
      </c>
      <c r="FQ3" s="1131">
        <v>16300</v>
      </c>
      <c r="FR3" s="1131">
        <v>16441.5</v>
      </c>
      <c r="FS3" s="1131">
        <v>16464.400000000001</v>
      </c>
      <c r="FT3" s="1131">
        <v>16594.7</v>
      </c>
      <c r="FU3" s="1131">
        <v>16712.8</v>
      </c>
      <c r="FV3" s="1131">
        <v>16654.2</v>
      </c>
      <c r="FW3" s="1131">
        <v>16868.099999999999</v>
      </c>
      <c r="FX3" s="1131">
        <v>17064.599999999999</v>
      </c>
      <c r="FY3" s="1131">
        <v>17141.2</v>
      </c>
      <c r="FZ3" s="1131">
        <v>17280.599999999999</v>
      </c>
      <c r="GA3" s="1131">
        <v>17380.900000000001</v>
      </c>
      <c r="GB3" s="1131">
        <v>17437.099999999999</v>
      </c>
      <c r="GC3" s="1131">
        <v>17462.599999999999</v>
      </c>
      <c r="GD3" s="1131">
        <v>17565.5</v>
      </c>
      <c r="GE3" s="1131">
        <v>17618.599999999999</v>
      </c>
      <c r="GF3" s="1131">
        <v>17724.5</v>
      </c>
      <c r="GG3" s="1131">
        <v>17812.599999999999</v>
      </c>
      <c r="GH3" s="1131">
        <v>17896.599999999999</v>
      </c>
      <c r="GI3" s="1131">
        <v>17996.8</v>
      </c>
      <c r="GJ3" s="1131">
        <v>18126.2</v>
      </c>
      <c r="GK3" s="1131">
        <v>18296.7</v>
      </c>
      <c r="GL3" s="1131">
        <v>18436.3</v>
      </c>
      <c r="GM3" s="1131">
        <v>18590</v>
      </c>
      <c r="GN3" s="1131">
        <v>18679.599999999999</v>
      </c>
      <c r="GO3" s="1131">
        <v>18721.3</v>
      </c>
      <c r="GP3" s="1131">
        <v>18833.2</v>
      </c>
      <c r="GQ3" s="1131">
        <v>18982.5</v>
      </c>
      <c r="GR3" s="1131">
        <v>19112.7</v>
      </c>
      <c r="GS3" s="1131">
        <v>19202.3</v>
      </c>
      <c r="GT3" s="1131">
        <v>18952</v>
      </c>
      <c r="GU3" s="1131">
        <v>17258.2</v>
      </c>
      <c r="GV3" s="1131">
        <v>18560.8</v>
      </c>
      <c r="GW3" s="1131">
        <v>18767.8</v>
      </c>
      <c r="GX3" s="1131">
        <v>19055.7</v>
      </c>
      <c r="GY3" s="1131">
        <v>19368.3</v>
      </c>
    </row>
    <row r="4" spans="1:208" x14ac:dyDescent="0.35">
      <c r="A4" s="1131" t="s">
        <v>203</v>
      </c>
      <c r="B4" s="1131">
        <v>21.271999999999998</v>
      </c>
      <c r="C4" s="1131">
        <v>21.579000000000001</v>
      </c>
      <c r="D4" s="1131">
        <v>21.756</v>
      </c>
      <c r="E4" s="1131">
        <v>22.041</v>
      </c>
      <c r="F4" s="1131">
        <v>22.375</v>
      </c>
      <c r="G4" s="1131">
        <v>22.673999999999999</v>
      </c>
      <c r="H4" s="1131">
        <v>22.902999999999999</v>
      </c>
      <c r="I4" s="1131">
        <v>23.091999999999999</v>
      </c>
      <c r="J4" s="1131">
        <v>23.463000000000001</v>
      </c>
      <c r="K4" s="1131">
        <v>23.606000000000002</v>
      </c>
      <c r="L4" s="1131">
        <v>23.82</v>
      </c>
      <c r="M4" s="1131">
        <v>24.09</v>
      </c>
      <c r="N4" s="1131">
        <v>24.396000000000001</v>
      </c>
      <c r="O4" s="1131">
        <v>24.8</v>
      </c>
      <c r="P4" s="1131">
        <v>25.273</v>
      </c>
      <c r="Q4" s="1131">
        <v>25.710999999999999</v>
      </c>
      <c r="R4" s="1131">
        <v>26.231999999999999</v>
      </c>
      <c r="S4" s="1131">
        <v>26.815000000000001</v>
      </c>
      <c r="T4" s="1131">
        <v>27.640999999999998</v>
      </c>
      <c r="U4" s="1131">
        <v>28.478999999999999</v>
      </c>
      <c r="V4" s="1131">
        <v>29.123999999999999</v>
      </c>
      <c r="W4" s="1131">
        <v>29.545999999999999</v>
      </c>
      <c r="X4" s="1131">
        <v>30.068000000000001</v>
      </c>
      <c r="Y4" s="1131">
        <v>30.57</v>
      </c>
      <c r="Z4" s="1131">
        <v>30.905000000000001</v>
      </c>
      <c r="AA4" s="1131">
        <v>31.213000000000001</v>
      </c>
      <c r="AB4" s="1131">
        <v>31.611000000000001</v>
      </c>
      <c r="AC4" s="1131">
        <v>32.148000000000003</v>
      </c>
      <c r="AD4" s="1131">
        <v>32.667999999999999</v>
      </c>
      <c r="AE4" s="1131">
        <v>33.183999999999997</v>
      </c>
      <c r="AF4" s="1131">
        <v>33.640999999999998</v>
      </c>
      <c r="AG4" s="1131">
        <v>34.203000000000003</v>
      </c>
      <c r="AH4" s="1131">
        <v>34.762999999999998</v>
      </c>
      <c r="AI4" s="1131">
        <v>35.457000000000001</v>
      </c>
      <c r="AJ4" s="1131">
        <v>36.082999999999998</v>
      </c>
      <c r="AK4" s="1131">
        <v>36.795999999999999</v>
      </c>
      <c r="AL4" s="1131">
        <v>37.482999999999997</v>
      </c>
      <c r="AM4" s="1131">
        <v>38.387999999999998</v>
      </c>
      <c r="AN4" s="1131">
        <v>39.19</v>
      </c>
      <c r="AO4" s="1131">
        <v>39.905000000000001</v>
      </c>
      <c r="AP4" s="1131">
        <v>40.777000000000001</v>
      </c>
      <c r="AQ4" s="1131">
        <v>41.744999999999997</v>
      </c>
      <c r="AR4" s="1131">
        <v>42.676000000000002</v>
      </c>
      <c r="AS4" s="1131">
        <v>43.807000000000002</v>
      </c>
      <c r="AT4" s="1131">
        <v>44.968000000000004</v>
      </c>
      <c r="AU4" s="1131">
        <v>45.813000000000002</v>
      </c>
      <c r="AV4" s="1131">
        <v>46.703000000000003</v>
      </c>
      <c r="AW4" s="1131">
        <v>47.475000000000001</v>
      </c>
      <c r="AX4" s="1131">
        <v>48.155000000000001</v>
      </c>
      <c r="AY4" s="1131">
        <v>48.795000000000002</v>
      </c>
      <c r="AZ4" s="1131">
        <v>49.472000000000001</v>
      </c>
      <c r="BA4" s="1131">
        <v>49.972999999999999</v>
      </c>
      <c r="BB4" s="1131">
        <v>50.372</v>
      </c>
      <c r="BC4" s="1131">
        <v>50.746000000000002</v>
      </c>
      <c r="BD4" s="1131">
        <v>51.284999999999997</v>
      </c>
      <c r="BE4" s="1131">
        <v>51.668999999999997</v>
      </c>
      <c r="BF4" s="1131">
        <v>52.177999999999997</v>
      </c>
      <c r="BG4" s="1131">
        <v>52.646999999999998</v>
      </c>
      <c r="BH4" s="1131">
        <v>53.122</v>
      </c>
      <c r="BI4" s="1131">
        <v>53.494</v>
      </c>
      <c r="BJ4" s="1131">
        <v>54.040999999999997</v>
      </c>
      <c r="BK4" s="1131">
        <v>54.360999999999997</v>
      </c>
      <c r="BL4" s="1131">
        <v>54.722000000000001</v>
      </c>
      <c r="BM4" s="1131">
        <v>55.006</v>
      </c>
      <c r="BN4" s="1131">
        <v>55.277999999999999</v>
      </c>
      <c r="BO4" s="1131">
        <v>55.472000000000001</v>
      </c>
      <c r="BP4" s="1131">
        <v>55.734999999999999</v>
      </c>
      <c r="BQ4" s="1131">
        <v>56.066000000000003</v>
      </c>
      <c r="BR4" s="1131">
        <v>56.390999999999998</v>
      </c>
      <c r="BS4" s="1131">
        <v>56.774000000000001</v>
      </c>
      <c r="BT4" s="1131">
        <v>57.212000000000003</v>
      </c>
      <c r="BU4" s="1131">
        <v>57.640999999999998</v>
      </c>
      <c r="BV4" s="1131">
        <v>58.087000000000003</v>
      </c>
      <c r="BW4" s="1131">
        <v>58.667000000000002</v>
      </c>
      <c r="BX4" s="1131">
        <v>59.384999999999998</v>
      </c>
      <c r="BY4" s="1131">
        <v>59.932000000000002</v>
      </c>
      <c r="BZ4" s="1131">
        <v>60.508000000000003</v>
      </c>
      <c r="CA4" s="1131">
        <v>61.162999999999997</v>
      </c>
      <c r="CB4" s="1131">
        <v>61.616999999999997</v>
      </c>
      <c r="CC4" s="1131">
        <v>62.036999999999999</v>
      </c>
      <c r="CD4" s="1131">
        <v>62.713000000000001</v>
      </c>
      <c r="CE4" s="1131">
        <v>63.414999999999999</v>
      </c>
      <c r="CF4" s="1131">
        <v>63.963000000000001</v>
      </c>
      <c r="CG4" s="1131">
        <v>64.451999999999998</v>
      </c>
      <c r="CH4" s="1131">
        <v>65.078000000000003</v>
      </c>
      <c r="CI4" s="1131">
        <v>65.546999999999997</v>
      </c>
      <c r="CJ4" s="1131">
        <v>66.05</v>
      </c>
      <c r="CK4" s="1131">
        <v>66.433999999999997</v>
      </c>
      <c r="CL4" s="1131">
        <v>66.7</v>
      </c>
      <c r="CM4" s="1131">
        <v>67.097999999999999</v>
      </c>
      <c r="CN4" s="1131">
        <v>67.418999999999997</v>
      </c>
      <c r="CO4" s="1131">
        <v>67.894000000000005</v>
      </c>
      <c r="CP4" s="1131">
        <v>68.298000000000002</v>
      </c>
      <c r="CQ4" s="1131">
        <v>68.700999999999993</v>
      </c>
      <c r="CR4" s="1131">
        <v>69.046000000000006</v>
      </c>
      <c r="CS4" s="1131">
        <v>69.451999999999998</v>
      </c>
      <c r="CT4" s="1131">
        <v>69.807000000000002</v>
      </c>
      <c r="CU4" s="1131">
        <v>70.14</v>
      </c>
      <c r="CV4" s="1131">
        <v>70.513999999999996</v>
      </c>
      <c r="CW4" s="1131">
        <v>70.906999999999996</v>
      </c>
      <c r="CX4" s="1131">
        <v>71.311000000000007</v>
      </c>
      <c r="CY4" s="1131">
        <v>71.661000000000001</v>
      </c>
      <c r="CZ4" s="1131">
        <v>71.981999999999999</v>
      </c>
      <c r="DA4" s="1131">
        <v>72.322000000000003</v>
      </c>
      <c r="DB4" s="1131">
        <v>72.655000000000001</v>
      </c>
      <c r="DC4" s="1131">
        <v>72.951999999999998</v>
      </c>
      <c r="DD4" s="1131">
        <v>73.305999999999997</v>
      </c>
      <c r="DE4" s="1131">
        <v>73.616</v>
      </c>
      <c r="DF4" s="1131">
        <v>73.945999999999998</v>
      </c>
      <c r="DG4" s="1131">
        <v>74.313999999999993</v>
      </c>
      <c r="DH4" s="1131">
        <v>74.534999999999997</v>
      </c>
      <c r="DI4" s="1131">
        <v>74.802000000000007</v>
      </c>
      <c r="DJ4" s="1131">
        <v>74.878</v>
      </c>
      <c r="DK4" s="1131">
        <v>75.072000000000003</v>
      </c>
      <c r="DL4" s="1131">
        <v>75.363</v>
      </c>
      <c r="DM4" s="1131">
        <v>75.564999999999998</v>
      </c>
      <c r="DN4" s="1131">
        <v>75.769000000000005</v>
      </c>
      <c r="DO4" s="1131">
        <v>76.111999999999995</v>
      </c>
      <c r="DP4" s="1131">
        <v>76.403999999999996</v>
      </c>
      <c r="DQ4" s="1131">
        <v>76.805999999999997</v>
      </c>
      <c r="DR4" s="1131">
        <v>77.317999999999998</v>
      </c>
      <c r="DS4" s="1131">
        <v>77.783000000000001</v>
      </c>
      <c r="DT4" s="1131">
        <v>78.27</v>
      </c>
      <c r="DU4" s="1131">
        <v>78.694000000000003</v>
      </c>
      <c r="DV4" s="1131">
        <v>79.233000000000004</v>
      </c>
      <c r="DW4" s="1131">
        <v>79.760999999999996</v>
      </c>
      <c r="DX4" s="1131">
        <v>80.003</v>
      </c>
      <c r="DY4" s="1131">
        <v>80.260999999999996</v>
      </c>
      <c r="DZ4" s="1131">
        <v>80.474999999999994</v>
      </c>
      <c r="EA4" s="1131">
        <v>80.793999999999997</v>
      </c>
      <c r="EB4" s="1131">
        <v>81.155000000000001</v>
      </c>
      <c r="EC4" s="1131">
        <v>81.626999999999995</v>
      </c>
      <c r="ED4" s="1131">
        <v>82.067999999999998</v>
      </c>
      <c r="EE4" s="1131">
        <v>82.349000000000004</v>
      </c>
      <c r="EF4" s="1131">
        <v>82.822000000000003</v>
      </c>
      <c r="EG4" s="1131">
        <v>83.302000000000007</v>
      </c>
      <c r="EH4" s="1131">
        <v>83.899000000000001</v>
      </c>
      <c r="EI4" s="1131">
        <v>84.58</v>
      </c>
      <c r="EJ4" s="1131">
        <v>85.116</v>
      </c>
      <c r="EK4" s="1131">
        <v>85.772000000000006</v>
      </c>
      <c r="EL4" s="1131">
        <v>86.43</v>
      </c>
      <c r="EM4" s="1131">
        <v>87.061999999999998</v>
      </c>
      <c r="EN4" s="1131">
        <v>87.884</v>
      </c>
      <c r="EO4" s="1131">
        <v>88.584000000000003</v>
      </c>
      <c r="EP4" s="1131">
        <v>89.203999999999994</v>
      </c>
      <c r="EQ4" s="1131">
        <v>89.992999999999995</v>
      </c>
      <c r="ER4" s="1131">
        <v>90.652000000000001</v>
      </c>
      <c r="ES4" s="1131">
        <v>90.997</v>
      </c>
      <c r="ET4" s="1131">
        <v>91.908000000000001</v>
      </c>
      <c r="EU4" s="1131">
        <v>92.491</v>
      </c>
      <c r="EV4" s="1131">
        <v>92.882000000000005</v>
      </c>
      <c r="EW4" s="1131">
        <v>93.331999999999994</v>
      </c>
      <c r="EX4" s="1131">
        <v>93.734999999999999</v>
      </c>
      <c r="EY4" s="1131">
        <v>94.075000000000003</v>
      </c>
      <c r="EZ4" s="1131">
        <v>94.804000000000002</v>
      </c>
      <c r="FA4" s="1131">
        <v>94.974999999999994</v>
      </c>
      <c r="FB4" s="1131">
        <v>95.001000000000005</v>
      </c>
      <c r="FC4" s="1131">
        <v>94.87</v>
      </c>
      <c r="FD4" s="1131">
        <v>94.927999999999997</v>
      </c>
      <c r="FE4" s="1131">
        <v>95.277000000000001</v>
      </c>
      <c r="FF4" s="1131">
        <v>95.518000000000001</v>
      </c>
      <c r="FG4" s="1131">
        <v>95.962999999999994</v>
      </c>
      <c r="FH4" s="1131">
        <v>96.311999999999998</v>
      </c>
      <c r="FI4" s="1131">
        <v>96.864000000000004</v>
      </c>
      <c r="FJ4" s="1131">
        <v>97.338999999999999</v>
      </c>
      <c r="FK4" s="1131">
        <v>98.042000000000002</v>
      </c>
      <c r="FL4" s="1131">
        <v>98.561000000000007</v>
      </c>
      <c r="FM4" s="1131">
        <v>98.686999999999998</v>
      </c>
      <c r="FN4" s="1131">
        <v>99.277000000000001</v>
      </c>
      <c r="FO4" s="1131">
        <v>99.69</v>
      </c>
      <c r="FP4" s="1131">
        <v>100.304</v>
      </c>
      <c r="FQ4" s="1131">
        <v>100.73</v>
      </c>
      <c r="FR4" s="1131">
        <v>101.124</v>
      </c>
      <c r="FS4" s="1131">
        <v>101.428</v>
      </c>
      <c r="FT4" s="1131">
        <v>101.973</v>
      </c>
      <c r="FU4" s="1131">
        <v>102.55</v>
      </c>
      <c r="FV4" s="1131">
        <v>102.965</v>
      </c>
      <c r="FW4" s="1131">
        <v>103.55200000000001</v>
      </c>
      <c r="FX4" s="1131">
        <v>104.029</v>
      </c>
      <c r="FY4" s="1131">
        <v>104.104</v>
      </c>
      <c r="FZ4" s="1131">
        <v>104.092</v>
      </c>
      <c r="GA4" s="1131">
        <v>104.68300000000001</v>
      </c>
      <c r="GB4" s="1131">
        <v>104.93899999999999</v>
      </c>
      <c r="GC4" s="1131">
        <v>104.932</v>
      </c>
      <c r="GD4" s="1131">
        <v>104.873</v>
      </c>
      <c r="GE4" s="1131">
        <v>105.57599999999999</v>
      </c>
      <c r="GF4" s="1131">
        <v>105.89400000000001</v>
      </c>
      <c r="GG4" s="1131">
        <v>106.47</v>
      </c>
      <c r="GH4" s="1131">
        <v>107.00700000000001</v>
      </c>
      <c r="GI4" s="1131">
        <v>107.361</v>
      </c>
      <c r="GJ4" s="1131">
        <v>107.94199999999999</v>
      </c>
      <c r="GK4" s="1131">
        <v>108.658</v>
      </c>
      <c r="GL4" s="1131">
        <v>109.312</v>
      </c>
      <c r="GM4" s="1131">
        <v>110.15600000000001</v>
      </c>
      <c r="GN4" s="1131">
        <v>110.64700000000001</v>
      </c>
      <c r="GO4" s="1131">
        <v>111.191</v>
      </c>
      <c r="GP4" s="1131">
        <v>111.502</v>
      </c>
      <c r="GQ4" s="1131">
        <v>112.142</v>
      </c>
      <c r="GR4" s="1131">
        <v>112.524</v>
      </c>
      <c r="GS4" s="1131">
        <v>112.947</v>
      </c>
      <c r="GT4" s="1131">
        <v>113.39700000000001</v>
      </c>
      <c r="GU4" s="1131">
        <v>112.96899999999999</v>
      </c>
      <c r="GV4" s="1131">
        <v>113.98399999999999</v>
      </c>
      <c r="GW4" s="1131">
        <v>114.611</v>
      </c>
      <c r="GX4" s="1131">
        <v>115.82599999999999</v>
      </c>
      <c r="GY4" s="1131">
        <v>117.54600000000001</v>
      </c>
    </row>
    <row r="5" spans="1:208" x14ac:dyDescent="0.35">
      <c r="A5" s="1131" t="s">
        <v>204</v>
      </c>
      <c r="B5" s="1131">
        <v>631.70000000000005</v>
      </c>
      <c r="C5" s="1131">
        <v>641.6</v>
      </c>
      <c r="D5" s="1131">
        <v>653.5</v>
      </c>
      <c r="E5" s="1131">
        <v>660.2</v>
      </c>
      <c r="F5" s="1131">
        <v>679.2</v>
      </c>
      <c r="G5" s="1131">
        <v>693.2</v>
      </c>
      <c r="H5" s="1131">
        <v>705.6</v>
      </c>
      <c r="I5" s="1131">
        <v>721.7</v>
      </c>
      <c r="J5" s="1131">
        <v>738.9</v>
      </c>
      <c r="K5" s="1131">
        <v>757.4</v>
      </c>
      <c r="L5" s="1131">
        <v>775.8</v>
      </c>
      <c r="M5" s="1131">
        <v>800.5</v>
      </c>
      <c r="N5" s="1131">
        <v>825</v>
      </c>
      <c r="O5" s="1131">
        <v>840.5</v>
      </c>
      <c r="P5" s="1131">
        <v>858.9</v>
      </c>
      <c r="Q5" s="1131">
        <v>873.9</v>
      </c>
      <c r="R5" s="1131">
        <v>891.9</v>
      </c>
      <c r="S5" s="1131">
        <v>920.4</v>
      </c>
      <c r="T5" s="1131">
        <v>949.3</v>
      </c>
      <c r="U5" s="1131">
        <v>959.1</v>
      </c>
      <c r="V5" s="1131">
        <v>985.2</v>
      </c>
      <c r="W5" s="1131">
        <v>1013.6</v>
      </c>
      <c r="X5" s="1131">
        <v>1047.2</v>
      </c>
      <c r="Y5" s="1131">
        <v>1076.2</v>
      </c>
      <c r="Z5" s="1131">
        <v>1109.9000000000001</v>
      </c>
      <c r="AA5" s="1131">
        <v>1129.5</v>
      </c>
      <c r="AB5" s="1131">
        <v>1158.8</v>
      </c>
      <c r="AC5" s="1131">
        <v>1192.4000000000001</v>
      </c>
      <c r="AD5" s="1131">
        <v>1228.2</v>
      </c>
      <c r="AE5" s="1131">
        <v>1256</v>
      </c>
      <c r="AF5" s="1131">
        <v>1286.9000000000001</v>
      </c>
      <c r="AG5" s="1131">
        <v>1324.8</v>
      </c>
      <c r="AH5" s="1131">
        <v>1354.1</v>
      </c>
      <c r="AI5" s="1131">
        <v>1411.4</v>
      </c>
      <c r="AJ5" s="1131">
        <v>1442.2</v>
      </c>
      <c r="AK5" s="1131">
        <v>1481.4</v>
      </c>
      <c r="AL5" s="1131">
        <v>1517.1</v>
      </c>
      <c r="AM5" s="1131">
        <v>1557.6</v>
      </c>
      <c r="AN5" s="1131">
        <v>1611.9</v>
      </c>
      <c r="AO5" s="1131">
        <v>1655</v>
      </c>
      <c r="AP5" s="1131">
        <v>1702.3</v>
      </c>
      <c r="AQ5" s="1131">
        <v>1704.7</v>
      </c>
      <c r="AR5" s="1131">
        <v>1763.8</v>
      </c>
      <c r="AS5" s="1131">
        <v>1831.9</v>
      </c>
      <c r="AT5" s="1131">
        <v>1885.7</v>
      </c>
      <c r="AU5" s="1131">
        <v>1917.5</v>
      </c>
      <c r="AV5" s="1131">
        <v>1958.1</v>
      </c>
      <c r="AW5" s="1131">
        <v>1974.4</v>
      </c>
      <c r="AX5" s="1131">
        <v>2014.2</v>
      </c>
      <c r="AY5" s="1131">
        <v>2039.6</v>
      </c>
      <c r="AZ5" s="1131">
        <v>2085.6999999999998</v>
      </c>
      <c r="BA5" s="1131">
        <v>2145.6</v>
      </c>
      <c r="BB5" s="1131">
        <v>2184.6</v>
      </c>
      <c r="BC5" s="1131">
        <v>2249.4</v>
      </c>
      <c r="BD5" s="1131">
        <v>2319.9</v>
      </c>
      <c r="BE5" s="1131">
        <v>2372.5</v>
      </c>
      <c r="BF5" s="1131">
        <v>2418.1999999999998</v>
      </c>
      <c r="BG5" s="1131">
        <v>2475.9</v>
      </c>
      <c r="BH5" s="1131">
        <v>2513.5</v>
      </c>
      <c r="BI5" s="1131">
        <v>2561.8000000000002</v>
      </c>
      <c r="BJ5" s="1131">
        <v>2636</v>
      </c>
      <c r="BK5" s="1131">
        <v>2681.8</v>
      </c>
      <c r="BL5" s="1131">
        <v>2754.1</v>
      </c>
      <c r="BM5" s="1131">
        <v>2779.4</v>
      </c>
      <c r="BN5" s="1131">
        <v>2823.6</v>
      </c>
      <c r="BO5" s="1131">
        <v>2851.5</v>
      </c>
      <c r="BP5" s="1131">
        <v>2917.2</v>
      </c>
      <c r="BQ5" s="1131">
        <v>2952.8</v>
      </c>
      <c r="BR5" s="1131">
        <v>2983.5</v>
      </c>
      <c r="BS5" s="1131">
        <v>3053.3</v>
      </c>
      <c r="BT5" s="1131">
        <v>3117.4</v>
      </c>
      <c r="BU5" s="1131">
        <v>3150.9</v>
      </c>
      <c r="BV5" s="1131">
        <v>3231.9</v>
      </c>
      <c r="BW5" s="1131">
        <v>3291.7</v>
      </c>
      <c r="BX5" s="1131">
        <v>3361.9</v>
      </c>
      <c r="BY5" s="1131">
        <v>3434.5</v>
      </c>
      <c r="BZ5" s="1131">
        <v>3490.2</v>
      </c>
      <c r="CA5" s="1131">
        <v>3553.8</v>
      </c>
      <c r="CB5" s="1131">
        <v>3609.4</v>
      </c>
      <c r="CC5" s="1131">
        <v>3653.7</v>
      </c>
      <c r="CD5" s="1131">
        <v>3737.9</v>
      </c>
      <c r="CE5" s="1131">
        <v>3783.4</v>
      </c>
      <c r="CF5" s="1131">
        <v>3846.7</v>
      </c>
      <c r="CG5" s="1131">
        <v>3867.9</v>
      </c>
      <c r="CH5" s="1131">
        <v>3873.6</v>
      </c>
      <c r="CI5" s="1131">
        <v>3926.9</v>
      </c>
      <c r="CJ5" s="1131">
        <v>3973.3</v>
      </c>
      <c r="CK5" s="1131">
        <v>4000</v>
      </c>
      <c r="CL5" s="1131">
        <v>4100.3999999999996</v>
      </c>
      <c r="CM5" s="1131">
        <v>4155.7</v>
      </c>
      <c r="CN5" s="1131">
        <v>4227</v>
      </c>
      <c r="CO5" s="1131">
        <v>4307.2</v>
      </c>
      <c r="CP5" s="1131">
        <v>4349.5</v>
      </c>
      <c r="CQ5" s="1131">
        <v>4418.6000000000004</v>
      </c>
      <c r="CR5" s="1131">
        <v>4487.2</v>
      </c>
      <c r="CS5" s="1131">
        <v>4552.7</v>
      </c>
      <c r="CT5" s="1131">
        <v>4621.2</v>
      </c>
      <c r="CU5" s="1131">
        <v>4683.2</v>
      </c>
      <c r="CV5" s="1131">
        <v>4752.8</v>
      </c>
      <c r="CW5" s="1131">
        <v>4826.7</v>
      </c>
      <c r="CX5" s="1131">
        <v>4862.3999999999996</v>
      </c>
      <c r="CY5" s="1131">
        <v>4933.6000000000004</v>
      </c>
      <c r="CZ5" s="1131">
        <v>4998.7</v>
      </c>
      <c r="DA5" s="1131">
        <v>5055.7</v>
      </c>
      <c r="DB5" s="1131">
        <v>5130.6000000000004</v>
      </c>
      <c r="DC5" s="1131">
        <v>5220.5</v>
      </c>
      <c r="DD5" s="1131">
        <v>5274.5</v>
      </c>
      <c r="DE5" s="1131">
        <v>5352.8</v>
      </c>
      <c r="DF5" s="1131">
        <v>5433.1</v>
      </c>
      <c r="DG5" s="1131">
        <v>5471.3</v>
      </c>
      <c r="DH5" s="1131">
        <v>5579.2</v>
      </c>
      <c r="DI5" s="1131">
        <v>5663.6</v>
      </c>
      <c r="DJ5" s="1131">
        <v>5721.3</v>
      </c>
      <c r="DK5" s="1131">
        <v>5832.6</v>
      </c>
      <c r="DL5" s="1131">
        <v>5926.8</v>
      </c>
      <c r="DM5" s="1131">
        <v>6028.2</v>
      </c>
      <c r="DN5" s="1131">
        <v>6102</v>
      </c>
      <c r="DO5" s="1131">
        <v>6230.6</v>
      </c>
      <c r="DP5" s="1131">
        <v>6335.3</v>
      </c>
      <c r="DQ5" s="1131">
        <v>6467</v>
      </c>
      <c r="DR5" s="1131">
        <v>6618.2</v>
      </c>
      <c r="DS5" s="1131">
        <v>6711.9</v>
      </c>
      <c r="DT5" s="1131">
        <v>6820</v>
      </c>
      <c r="DU5" s="1131">
        <v>6918.6</v>
      </c>
      <c r="DV5" s="1131">
        <v>6995.3</v>
      </c>
      <c r="DW5" s="1131">
        <v>7042.3</v>
      </c>
      <c r="DX5" s="1131">
        <v>7070.3</v>
      </c>
      <c r="DY5" s="1131">
        <v>7187.3</v>
      </c>
      <c r="DZ5" s="1131">
        <v>7217.7</v>
      </c>
      <c r="EA5" s="1131">
        <v>7308</v>
      </c>
      <c r="EB5" s="1131">
        <v>7397.1</v>
      </c>
      <c r="EC5" s="1131">
        <v>7473</v>
      </c>
      <c r="ED5" s="1131">
        <v>7567.2</v>
      </c>
      <c r="EE5" s="1131">
        <v>7661.5</v>
      </c>
      <c r="EF5" s="1131">
        <v>7820.9</v>
      </c>
      <c r="EG5" s="1131">
        <v>7913.5</v>
      </c>
      <c r="EH5" s="1131">
        <v>8048.8</v>
      </c>
      <c r="EI5" s="1131">
        <v>8147.1</v>
      </c>
      <c r="EJ5" s="1131">
        <v>8283.2999999999993</v>
      </c>
      <c r="EK5" s="1131">
        <v>8448.6</v>
      </c>
      <c r="EL5" s="1131">
        <v>8551.7000000000007</v>
      </c>
      <c r="EM5" s="1131">
        <v>8701.1</v>
      </c>
      <c r="EN5" s="1131">
        <v>8868.1</v>
      </c>
      <c r="EO5" s="1131">
        <v>8955.2999999999993</v>
      </c>
      <c r="EP5" s="1131">
        <v>9100.2000000000007</v>
      </c>
      <c r="EQ5" s="1131">
        <v>9227.6</v>
      </c>
      <c r="ER5" s="1131">
        <v>9353.7999999999993</v>
      </c>
      <c r="ES5" s="1131">
        <v>9427.4</v>
      </c>
      <c r="ET5" s="1131">
        <v>9572.1</v>
      </c>
      <c r="EU5" s="1131">
        <v>9678.7000000000007</v>
      </c>
      <c r="EV5" s="1131">
        <v>9798.4</v>
      </c>
      <c r="EW5" s="1131">
        <v>9937.1</v>
      </c>
      <c r="EX5" s="1131">
        <v>10004.4</v>
      </c>
      <c r="EY5" s="1131">
        <v>10129.9</v>
      </c>
      <c r="EZ5" s="1131">
        <v>10159.1</v>
      </c>
      <c r="FA5" s="1131">
        <v>9906.9</v>
      </c>
      <c r="FB5" s="1131">
        <v>9815</v>
      </c>
      <c r="FC5" s="1131">
        <v>9805.5</v>
      </c>
      <c r="FD5" s="1131">
        <v>9939.4</v>
      </c>
      <c r="FE5" s="1131">
        <v>10005</v>
      </c>
      <c r="FF5" s="1131">
        <v>10101.799999999999</v>
      </c>
      <c r="FG5" s="1131">
        <v>10208.1</v>
      </c>
      <c r="FH5" s="1131">
        <v>10300.799999999999</v>
      </c>
      <c r="FI5" s="1131">
        <v>10430.299999999999</v>
      </c>
      <c r="FJ5" s="1131">
        <v>10558.2</v>
      </c>
      <c r="FK5" s="1131">
        <v>10673</v>
      </c>
      <c r="FL5" s="1131">
        <v>10755</v>
      </c>
      <c r="FM5" s="1131">
        <v>10809.2</v>
      </c>
      <c r="FN5" s="1131">
        <v>10959.3</v>
      </c>
      <c r="FO5" s="1131">
        <v>11005.1</v>
      </c>
      <c r="FP5" s="1131">
        <v>11059.4</v>
      </c>
      <c r="FQ5" s="1131">
        <v>11165.7</v>
      </c>
      <c r="FR5" s="1131">
        <v>11265.6</v>
      </c>
      <c r="FS5" s="1131">
        <v>11291</v>
      </c>
      <c r="FT5" s="1131">
        <v>11379.2</v>
      </c>
      <c r="FU5" s="1131">
        <v>11518.4</v>
      </c>
      <c r="FV5" s="1131">
        <v>11618.1</v>
      </c>
      <c r="FW5" s="1131">
        <v>11784.7</v>
      </c>
      <c r="FX5" s="1131">
        <v>11934.3</v>
      </c>
      <c r="FY5" s="1131">
        <v>12053.8</v>
      </c>
      <c r="FZ5" s="1131">
        <v>12083.9</v>
      </c>
      <c r="GA5" s="1131">
        <v>12224.7</v>
      </c>
      <c r="GB5" s="1131">
        <v>12347.8</v>
      </c>
      <c r="GC5" s="1131">
        <v>12397.5</v>
      </c>
      <c r="GD5" s="1131">
        <v>12495.1</v>
      </c>
      <c r="GE5" s="1131">
        <v>12637.4</v>
      </c>
      <c r="GF5" s="1131">
        <v>12759.1</v>
      </c>
      <c r="GG5" s="1131">
        <v>12881.6</v>
      </c>
      <c r="GH5" s="1131">
        <v>13046.4</v>
      </c>
      <c r="GI5" s="1131">
        <v>13144.4</v>
      </c>
      <c r="GJ5" s="1131">
        <v>13268.1</v>
      </c>
      <c r="GK5" s="1131">
        <v>13497.5</v>
      </c>
      <c r="GL5" s="1131">
        <v>13667.4</v>
      </c>
      <c r="GM5" s="1131">
        <v>13864.8</v>
      </c>
      <c r="GN5" s="1131">
        <v>14002.6</v>
      </c>
      <c r="GO5" s="1131">
        <v>14119.3</v>
      </c>
      <c r="GP5" s="1131">
        <v>14155.6</v>
      </c>
      <c r="GQ5" s="1131">
        <v>14375.7</v>
      </c>
      <c r="GR5" s="1131">
        <v>14529.5</v>
      </c>
      <c r="GS5" s="1131">
        <v>14653.9</v>
      </c>
      <c r="GT5" s="1131">
        <v>14439.1</v>
      </c>
      <c r="GU5" s="1131">
        <v>12989.7</v>
      </c>
      <c r="GV5" s="1131">
        <v>14293.8</v>
      </c>
      <c r="GW5" s="1131">
        <v>14467.6</v>
      </c>
      <c r="GX5" s="1131">
        <v>15005.4</v>
      </c>
      <c r="GY5" s="1131">
        <v>15681.7</v>
      </c>
    </row>
    <row r="6" spans="1:208" x14ac:dyDescent="0.35">
      <c r="A6" s="1131" t="s">
        <v>205</v>
      </c>
      <c r="B6" s="1131">
        <v>3071.1</v>
      </c>
      <c r="C6" s="1131">
        <v>3085</v>
      </c>
      <c r="D6" s="1131">
        <v>3112</v>
      </c>
      <c r="E6" s="1131">
        <v>3103.6</v>
      </c>
      <c r="F6" s="1131">
        <v>3163.1</v>
      </c>
      <c r="G6" s="1131">
        <v>3192.2</v>
      </c>
      <c r="H6" s="1131">
        <v>3217.7</v>
      </c>
      <c r="I6" s="1131">
        <v>3271.1</v>
      </c>
      <c r="J6" s="1131">
        <v>3314.2</v>
      </c>
      <c r="K6" s="1131">
        <v>3377.3</v>
      </c>
      <c r="L6" s="1131">
        <v>3429.4</v>
      </c>
      <c r="M6" s="1131">
        <v>3509.8</v>
      </c>
      <c r="N6" s="1131">
        <v>3573.9</v>
      </c>
      <c r="O6" s="1131">
        <v>3572.3</v>
      </c>
      <c r="P6" s="1131">
        <v>3584.9</v>
      </c>
      <c r="Q6" s="1131">
        <v>3574.2</v>
      </c>
      <c r="R6" s="1131">
        <v>3542.2</v>
      </c>
      <c r="S6" s="1131">
        <v>3555</v>
      </c>
      <c r="T6" s="1131">
        <v>3570.2</v>
      </c>
      <c r="U6" s="1131">
        <v>3518.1</v>
      </c>
      <c r="V6" s="1131">
        <v>3547.6</v>
      </c>
      <c r="W6" s="1131">
        <v>3605.9</v>
      </c>
      <c r="X6" s="1131">
        <v>3657.2</v>
      </c>
      <c r="Y6" s="1131">
        <v>3696.5</v>
      </c>
      <c r="Z6" s="1131">
        <v>3770.4</v>
      </c>
      <c r="AA6" s="1131">
        <v>3805.1</v>
      </c>
      <c r="AB6" s="1131">
        <v>3845.1</v>
      </c>
      <c r="AC6" s="1131">
        <v>3895</v>
      </c>
      <c r="AD6" s="1131">
        <v>3940.9</v>
      </c>
      <c r="AE6" s="1131">
        <v>3962.3</v>
      </c>
      <c r="AF6" s="1131">
        <v>3999.8</v>
      </c>
      <c r="AG6" s="1131">
        <v>4059.9</v>
      </c>
      <c r="AH6" s="1131">
        <v>4082.7</v>
      </c>
      <c r="AI6" s="1131">
        <v>4170</v>
      </c>
      <c r="AJ6" s="1131">
        <v>4187.5</v>
      </c>
      <c r="AK6" s="1131">
        <v>4221.3</v>
      </c>
      <c r="AL6" s="1131">
        <v>4243.2</v>
      </c>
      <c r="AM6" s="1131">
        <v>4240.3999999999996</v>
      </c>
      <c r="AN6" s="1131">
        <v>4281.7</v>
      </c>
      <c r="AO6" s="1131">
        <v>4292.3</v>
      </c>
      <c r="AP6" s="1131">
        <v>4286.2</v>
      </c>
      <c r="AQ6" s="1131">
        <v>4189.7</v>
      </c>
      <c r="AR6" s="1131">
        <v>4235.6000000000004</v>
      </c>
      <c r="AS6" s="1131">
        <v>4292.8999999999996</v>
      </c>
      <c r="AT6" s="1131">
        <v>4307.2</v>
      </c>
      <c r="AU6" s="1131">
        <v>4307.6000000000004</v>
      </c>
      <c r="AV6" s="1131">
        <v>4327.5</v>
      </c>
      <c r="AW6" s="1131">
        <v>4297.8999999999996</v>
      </c>
      <c r="AX6" s="1131">
        <v>4329.5</v>
      </c>
      <c r="AY6" s="1131">
        <v>4342.7</v>
      </c>
      <c r="AZ6" s="1131">
        <v>4371.8</v>
      </c>
      <c r="BA6" s="1131">
        <v>4448.3999999999996</v>
      </c>
      <c r="BB6" s="1131">
        <v>4492.3999999999996</v>
      </c>
      <c r="BC6" s="1131">
        <v>4583.8999999999996</v>
      </c>
      <c r="BD6" s="1131">
        <v>4666.1000000000004</v>
      </c>
      <c r="BE6" s="1131">
        <v>4740.3999999999996</v>
      </c>
      <c r="BF6" s="1131">
        <v>4779.8</v>
      </c>
      <c r="BG6" s="1131">
        <v>4846.7</v>
      </c>
      <c r="BH6" s="1131">
        <v>4882.7</v>
      </c>
      <c r="BI6" s="1131">
        <v>4945.8999999999996</v>
      </c>
      <c r="BJ6" s="1131">
        <v>5030</v>
      </c>
      <c r="BK6" s="1131">
        <v>5076.1000000000004</v>
      </c>
      <c r="BL6" s="1131">
        <v>5172.6000000000004</v>
      </c>
      <c r="BM6" s="1131">
        <v>5183.7</v>
      </c>
      <c r="BN6" s="1131">
        <v>5229</v>
      </c>
      <c r="BO6" s="1131">
        <v>5286</v>
      </c>
      <c r="BP6" s="1131">
        <v>5379.5</v>
      </c>
      <c r="BQ6" s="1131">
        <v>5412.5</v>
      </c>
      <c r="BR6" s="1131">
        <v>5417.9</v>
      </c>
      <c r="BS6" s="1131">
        <v>5491.8</v>
      </c>
      <c r="BT6" s="1131">
        <v>5554.5</v>
      </c>
      <c r="BU6" s="1131">
        <v>5566.3</v>
      </c>
      <c r="BV6" s="1131">
        <v>5664.6</v>
      </c>
      <c r="BW6" s="1131">
        <v>5706.4</v>
      </c>
      <c r="BX6" s="1131">
        <v>5757.1</v>
      </c>
      <c r="BY6" s="1131">
        <v>5822.6</v>
      </c>
      <c r="BZ6" s="1131">
        <v>5849.6</v>
      </c>
      <c r="CA6" s="1131">
        <v>5876.9</v>
      </c>
      <c r="CB6" s="1131">
        <v>5933.8</v>
      </c>
      <c r="CC6" s="1131">
        <v>5959.6</v>
      </c>
      <c r="CD6" s="1131">
        <v>6009.7</v>
      </c>
      <c r="CE6" s="1131">
        <v>6028</v>
      </c>
      <c r="CF6" s="1131">
        <v>6051.9</v>
      </c>
      <c r="CG6" s="1131">
        <v>6005.9</v>
      </c>
      <c r="CH6" s="1131">
        <v>5983.3</v>
      </c>
      <c r="CI6" s="1131">
        <v>6032.9</v>
      </c>
      <c r="CJ6" s="1131">
        <v>6063</v>
      </c>
      <c r="CK6" s="1131">
        <v>6059.9</v>
      </c>
      <c r="CL6" s="1131">
        <v>6173.4</v>
      </c>
      <c r="CM6" s="1131">
        <v>6215.3</v>
      </c>
      <c r="CN6" s="1131">
        <v>6281.9</v>
      </c>
      <c r="CO6" s="1131">
        <v>6356.8</v>
      </c>
      <c r="CP6" s="1131">
        <v>6381.2</v>
      </c>
      <c r="CQ6" s="1131">
        <v>6439.2</v>
      </c>
      <c r="CR6" s="1131">
        <v>6510.9</v>
      </c>
      <c r="CS6" s="1131">
        <v>6568</v>
      </c>
      <c r="CT6" s="1131">
        <v>6643.2</v>
      </c>
      <c r="CU6" s="1131">
        <v>6694.8</v>
      </c>
      <c r="CV6" s="1131">
        <v>6745.9</v>
      </c>
      <c r="CW6" s="1131">
        <v>6818.8</v>
      </c>
      <c r="CX6" s="1131">
        <v>6835.8</v>
      </c>
      <c r="CY6" s="1131">
        <v>6895.7</v>
      </c>
      <c r="CZ6" s="1131">
        <v>6958.2</v>
      </c>
      <c r="DA6" s="1131">
        <v>7006.7</v>
      </c>
      <c r="DB6" s="1131">
        <v>7071.4</v>
      </c>
      <c r="DC6" s="1131">
        <v>7147.4</v>
      </c>
      <c r="DD6" s="1131">
        <v>7190.7</v>
      </c>
      <c r="DE6" s="1131">
        <v>7248</v>
      </c>
      <c r="DF6" s="1131">
        <v>7324.4</v>
      </c>
      <c r="DG6" s="1131">
        <v>7357.4</v>
      </c>
      <c r="DH6" s="1131">
        <v>7482.7</v>
      </c>
      <c r="DI6" s="1131">
        <v>7572.1</v>
      </c>
      <c r="DJ6" s="1131">
        <v>7648.7</v>
      </c>
      <c r="DK6" s="1131">
        <v>7783.4</v>
      </c>
      <c r="DL6" s="1131">
        <v>7884.9</v>
      </c>
      <c r="DM6" s="1131">
        <v>7998.8</v>
      </c>
      <c r="DN6" s="1131">
        <v>8081</v>
      </c>
      <c r="DO6" s="1131">
        <v>8204.7999999999993</v>
      </c>
      <c r="DP6" s="1131">
        <v>8297</v>
      </c>
      <c r="DQ6" s="1131">
        <v>8418.2999999999993</v>
      </c>
      <c r="DR6" s="1131">
        <v>8545.6</v>
      </c>
      <c r="DS6" s="1131">
        <v>8625.4</v>
      </c>
      <c r="DT6" s="1131">
        <v>8708.1</v>
      </c>
      <c r="DU6" s="1131">
        <v>8784.2000000000007</v>
      </c>
      <c r="DV6" s="1131">
        <v>8816</v>
      </c>
      <c r="DW6" s="1131">
        <v>8833.7000000000007</v>
      </c>
      <c r="DX6" s="1131">
        <v>8864.5</v>
      </c>
      <c r="DY6" s="1131">
        <v>9007.5</v>
      </c>
      <c r="DZ6" s="1131">
        <v>9027.5</v>
      </c>
      <c r="EA6" s="1131">
        <v>9073.2000000000007</v>
      </c>
      <c r="EB6" s="1131">
        <v>9136.7000000000007</v>
      </c>
      <c r="EC6" s="1131">
        <v>9187.5</v>
      </c>
      <c r="ED6" s="1131">
        <v>9232.7999999999993</v>
      </c>
      <c r="EE6" s="1131">
        <v>9338.5</v>
      </c>
      <c r="EF6" s="1131">
        <v>9470.5</v>
      </c>
      <c r="EG6" s="1131">
        <v>9535.7000000000007</v>
      </c>
      <c r="EH6" s="1131">
        <v>9624.6</v>
      </c>
      <c r="EI6" s="1131">
        <v>9677.2000000000007</v>
      </c>
      <c r="EJ6" s="1131">
        <v>9790.7999999999993</v>
      </c>
      <c r="EK6" s="1131">
        <v>9901.6</v>
      </c>
      <c r="EL6" s="1131">
        <v>9964.5</v>
      </c>
      <c r="EM6" s="1131">
        <v>10074.9</v>
      </c>
      <c r="EN6" s="1131">
        <v>10158.5</v>
      </c>
      <c r="EO6" s="1131">
        <v>10177.200000000001</v>
      </c>
      <c r="EP6" s="1131">
        <v>10288.200000000001</v>
      </c>
      <c r="EQ6" s="1131">
        <v>10341.6</v>
      </c>
      <c r="ER6" s="1131">
        <v>10408</v>
      </c>
      <c r="ES6" s="1131">
        <v>10507.2</v>
      </c>
      <c r="ET6" s="1131">
        <v>10572.1</v>
      </c>
      <c r="EU6" s="1131">
        <v>10599.8</v>
      </c>
      <c r="EV6" s="1131">
        <v>10670.5</v>
      </c>
      <c r="EW6" s="1131">
        <v>10712.6</v>
      </c>
      <c r="EX6" s="1131">
        <v>10697.9</v>
      </c>
      <c r="EY6" s="1131">
        <v>10727.3</v>
      </c>
      <c r="EZ6" s="1131">
        <v>10644.7</v>
      </c>
      <c r="FA6" s="1131">
        <v>10548.9</v>
      </c>
      <c r="FB6" s="1131">
        <v>10522.1</v>
      </c>
      <c r="FC6" s="1131">
        <v>10470.4</v>
      </c>
      <c r="FD6" s="1131">
        <v>10540.8</v>
      </c>
      <c r="FE6" s="1131">
        <v>10529.2</v>
      </c>
      <c r="FF6" s="1131">
        <v>10590.2</v>
      </c>
      <c r="FG6" s="1131">
        <v>10685.1</v>
      </c>
      <c r="FH6" s="1131">
        <v>10761.4</v>
      </c>
      <c r="FI6" s="1131">
        <v>10827.3</v>
      </c>
      <c r="FJ6" s="1131">
        <v>10868.7</v>
      </c>
      <c r="FK6" s="1131">
        <v>10879.9</v>
      </c>
      <c r="FL6" s="1131">
        <v>10913</v>
      </c>
      <c r="FM6" s="1131">
        <v>10931.8</v>
      </c>
      <c r="FN6" s="1131">
        <v>11010.7</v>
      </c>
      <c r="FO6" s="1131">
        <v>11030</v>
      </c>
      <c r="FP6" s="1131">
        <v>11052.4</v>
      </c>
      <c r="FQ6" s="1131">
        <v>11096.4</v>
      </c>
      <c r="FR6" s="1131">
        <v>11155.5</v>
      </c>
      <c r="FS6" s="1131">
        <v>11172.6</v>
      </c>
      <c r="FT6" s="1131">
        <v>11214.4</v>
      </c>
      <c r="FU6" s="1131">
        <v>11304.3</v>
      </c>
      <c r="FV6" s="1131">
        <v>11347.6</v>
      </c>
      <c r="FW6" s="1131">
        <v>11453</v>
      </c>
      <c r="FX6" s="1131">
        <v>11565.7</v>
      </c>
      <c r="FY6" s="1131">
        <v>11694.9</v>
      </c>
      <c r="FZ6" s="1131">
        <v>11772.9</v>
      </c>
      <c r="GA6" s="1131">
        <v>11852.7</v>
      </c>
      <c r="GB6" s="1131">
        <v>11943</v>
      </c>
      <c r="GC6" s="1131">
        <v>12003.1</v>
      </c>
      <c r="GD6" s="1131">
        <v>12091.2</v>
      </c>
      <c r="GE6" s="1131">
        <v>12152.6</v>
      </c>
      <c r="GF6" s="1131">
        <v>12223.8</v>
      </c>
      <c r="GG6" s="1131">
        <v>12283.1</v>
      </c>
      <c r="GH6" s="1131">
        <v>12372.2</v>
      </c>
      <c r="GI6" s="1131">
        <v>12430.1</v>
      </c>
      <c r="GJ6" s="1131">
        <v>12500.4</v>
      </c>
      <c r="GK6" s="1131">
        <v>12632</v>
      </c>
      <c r="GL6" s="1131">
        <v>12707.6</v>
      </c>
      <c r="GM6" s="1131">
        <v>12816.4</v>
      </c>
      <c r="GN6" s="1131">
        <v>12900.6</v>
      </c>
      <c r="GO6" s="1131">
        <v>12955.5</v>
      </c>
      <c r="GP6" s="1131">
        <v>12975.1</v>
      </c>
      <c r="GQ6" s="1131">
        <v>13088.8</v>
      </c>
      <c r="GR6" s="1131">
        <v>13192.3</v>
      </c>
      <c r="GS6" s="1131">
        <v>13249</v>
      </c>
      <c r="GT6" s="1131">
        <v>13014.5</v>
      </c>
      <c r="GU6" s="1131">
        <v>11756.4</v>
      </c>
      <c r="GV6" s="1131">
        <v>12820.8</v>
      </c>
      <c r="GW6" s="1131">
        <v>12927.9</v>
      </c>
      <c r="GX6" s="1131">
        <v>13282.7</v>
      </c>
      <c r="GY6" s="1131">
        <v>13665.6</v>
      </c>
    </row>
    <row r="7" spans="1:208" x14ac:dyDescent="0.35">
      <c r="A7" s="1131" t="s">
        <v>206</v>
      </c>
      <c r="B7" s="1131">
        <v>20.57</v>
      </c>
      <c r="C7" s="1131">
        <v>20.797999999999998</v>
      </c>
      <c r="D7" s="1131">
        <v>21</v>
      </c>
      <c r="E7" s="1131">
        <v>21.271999999999998</v>
      </c>
      <c r="F7" s="1131">
        <v>21.474</v>
      </c>
      <c r="G7" s="1131">
        <v>21.718</v>
      </c>
      <c r="H7" s="1131">
        <v>21.931999999999999</v>
      </c>
      <c r="I7" s="1131">
        <v>22.068000000000001</v>
      </c>
      <c r="J7" s="1131">
        <v>22.300999999999998</v>
      </c>
      <c r="K7" s="1131">
        <v>22.428999999999998</v>
      </c>
      <c r="L7" s="1131">
        <v>22.626000000000001</v>
      </c>
      <c r="M7" s="1131">
        <v>22.811</v>
      </c>
      <c r="N7" s="1131">
        <v>23.085999999999999</v>
      </c>
      <c r="O7" s="1131">
        <v>23.53</v>
      </c>
      <c r="P7" s="1131">
        <v>23.957999999999998</v>
      </c>
      <c r="Q7" s="1131">
        <v>24.448</v>
      </c>
      <c r="R7" s="1131">
        <v>25.175999999999998</v>
      </c>
      <c r="S7" s="1131">
        <v>25.888999999999999</v>
      </c>
      <c r="T7" s="1131">
        <v>26.587</v>
      </c>
      <c r="U7" s="1131">
        <v>27.263000000000002</v>
      </c>
      <c r="V7" s="1131">
        <v>27.776</v>
      </c>
      <c r="W7" s="1131">
        <v>28.117000000000001</v>
      </c>
      <c r="X7" s="1131">
        <v>28.643000000000001</v>
      </c>
      <c r="Y7" s="1131">
        <v>29.123999999999999</v>
      </c>
      <c r="Z7" s="1131">
        <v>29.443999999999999</v>
      </c>
      <c r="AA7" s="1131">
        <v>29.690999999999999</v>
      </c>
      <c r="AB7" s="1131">
        <v>30.141999999999999</v>
      </c>
      <c r="AC7" s="1131">
        <v>30.617999999999999</v>
      </c>
      <c r="AD7" s="1131">
        <v>31.17</v>
      </c>
      <c r="AE7" s="1131">
        <v>31.704000000000001</v>
      </c>
      <c r="AF7" s="1131">
        <v>32.180999999999997</v>
      </c>
      <c r="AG7" s="1131">
        <v>32.637999999999998</v>
      </c>
      <c r="AH7" s="1131">
        <v>33.173999999999999</v>
      </c>
      <c r="AI7" s="1131">
        <v>33.854999999999997</v>
      </c>
      <c r="AJ7" s="1131">
        <v>34.448999999999998</v>
      </c>
      <c r="AK7" s="1131">
        <v>35.1</v>
      </c>
      <c r="AL7" s="1131">
        <v>35.762</v>
      </c>
      <c r="AM7" s="1131">
        <v>36.738999999999997</v>
      </c>
      <c r="AN7" s="1131">
        <v>37.65</v>
      </c>
      <c r="AO7" s="1131">
        <v>38.561999999999998</v>
      </c>
      <c r="AP7" s="1131">
        <v>39.719000000000001</v>
      </c>
      <c r="AQ7" s="1131">
        <v>40.691000000000003</v>
      </c>
      <c r="AR7" s="1131">
        <v>41.643000000000001</v>
      </c>
      <c r="AS7" s="1131">
        <v>42.673000000000002</v>
      </c>
      <c r="AT7" s="1131">
        <v>43.78</v>
      </c>
      <c r="AU7" s="1131">
        <v>44.515000000000001</v>
      </c>
      <c r="AV7" s="1131">
        <v>45.247999999999998</v>
      </c>
      <c r="AW7" s="1131">
        <v>45.941000000000003</v>
      </c>
      <c r="AX7" s="1131">
        <v>46.524999999999999</v>
      </c>
      <c r="AY7" s="1131">
        <v>46.972999999999999</v>
      </c>
      <c r="AZ7" s="1131">
        <v>47.715000000000003</v>
      </c>
      <c r="BA7" s="1131">
        <v>48.241</v>
      </c>
      <c r="BB7" s="1131">
        <v>48.64</v>
      </c>
      <c r="BC7" s="1131">
        <v>49.085000000000001</v>
      </c>
      <c r="BD7" s="1131">
        <v>49.73</v>
      </c>
      <c r="BE7" s="1131">
        <v>50.058</v>
      </c>
      <c r="BF7" s="1131">
        <v>50.598999999999997</v>
      </c>
      <c r="BG7" s="1131">
        <v>51.088999999999999</v>
      </c>
      <c r="BH7" s="1131">
        <v>51.482999999999997</v>
      </c>
      <c r="BI7" s="1131">
        <v>51.801000000000002</v>
      </c>
      <c r="BJ7" s="1131">
        <v>52.411999999999999</v>
      </c>
      <c r="BK7" s="1131">
        <v>52.837000000000003</v>
      </c>
      <c r="BL7" s="1131">
        <v>53.250999999999998</v>
      </c>
      <c r="BM7" s="1131">
        <v>53.622999999999998</v>
      </c>
      <c r="BN7" s="1131">
        <v>54.003</v>
      </c>
      <c r="BO7" s="1131">
        <v>53.945999999999998</v>
      </c>
      <c r="BP7" s="1131">
        <v>54.23</v>
      </c>
      <c r="BQ7" s="1131">
        <v>54.558</v>
      </c>
      <c r="BR7" s="1131">
        <v>55.072000000000003</v>
      </c>
      <c r="BS7" s="1131">
        <v>55.603000000000002</v>
      </c>
      <c r="BT7" s="1131">
        <v>56.13</v>
      </c>
      <c r="BU7" s="1131">
        <v>56.615000000000002</v>
      </c>
      <c r="BV7" s="1131">
        <v>57.061999999999998</v>
      </c>
      <c r="BW7" s="1131">
        <v>57.692</v>
      </c>
      <c r="BX7" s="1131">
        <v>58.402999999999999</v>
      </c>
      <c r="BY7" s="1131">
        <v>58.993000000000002</v>
      </c>
      <c r="BZ7" s="1131">
        <v>59.670999999999999</v>
      </c>
      <c r="CA7" s="1131">
        <v>60.475000000000001</v>
      </c>
      <c r="CB7" s="1131">
        <v>60.832000000000001</v>
      </c>
      <c r="CC7" s="1131">
        <v>61.31</v>
      </c>
      <c r="CD7" s="1131">
        <v>62.198999999999998</v>
      </c>
      <c r="CE7" s="1131">
        <v>62.764000000000003</v>
      </c>
      <c r="CF7" s="1131">
        <v>63.561</v>
      </c>
      <c r="CG7" s="1131">
        <v>64.402000000000001</v>
      </c>
      <c r="CH7" s="1131">
        <v>64.739999999999995</v>
      </c>
      <c r="CI7" s="1131">
        <v>65.093999999999994</v>
      </c>
      <c r="CJ7" s="1131">
        <v>65.536000000000001</v>
      </c>
      <c r="CK7" s="1131">
        <v>66.012</v>
      </c>
      <c r="CL7" s="1131">
        <v>66.424999999999997</v>
      </c>
      <c r="CM7" s="1131">
        <v>66.867000000000004</v>
      </c>
      <c r="CN7" s="1131">
        <v>67.293999999999997</v>
      </c>
      <c r="CO7" s="1131">
        <v>67.763000000000005</v>
      </c>
      <c r="CP7" s="1131">
        <v>68.167000000000002</v>
      </c>
      <c r="CQ7" s="1131">
        <v>68.623999999999995</v>
      </c>
      <c r="CR7" s="1131">
        <v>68.923000000000002</v>
      </c>
      <c r="CS7" s="1131">
        <v>69.319999999999993</v>
      </c>
      <c r="CT7" s="1131">
        <v>69.567999999999998</v>
      </c>
      <c r="CU7" s="1131">
        <v>69.956000000000003</v>
      </c>
      <c r="CV7" s="1131">
        <v>70.459000000000003</v>
      </c>
      <c r="CW7" s="1131">
        <v>70.789000000000001</v>
      </c>
      <c r="CX7" s="1131">
        <v>71.135999999999996</v>
      </c>
      <c r="CY7" s="1131">
        <v>71.549000000000007</v>
      </c>
      <c r="CZ7" s="1131">
        <v>71.841999999999999</v>
      </c>
      <c r="DA7" s="1131">
        <v>72.158000000000001</v>
      </c>
      <c r="DB7" s="1131">
        <v>72.558999999999997</v>
      </c>
      <c r="DC7" s="1131">
        <v>73.043999999999997</v>
      </c>
      <c r="DD7" s="1131">
        <v>73.355999999999995</v>
      </c>
      <c r="DE7" s="1131">
        <v>73.855999999999995</v>
      </c>
      <c r="DF7" s="1131">
        <v>74.182000000000002</v>
      </c>
      <c r="DG7" s="1131">
        <v>74.367999999999995</v>
      </c>
      <c r="DH7" s="1131">
        <v>74.563999999999993</v>
      </c>
      <c r="DI7" s="1131">
        <v>74.798000000000002</v>
      </c>
      <c r="DJ7" s="1131">
        <v>74.804000000000002</v>
      </c>
      <c r="DK7" s="1131">
        <v>74.938999999999993</v>
      </c>
      <c r="DL7" s="1131">
        <v>75.17</v>
      </c>
      <c r="DM7" s="1131">
        <v>75.369</v>
      </c>
      <c r="DN7" s="1131">
        <v>75.516999999999996</v>
      </c>
      <c r="DO7" s="1131">
        <v>75.947000000000003</v>
      </c>
      <c r="DP7" s="1131">
        <v>76.364999999999995</v>
      </c>
      <c r="DQ7" s="1131">
        <v>76.828000000000003</v>
      </c>
      <c r="DR7" s="1131">
        <v>77.451999999999998</v>
      </c>
      <c r="DS7" s="1131">
        <v>77.820999999999998</v>
      </c>
      <c r="DT7" s="1131">
        <v>78.322999999999993</v>
      </c>
      <c r="DU7" s="1131">
        <v>78.766000000000005</v>
      </c>
      <c r="DV7" s="1131">
        <v>79.349000000000004</v>
      </c>
      <c r="DW7" s="1131">
        <v>79.721000000000004</v>
      </c>
      <c r="DX7" s="1131">
        <v>79.760999999999996</v>
      </c>
      <c r="DY7" s="1131">
        <v>79.793999999999997</v>
      </c>
      <c r="DZ7" s="1131">
        <v>79.953999999999994</v>
      </c>
      <c r="EA7" s="1131">
        <v>80.546999999999997</v>
      </c>
      <c r="EB7" s="1131">
        <v>80.963999999999999</v>
      </c>
      <c r="EC7" s="1131">
        <v>81.341999999999999</v>
      </c>
      <c r="ED7" s="1131">
        <v>81.963999999999999</v>
      </c>
      <c r="EE7" s="1131">
        <v>82.046000000000006</v>
      </c>
      <c r="EF7" s="1131">
        <v>82.587000000000003</v>
      </c>
      <c r="EG7" s="1131">
        <v>82.992999999999995</v>
      </c>
      <c r="EH7" s="1131">
        <v>83.632999999999996</v>
      </c>
      <c r="EI7" s="1131">
        <v>84.195999999999998</v>
      </c>
      <c r="EJ7" s="1131">
        <v>84.61</v>
      </c>
      <c r="EK7" s="1131">
        <v>85.332999999999998</v>
      </c>
      <c r="EL7" s="1131">
        <v>85.828999999999994</v>
      </c>
      <c r="EM7" s="1131">
        <v>86.370999999999995</v>
      </c>
      <c r="EN7" s="1131">
        <v>87.304000000000002</v>
      </c>
      <c r="EO7" s="1131">
        <v>87.998999999999995</v>
      </c>
      <c r="EP7" s="1131">
        <v>88.456000000000003</v>
      </c>
      <c r="EQ7" s="1131">
        <v>89.231999999999999</v>
      </c>
      <c r="ER7" s="1131">
        <v>89.873999999999995</v>
      </c>
      <c r="ES7" s="1131">
        <v>89.725999999999999</v>
      </c>
      <c r="ET7" s="1131">
        <v>90.546000000000006</v>
      </c>
      <c r="EU7" s="1131">
        <v>91.314999999999998</v>
      </c>
      <c r="EV7" s="1131">
        <v>91.831000000000003</v>
      </c>
      <c r="EW7" s="1131">
        <v>92.765000000000001</v>
      </c>
      <c r="EX7" s="1131">
        <v>93.52</v>
      </c>
      <c r="EY7" s="1131">
        <v>94.43</v>
      </c>
      <c r="EZ7" s="1131">
        <v>95.438000000000002</v>
      </c>
      <c r="FA7" s="1131">
        <v>93.914000000000001</v>
      </c>
      <c r="FB7" s="1131">
        <v>93.28</v>
      </c>
      <c r="FC7" s="1131">
        <v>93.650999999999996</v>
      </c>
      <c r="FD7" s="1131">
        <v>94.296000000000006</v>
      </c>
      <c r="FE7" s="1131">
        <v>95.024000000000001</v>
      </c>
      <c r="FF7" s="1131">
        <v>95.391000000000005</v>
      </c>
      <c r="FG7" s="1131">
        <v>95.539000000000001</v>
      </c>
      <c r="FH7" s="1131">
        <v>95.722999999999999</v>
      </c>
      <c r="FI7" s="1131">
        <v>96.335999999999999</v>
      </c>
      <c r="FJ7" s="1131">
        <v>97.144999999999996</v>
      </c>
      <c r="FK7" s="1131">
        <v>98.1</v>
      </c>
      <c r="FL7" s="1131">
        <v>98.554000000000002</v>
      </c>
      <c r="FM7" s="1131">
        <v>98.879000000000005</v>
      </c>
      <c r="FN7" s="1131">
        <v>99.534000000000006</v>
      </c>
      <c r="FO7" s="1131">
        <v>99.775000000000006</v>
      </c>
      <c r="FP7" s="1131">
        <v>100.065</v>
      </c>
      <c r="FQ7" s="1131">
        <v>100.626</v>
      </c>
      <c r="FR7" s="1131">
        <v>100.989</v>
      </c>
      <c r="FS7" s="1131">
        <v>101.06100000000001</v>
      </c>
      <c r="FT7" s="1131">
        <v>101.471</v>
      </c>
      <c r="FU7" s="1131">
        <v>101.896</v>
      </c>
      <c r="FV7" s="1131">
        <v>102.386</v>
      </c>
      <c r="FW7" s="1131">
        <v>102.899</v>
      </c>
      <c r="FX7" s="1131">
        <v>103.19</v>
      </c>
      <c r="FY7" s="1131">
        <v>103.071</v>
      </c>
      <c r="FZ7" s="1131">
        <v>102.643</v>
      </c>
      <c r="GA7" s="1131">
        <v>103.14100000000001</v>
      </c>
      <c r="GB7" s="1131">
        <v>103.39</v>
      </c>
      <c r="GC7" s="1131">
        <v>103.288</v>
      </c>
      <c r="GD7" s="1131">
        <v>103.343</v>
      </c>
      <c r="GE7" s="1131">
        <v>103.992</v>
      </c>
      <c r="GF7" s="1131">
        <v>104.38200000000001</v>
      </c>
      <c r="GG7" s="1131">
        <v>104.876</v>
      </c>
      <c r="GH7" s="1131">
        <v>105.453</v>
      </c>
      <c r="GI7" s="1131">
        <v>105.751</v>
      </c>
      <c r="GJ7" s="1131">
        <v>106.146</v>
      </c>
      <c r="GK7" s="1131">
        <v>106.85599999999999</v>
      </c>
      <c r="GL7" s="1131">
        <v>107.557</v>
      </c>
      <c r="GM7" s="1131">
        <v>108.184</v>
      </c>
      <c r="GN7" s="1131">
        <v>108.54600000000001</v>
      </c>
      <c r="GO7" s="1131">
        <v>108.986</v>
      </c>
      <c r="GP7" s="1131">
        <v>109.1</v>
      </c>
      <c r="GQ7" s="1131">
        <v>109.83499999999999</v>
      </c>
      <c r="GR7" s="1131">
        <v>110.14100000000001</v>
      </c>
      <c r="GS7" s="1131">
        <v>110.61199999999999</v>
      </c>
      <c r="GT7" s="1131">
        <v>110.958</v>
      </c>
      <c r="GU7" s="1131">
        <v>110.505</v>
      </c>
      <c r="GV7" s="1131">
        <v>111.50700000000001</v>
      </c>
      <c r="GW7" s="1131">
        <v>111.928</v>
      </c>
      <c r="GX7" s="1131">
        <v>112.989</v>
      </c>
      <c r="GY7" s="1131">
        <v>114.77200000000001</v>
      </c>
    </row>
    <row r="8" spans="1:208" x14ac:dyDescent="0.35">
      <c r="A8" s="1131" t="s">
        <v>200</v>
      </c>
      <c r="B8" s="1131">
        <v>18.704000000000001</v>
      </c>
      <c r="C8" s="1131">
        <v>18.951000000000001</v>
      </c>
      <c r="D8" s="1131">
        <v>19.274000000000001</v>
      </c>
      <c r="E8" s="1131">
        <v>19.518999999999998</v>
      </c>
      <c r="F8" s="1131">
        <v>20.137</v>
      </c>
      <c r="G8" s="1131">
        <v>20.513000000000002</v>
      </c>
      <c r="H8" s="1131">
        <v>20.81</v>
      </c>
      <c r="I8" s="1131">
        <v>21.233000000000001</v>
      </c>
      <c r="J8" s="1131">
        <v>22.106999999999999</v>
      </c>
      <c r="K8" s="1131">
        <v>22.33</v>
      </c>
      <c r="L8" s="1131">
        <v>22.513000000000002</v>
      </c>
      <c r="M8" s="1131">
        <v>23.003</v>
      </c>
      <c r="N8" s="1131">
        <v>23.373000000000001</v>
      </c>
      <c r="O8" s="1131">
        <v>23.78</v>
      </c>
      <c r="P8" s="1131">
        <v>24.271999999999998</v>
      </c>
      <c r="Q8" s="1131">
        <v>24.791</v>
      </c>
      <c r="R8" s="1131">
        <v>25.045000000000002</v>
      </c>
      <c r="S8" s="1131">
        <v>25.498000000000001</v>
      </c>
      <c r="T8" s="1131">
        <v>26.242000000000001</v>
      </c>
      <c r="U8" s="1131">
        <v>27.114000000000001</v>
      </c>
      <c r="V8" s="1131">
        <v>27.606999999999999</v>
      </c>
      <c r="W8" s="1131">
        <v>28.006</v>
      </c>
      <c r="X8" s="1131">
        <v>28.384</v>
      </c>
      <c r="Y8" s="1131">
        <v>29.036000000000001</v>
      </c>
      <c r="Z8" s="1131">
        <v>29.46</v>
      </c>
      <c r="AA8" s="1131">
        <v>29.707000000000001</v>
      </c>
      <c r="AB8" s="1131">
        <v>30.047000000000001</v>
      </c>
      <c r="AC8" s="1131">
        <v>30.850999999999999</v>
      </c>
      <c r="AD8" s="1131">
        <v>31.286999999999999</v>
      </c>
      <c r="AE8" s="1131">
        <v>31.643000000000001</v>
      </c>
      <c r="AF8" s="1131">
        <v>31.798999999999999</v>
      </c>
      <c r="AG8" s="1131">
        <v>32.720999999999997</v>
      </c>
      <c r="AH8" s="1131">
        <v>33.094999999999999</v>
      </c>
      <c r="AI8" s="1131">
        <v>33.744999999999997</v>
      </c>
      <c r="AJ8" s="1131">
        <v>34.308999999999997</v>
      </c>
      <c r="AK8" s="1131">
        <v>34.901000000000003</v>
      </c>
      <c r="AL8" s="1131">
        <v>35.543999999999997</v>
      </c>
      <c r="AM8" s="1131">
        <v>36.081000000000003</v>
      </c>
      <c r="AN8" s="1131">
        <v>36.923000000000002</v>
      </c>
      <c r="AO8" s="1131">
        <v>37.735999999999997</v>
      </c>
      <c r="AP8" s="1131">
        <v>38.481999999999999</v>
      </c>
      <c r="AQ8" s="1131">
        <v>39.97</v>
      </c>
      <c r="AR8" s="1131">
        <v>40.375</v>
      </c>
      <c r="AS8" s="1131">
        <v>41.59</v>
      </c>
      <c r="AT8" s="1131">
        <v>42.420999999999999</v>
      </c>
      <c r="AU8" s="1131">
        <v>43.406999999999996</v>
      </c>
      <c r="AV8" s="1131">
        <v>44.36</v>
      </c>
      <c r="AW8" s="1131">
        <v>45.209000000000003</v>
      </c>
      <c r="AX8" s="1131">
        <v>45.932000000000002</v>
      </c>
      <c r="AY8" s="1131">
        <v>46.841000000000001</v>
      </c>
      <c r="AZ8" s="1131">
        <v>47.234999999999999</v>
      </c>
      <c r="BA8" s="1131">
        <v>47.792000000000002</v>
      </c>
      <c r="BB8" s="1131">
        <v>47.881999999999998</v>
      </c>
      <c r="BC8" s="1131">
        <v>48.252000000000002</v>
      </c>
      <c r="BD8" s="1131">
        <v>48.786000000000001</v>
      </c>
      <c r="BE8" s="1131">
        <v>49.104999999999997</v>
      </c>
      <c r="BF8" s="1131">
        <v>49.741</v>
      </c>
      <c r="BG8" s="1131">
        <v>50.237000000000002</v>
      </c>
      <c r="BH8" s="1131">
        <v>50.984000000000002</v>
      </c>
      <c r="BI8" s="1131">
        <v>51.612000000000002</v>
      </c>
      <c r="BJ8" s="1131">
        <v>51.405999999999999</v>
      </c>
      <c r="BK8" s="1131">
        <v>51.527000000000001</v>
      </c>
      <c r="BL8" s="1131">
        <v>51.802</v>
      </c>
      <c r="BM8" s="1131">
        <v>52.142000000000003</v>
      </c>
      <c r="BN8" s="1131">
        <v>52.01</v>
      </c>
      <c r="BO8" s="1131">
        <v>51.881</v>
      </c>
      <c r="BP8" s="1131">
        <v>51.954000000000001</v>
      </c>
      <c r="BQ8" s="1131">
        <v>52.012999999999998</v>
      </c>
      <c r="BR8" s="1131">
        <v>51.923999999999999</v>
      </c>
      <c r="BS8" s="1131">
        <v>52.170999999999999</v>
      </c>
      <c r="BT8" s="1131">
        <v>52.548000000000002</v>
      </c>
      <c r="BU8" s="1131">
        <v>52.658000000000001</v>
      </c>
      <c r="BV8" s="1131">
        <v>53.375999999999998</v>
      </c>
      <c r="BW8" s="1131">
        <v>53.901000000000003</v>
      </c>
      <c r="BX8" s="1131">
        <v>54.209000000000003</v>
      </c>
      <c r="BY8" s="1131">
        <v>54.645000000000003</v>
      </c>
      <c r="BZ8" s="1131">
        <v>55.051000000000002</v>
      </c>
      <c r="CA8" s="1131">
        <v>55.454999999999998</v>
      </c>
      <c r="CB8" s="1131">
        <v>55.731000000000002</v>
      </c>
      <c r="CC8" s="1131">
        <v>55.930999999999997</v>
      </c>
      <c r="CD8" s="1131">
        <v>56.323</v>
      </c>
      <c r="CE8" s="1131">
        <v>57.29</v>
      </c>
      <c r="CF8" s="1131">
        <v>57.366999999999997</v>
      </c>
      <c r="CG8" s="1131">
        <v>58.05</v>
      </c>
      <c r="CH8" s="1131">
        <v>58.570999999999998</v>
      </c>
      <c r="CI8" s="1131">
        <v>58.86</v>
      </c>
      <c r="CJ8" s="1131">
        <v>59.616</v>
      </c>
      <c r="CK8" s="1131">
        <v>60.219000000000001</v>
      </c>
      <c r="CL8" s="1131">
        <v>60.307000000000002</v>
      </c>
      <c r="CM8" s="1131">
        <v>60.527000000000001</v>
      </c>
      <c r="CN8" s="1131">
        <v>61.055</v>
      </c>
      <c r="CO8" s="1131">
        <v>61.439</v>
      </c>
      <c r="CP8" s="1131">
        <v>61.591999999999999</v>
      </c>
      <c r="CQ8" s="1131">
        <v>61.863</v>
      </c>
      <c r="CR8" s="1131">
        <v>62.311</v>
      </c>
      <c r="CS8" s="1131">
        <v>62.87</v>
      </c>
      <c r="CT8" s="1131">
        <v>63.158000000000001</v>
      </c>
      <c r="CU8" s="1131">
        <v>63.688000000000002</v>
      </c>
      <c r="CV8" s="1131">
        <v>64.054000000000002</v>
      </c>
      <c r="CW8" s="1131">
        <v>64.58</v>
      </c>
      <c r="CX8" s="1131">
        <v>65.123999999999995</v>
      </c>
      <c r="CY8" s="1131">
        <v>65.558000000000007</v>
      </c>
      <c r="CZ8" s="1131">
        <v>65.897000000000006</v>
      </c>
      <c r="DA8" s="1131">
        <v>66.807000000000002</v>
      </c>
      <c r="DB8" s="1131">
        <v>66.963999999999999</v>
      </c>
      <c r="DC8" s="1131">
        <v>66.605000000000004</v>
      </c>
      <c r="DD8" s="1131">
        <v>66.992000000000004</v>
      </c>
      <c r="DE8" s="1131">
        <v>67.221999999999994</v>
      </c>
      <c r="DF8" s="1131">
        <v>67.450999999999993</v>
      </c>
      <c r="DG8" s="1131">
        <v>67.894999999999996</v>
      </c>
      <c r="DH8" s="1131">
        <v>68.051000000000002</v>
      </c>
      <c r="DI8" s="1131">
        <v>68.528000000000006</v>
      </c>
      <c r="DJ8" s="1131">
        <v>68.241</v>
      </c>
      <c r="DK8" s="1131">
        <v>68.680000000000007</v>
      </c>
      <c r="DL8" s="1131">
        <v>69.129000000000005</v>
      </c>
      <c r="DM8" s="1131">
        <v>69.350999999999999</v>
      </c>
      <c r="DN8" s="1131">
        <v>69.557000000000002</v>
      </c>
      <c r="DO8" s="1131">
        <v>70.141999999999996</v>
      </c>
      <c r="DP8" s="1131">
        <v>70.778999999999996</v>
      </c>
      <c r="DQ8" s="1131">
        <v>71.649000000000001</v>
      </c>
      <c r="DR8" s="1131">
        <v>72.346999999999994</v>
      </c>
      <c r="DS8" s="1131">
        <v>72.625</v>
      </c>
      <c r="DT8" s="1131">
        <v>73.144999999999996</v>
      </c>
      <c r="DU8" s="1131">
        <v>73.475999999999999</v>
      </c>
      <c r="DV8" s="1131">
        <v>73.600999999999999</v>
      </c>
      <c r="DW8" s="1131">
        <v>73.988</v>
      </c>
      <c r="DX8" s="1131">
        <v>74.462000000000003</v>
      </c>
      <c r="DY8" s="1131">
        <v>74.944000000000003</v>
      </c>
      <c r="DZ8" s="1131">
        <v>75.430000000000007</v>
      </c>
      <c r="EA8" s="1131">
        <v>76.143000000000001</v>
      </c>
      <c r="EB8" s="1131">
        <v>76.796999999999997</v>
      </c>
      <c r="EC8" s="1131">
        <v>78.22</v>
      </c>
      <c r="ED8" s="1131">
        <v>79.091999999999999</v>
      </c>
      <c r="EE8" s="1131">
        <v>79.653999999999996</v>
      </c>
      <c r="EF8" s="1131">
        <v>80.375</v>
      </c>
      <c r="EG8" s="1131">
        <v>80.977000000000004</v>
      </c>
      <c r="EH8" s="1131">
        <v>81.665999999999997</v>
      </c>
      <c r="EI8" s="1131">
        <v>82.375</v>
      </c>
      <c r="EJ8" s="1131">
        <v>83.129000000000005</v>
      </c>
      <c r="EK8" s="1131">
        <v>83.938000000000002</v>
      </c>
      <c r="EL8" s="1131">
        <v>85.043000000000006</v>
      </c>
      <c r="EM8" s="1131">
        <v>85.81</v>
      </c>
      <c r="EN8" s="1131">
        <v>86.706000000000003</v>
      </c>
      <c r="EO8" s="1131">
        <v>87.328999999999994</v>
      </c>
      <c r="EP8" s="1131">
        <v>88.063999999999993</v>
      </c>
      <c r="EQ8" s="1131">
        <v>88.677000000000007</v>
      </c>
      <c r="ER8" s="1131">
        <v>89.334000000000003</v>
      </c>
      <c r="ES8" s="1131">
        <v>89.799000000000007</v>
      </c>
      <c r="ET8" s="1131">
        <v>90.566999999999993</v>
      </c>
      <c r="EU8" s="1131">
        <v>91.290999999999997</v>
      </c>
      <c r="EV8" s="1131">
        <v>91.92</v>
      </c>
      <c r="EW8" s="1131">
        <v>92.656999999999996</v>
      </c>
      <c r="EX8" s="1131">
        <v>93.438000000000002</v>
      </c>
      <c r="EY8" s="1131">
        <v>94.394999999999996</v>
      </c>
      <c r="EZ8" s="1131">
        <v>95.102999999999994</v>
      </c>
      <c r="FA8" s="1131">
        <v>94.65</v>
      </c>
      <c r="FB8" s="1131">
        <v>93.855999999999995</v>
      </c>
      <c r="FC8" s="1131">
        <v>93.873000000000005</v>
      </c>
      <c r="FD8" s="1131">
        <v>94.16</v>
      </c>
      <c r="FE8" s="1131">
        <v>94.884</v>
      </c>
      <c r="FF8" s="1131">
        <v>95.488</v>
      </c>
      <c r="FG8" s="1131">
        <v>96.22</v>
      </c>
      <c r="FH8" s="1131">
        <v>96.602000000000004</v>
      </c>
      <c r="FI8" s="1131">
        <v>97.388000000000005</v>
      </c>
      <c r="FJ8" s="1131">
        <v>98.263000000000005</v>
      </c>
      <c r="FK8" s="1131">
        <v>99.152000000000001</v>
      </c>
      <c r="FL8" s="1131">
        <v>99.497</v>
      </c>
      <c r="FM8" s="1131">
        <v>99.364000000000004</v>
      </c>
      <c r="FN8" s="1131">
        <v>99.707999999999998</v>
      </c>
      <c r="FO8" s="1131">
        <v>99.927999999999997</v>
      </c>
      <c r="FP8" s="1131">
        <v>100.12</v>
      </c>
      <c r="FQ8" s="1131">
        <v>100.244</v>
      </c>
      <c r="FR8" s="1131">
        <v>100.239</v>
      </c>
      <c r="FS8" s="1131">
        <v>100.437</v>
      </c>
      <c r="FT8" s="1131">
        <v>100.762</v>
      </c>
      <c r="FU8" s="1131">
        <v>102.295</v>
      </c>
      <c r="FV8" s="1131">
        <v>102.03100000000001</v>
      </c>
      <c r="FW8" s="1131">
        <v>102.482</v>
      </c>
      <c r="FX8" s="1131">
        <v>102.961</v>
      </c>
      <c r="FY8" s="1131">
        <v>103.099</v>
      </c>
      <c r="FZ8" s="1131">
        <v>102.93300000000001</v>
      </c>
      <c r="GA8" s="1131">
        <v>103.13500000000001</v>
      </c>
      <c r="GB8" s="1131">
        <v>103.29300000000001</v>
      </c>
      <c r="GC8" s="1131">
        <v>103.211</v>
      </c>
      <c r="GD8" s="1131">
        <v>102.953</v>
      </c>
      <c r="GE8" s="1131">
        <v>103.50700000000001</v>
      </c>
      <c r="GF8" s="1131">
        <v>103.90900000000001</v>
      </c>
      <c r="GG8" s="1131">
        <v>104.41</v>
      </c>
      <c r="GH8" s="1131">
        <v>104.958</v>
      </c>
      <c r="GI8" s="1131">
        <v>105.35599999999999</v>
      </c>
      <c r="GJ8" s="1131">
        <v>105.86</v>
      </c>
      <c r="GK8" s="1131">
        <v>106.633</v>
      </c>
      <c r="GL8" s="1131">
        <v>107.655</v>
      </c>
      <c r="GM8" s="1131">
        <v>108.447</v>
      </c>
      <c r="GN8" s="1131">
        <v>109.07299999999999</v>
      </c>
      <c r="GO8" s="1131">
        <v>109.928</v>
      </c>
      <c r="GP8" s="1131">
        <v>111.078</v>
      </c>
      <c r="GQ8" s="1131">
        <v>110.303</v>
      </c>
      <c r="GR8" s="1131">
        <v>110.673</v>
      </c>
      <c r="GS8" s="1131">
        <v>111.068</v>
      </c>
      <c r="GT8" s="1131">
        <v>111.4</v>
      </c>
      <c r="GU8" s="1131">
        <v>111.444</v>
      </c>
      <c r="GV8" s="1131">
        <v>112.26900000000001</v>
      </c>
      <c r="GW8" s="1131">
        <v>112.959</v>
      </c>
      <c r="GX8" s="1131">
        <v>114.065</v>
      </c>
      <c r="GY8" s="1131">
        <v>115.22799999999999</v>
      </c>
    </row>
    <row r="9" spans="1:208" x14ac:dyDescent="0.35">
      <c r="A9" s="1131" t="s">
        <v>207</v>
      </c>
      <c r="B9" s="1131">
        <v>13.706</v>
      </c>
      <c r="C9" s="1131">
        <v>13.997</v>
      </c>
      <c r="D9" s="1131">
        <v>14.25</v>
      </c>
      <c r="E9" s="1131">
        <v>14.52</v>
      </c>
      <c r="F9" s="1131">
        <v>14.849</v>
      </c>
      <c r="G9" s="1131">
        <v>15.118</v>
      </c>
      <c r="H9" s="1131">
        <v>15.331</v>
      </c>
      <c r="I9" s="1131">
        <v>15.497999999999999</v>
      </c>
      <c r="J9" s="1131">
        <v>15.845000000000001</v>
      </c>
      <c r="K9" s="1131">
        <v>16.032</v>
      </c>
      <c r="L9" s="1131">
        <v>16.276</v>
      </c>
      <c r="M9" s="1131">
        <v>16.5</v>
      </c>
      <c r="N9" s="1131">
        <v>16.824999999999999</v>
      </c>
      <c r="O9" s="1131">
        <v>17.123999999999999</v>
      </c>
      <c r="P9" s="1131">
        <v>17.353999999999999</v>
      </c>
      <c r="Q9" s="1131">
        <v>17.683</v>
      </c>
      <c r="R9" s="1131">
        <v>18.196000000000002</v>
      </c>
      <c r="S9" s="1131">
        <v>18.829000000000001</v>
      </c>
      <c r="T9" s="1131">
        <v>19.515999999999998</v>
      </c>
      <c r="U9" s="1131">
        <v>20.09</v>
      </c>
      <c r="V9" s="1131">
        <v>20.494</v>
      </c>
      <c r="W9" s="1131">
        <v>20.9</v>
      </c>
      <c r="X9" s="1131">
        <v>21.167000000000002</v>
      </c>
      <c r="Y9" s="1131">
        <v>21.437999999999999</v>
      </c>
      <c r="Z9" s="1131">
        <v>21.68</v>
      </c>
      <c r="AA9" s="1131">
        <v>21.943000000000001</v>
      </c>
      <c r="AB9" s="1131">
        <v>22.106000000000002</v>
      </c>
      <c r="AC9" s="1131">
        <v>22.37</v>
      </c>
      <c r="AD9" s="1131">
        <v>22.792000000000002</v>
      </c>
      <c r="AE9" s="1131">
        <v>23.2</v>
      </c>
      <c r="AF9" s="1131">
        <v>23.594999999999999</v>
      </c>
      <c r="AG9" s="1131">
        <v>23.992999999999999</v>
      </c>
      <c r="AH9" s="1131">
        <v>24.332000000000001</v>
      </c>
      <c r="AI9" s="1131">
        <v>24.738</v>
      </c>
      <c r="AJ9" s="1131">
        <v>25.114999999999998</v>
      </c>
      <c r="AK9" s="1131">
        <v>25.475000000000001</v>
      </c>
      <c r="AL9" s="1131">
        <v>26.081</v>
      </c>
      <c r="AM9" s="1131">
        <v>26.678000000000001</v>
      </c>
      <c r="AN9" s="1131">
        <v>27.582000000000001</v>
      </c>
      <c r="AO9" s="1131">
        <v>28.120999999999999</v>
      </c>
      <c r="AP9" s="1131">
        <v>28.853000000000002</v>
      </c>
      <c r="AQ9" s="1131">
        <v>29.645</v>
      </c>
      <c r="AR9" s="1131">
        <v>30.5</v>
      </c>
      <c r="AS9" s="1131">
        <v>31.33</v>
      </c>
      <c r="AT9" s="1131">
        <v>32.348999999999997</v>
      </c>
      <c r="AU9" s="1131">
        <v>33.045000000000002</v>
      </c>
      <c r="AV9" s="1131">
        <v>33.494</v>
      </c>
      <c r="AW9" s="1131">
        <v>34.023000000000003</v>
      </c>
      <c r="AX9" s="1131">
        <v>34.595999999999997</v>
      </c>
      <c r="AY9" s="1131">
        <v>35.152000000000001</v>
      </c>
      <c r="AZ9" s="1131">
        <v>35.704000000000001</v>
      </c>
      <c r="BA9" s="1131">
        <v>36.158000000000001</v>
      </c>
      <c r="BB9" s="1131">
        <v>36.417999999999999</v>
      </c>
      <c r="BC9" s="1131">
        <v>36.817</v>
      </c>
      <c r="BD9" s="1131">
        <v>37.173000000000002</v>
      </c>
      <c r="BE9" s="1131">
        <v>37.456000000000003</v>
      </c>
      <c r="BF9" s="1131">
        <v>37.999000000000002</v>
      </c>
      <c r="BG9" s="1131">
        <v>38.360999999999997</v>
      </c>
      <c r="BH9" s="1131">
        <v>38.719000000000001</v>
      </c>
      <c r="BI9" s="1131">
        <v>39.103000000000002</v>
      </c>
      <c r="BJ9" s="1131">
        <v>39.564</v>
      </c>
      <c r="BK9" s="1131">
        <v>39.954000000000001</v>
      </c>
      <c r="BL9" s="1131">
        <v>40.284999999999997</v>
      </c>
      <c r="BM9" s="1131">
        <v>40.658000000000001</v>
      </c>
      <c r="BN9" s="1131">
        <v>40.826999999999998</v>
      </c>
      <c r="BO9" s="1131">
        <v>41.006999999999998</v>
      </c>
      <c r="BP9" s="1131">
        <v>41.362000000000002</v>
      </c>
      <c r="BQ9" s="1131">
        <v>41.887999999999998</v>
      </c>
      <c r="BR9" s="1131">
        <v>42.487000000000002</v>
      </c>
      <c r="BS9" s="1131">
        <v>43.006</v>
      </c>
      <c r="BT9" s="1131">
        <v>43.521000000000001</v>
      </c>
      <c r="BU9" s="1131">
        <v>43.78</v>
      </c>
      <c r="BV9" s="1131">
        <v>44.005000000000003</v>
      </c>
      <c r="BW9" s="1131">
        <v>44.433999999999997</v>
      </c>
      <c r="BX9" s="1131">
        <v>44.808</v>
      </c>
      <c r="BY9" s="1131">
        <v>45.320999999999998</v>
      </c>
      <c r="BZ9" s="1131">
        <v>45.917000000000002</v>
      </c>
      <c r="CA9" s="1131">
        <v>46.54</v>
      </c>
      <c r="CB9" s="1131">
        <v>46.975999999999999</v>
      </c>
      <c r="CC9" s="1131">
        <v>47.582999999999998</v>
      </c>
      <c r="CD9" s="1131">
        <v>48.256</v>
      </c>
      <c r="CE9" s="1131">
        <v>48.753999999999998</v>
      </c>
      <c r="CF9" s="1131">
        <v>49.417000000000002</v>
      </c>
      <c r="CG9" s="1131">
        <v>50.195</v>
      </c>
      <c r="CH9" s="1131">
        <v>50.405999999999999</v>
      </c>
      <c r="CI9" s="1131">
        <v>50.710999999999999</v>
      </c>
      <c r="CJ9" s="1131">
        <v>51.128999999999998</v>
      </c>
      <c r="CK9" s="1131">
        <v>51.575000000000003</v>
      </c>
      <c r="CL9" s="1131">
        <v>51.942999999999998</v>
      </c>
      <c r="CM9" s="1131">
        <v>52.563000000000002</v>
      </c>
      <c r="CN9" s="1131">
        <v>52.951000000000001</v>
      </c>
      <c r="CO9" s="1131">
        <v>53.311999999999998</v>
      </c>
      <c r="CP9" s="1131">
        <v>53.622</v>
      </c>
      <c r="CQ9" s="1131">
        <v>53.938000000000002</v>
      </c>
      <c r="CR9" s="1131">
        <v>54.091999999999999</v>
      </c>
      <c r="CS9" s="1131">
        <v>54.365000000000002</v>
      </c>
      <c r="CT9" s="1131">
        <v>54.808999999999997</v>
      </c>
      <c r="CU9" s="1131">
        <v>55.113999999999997</v>
      </c>
      <c r="CV9" s="1131">
        <v>55.595999999999997</v>
      </c>
      <c r="CW9" s="1131">
        <v>56.067999999999998</v>
      </c>
      <c r="CX9" s="1131">
        <v>56.381</v>
      </c>
      <c r="CY9" s="1131">
        <v>56.808999999999997</v>
      </c>
      <c r="CZ9" s="1131">
        <v>57.042999999999999</v>
      </c>
      <c r="DA9" s="1131">
        <v>57.261000000000003</v>
      </c>
      <c r="DB9" s="1131">
        <v>57.832999999999998</v>
      </c>
      <c r="DC9" s="1131">
        <v>57.911999999999999</v>
      </c>
      <c r="DD9" s="1131">
        <v>58.277999999999999</v>
      </c>
      <c r="DE9" s="1131">
        <v>58.695999999999998</v>
      </c>
      <c r="DF9" s="1131">
        <v>59.085000000000001</v>
      </c>
      <c r="DG9" s="1131">
        <v>59.276000000000003</v>
      </c>
      <c r="DH9" s="1131">
        <v>59.533999999999999</v>
      </c>
      <c r="DI9" s="1131">
        <v>60</v>
      </c>
      <c r="DJ9" s="1131">
        <v>60.081000000000003</v>
      </c>
      <c r="DK9" s="1131">
        <v>60.347000000000001</v>
      </c>
      <c r="DL9" s="1131">
        <v>60.798999999999999</v>
      </c>
      <c r="DM9" s="1131">
        <v>61.307000000000002</v>
      </c>
      <c r="DN9" s="1131">
        <v>61.777999999999999</v>
      </c>
      <c r="DO9" s="1131">
        <v>62.613999999999997</v>
      </c>
      <c r="DP9" s="1131">
        <v>63.366</v>
      </c>
      <c r="DQ9" s="1131">
        <v>64.093999999999994</v>
      </c>
      <c r="DR9" s="1131">
        <v>64.912999999999997</v>
      </c>
      <c r="DS9" s="1131">
        <v>65.602000000000004</v>
      </c>
      <c r="DT9" s="1131">
        <v>66.305999999999997</v>
      </c>
      <c r="DU9" s="1131">
        <v>67.134</v>
      </c>
      <c r="DV9" s="1131">
        <v>67.936000000000007</v>
      </c>
      <c r="DW9" s="1131">
        <v>68.201999999999998</v>
      </c>
      <c r="DX9" s="1131">
        <v>68.381</v>
      </c>
      <c r="DY9" s="1131">
        <v>68.513999999999996</v>
      </c>
      <c r="DZ9" s="1131">
        <v>68.930999999999997</v>
      </c>
      <c r="EA9" s="1131">
        <v>69.551000000000002</v>
      </c>
      <c r="EB9" s="1131">
        <v>70.051000000000002</v>
      </c>
      <c r="EC9" s="1131">
        <v>70.635999999999996</v>
      </c>
      <c r="ED9" s="1131">
        <v>71.641999999999996</v>
      </c>
      <c r="EE9" s="1131">
        <v>71.694000000000003</v>
      </c>
      <c r="EF9" s="1131">
        <v>72.174999999999997</v>
      </c>
      <c r="EG9" s="1131">
        <v>72.741</v>
      </c>
      <c r="EH9" s="1131">
        <v>73.661000000000001</v>
      </c>
      <c r="EI9" s="1131">
        <v>74.712999999999994</v>
      </c>
      <c r="EJ9" s="1131">
        <v>75.923000000000002</v>
      </c>
      <c r="EK9" s="1131">
        <v>77.230999999999995</v>
      </c>
      <c r="EL9" s="1131">
        <v>77.924999999999997</v>
      </c>
      <c r="EM9" s="1131">
        <v>78.921999999999997</v>
      </c>
      <c r="EN9" s="1131">
        <v>80.183000000000007</v>
      </c>
      <c r="EO9" s="1131">
        <v>81.492999999999995</v>
      </c>
      <c r="EP9" s="1131">
        <v>82.072999999999993</v>
      </c>
      <c r="EQ9" s="1131">
        <v>83.332999999999998</v>
      </c>
      <c r="ER9" s="1131">
        <v>84.168999999999997</v>
      </c>
      <c r="ES9" s="1131">
        <v>85.058999999999997</v>
      </c>
      <c r="ET9" s="1131">
        <v>86.683000000000007</v>
      </c>
      <c r="EU9" s="1131">
        <v>87.617000000000004</v>
      </c>
      <c r="EV9" s="1131">
        <v>88.57</v>
      </c>
      <c r="EW9" s="1131">
        <v>89.855000000000004</v>
      </c>
      <c r="EX9" s="1131">
        <v>91.295000000000002</v>
      </c>
      <c r="EY9" s="1131">
        <v>92.566000000000003</v>
      </c>
      <c r="EZ9" s="1131">
        <v>93.808000000000007</v>
      </c>
      <c r="FA9" s="1131">
        <v>92.691999999999993</v>
      </c>
      <c r="FB9" s="1131">
        <v>91.491</v>
      </c>
      <c r="FC9" s="1131">
        <v>91.691999999999993</v>
      </c>
      <c r="FD9" s="1131">
        <v>92.161000000000001</v>
      </c>
      <c r="FE9" s="1131">
        <v>92.837999999999994</v>
      </c>
      <c r="FF9" s="1131">
        <v>93.757999999999996</v>
      </c>
      <c r="FG9" s="1131">
        <v>94.382999999999996</v>
      </c>
      <c r="FH9" s="1131">
        <v>94.876999999999995</v>
      </c>
      <c r="FI9" s="1131">
        <v>95.677999999999997</v>
      </c>
      <c r="FJ9" s="1131">
        <v>96.65</v>
      </c>
      <c r="FK9" s="1131">
        <v>97.813999999999993</v>
      </c>
      <c r="FL9" s="1131">
        <v>98.319000000000003</v>
      </c>
      <c r="FM9" s="1131">
        <v>98.203999999999994</v>
      </c>
      <c r="FN9" s="1131">
        <v>99.400999999999996</v>
      </c>
      <c r="FO9" s="1131">
        <v>99.402000000000001</v>
      </c>
      <c r="FP9" s="1131">
        <v>99.99</v>
      </c>
      <c r="FQ9" s="1131">
        <v>101.208</v>
      </c>
      <c r="FR9" s="1131">
        <v>102.371</v>
      </c>
      <c r="FS9" s="1131">
        <v>102.91200000000001</v>
      </c>
      <c r="FT9" s="1131">
        <v>103.727</v>
      </c>
      <c r="FU9" s="1131">
        <v>104.318</v>
      </c>
      <c r="FV9" s="1131">
        <v>105.145</v>
      </c>
      <c r="FW9" s="1131">
        <v>105.502</v>
      </c>
      <c r="FX9" s="1131">
        <v>106.09</v>
      </c>
      <c r="FY9" s="1131">
        <v>106.054</v>
      </c>
      <c r="FZ9" s="1131">
        <v>105.176</v>
      </c>
      <c r="GA9" s="1131">
        <v>105.863</v>
      </c>
      <c r="GB9" s="1131">
        <v>105.96899999999999</v>
      </c>
      <c r="GC9" s="1131">
        <v>105.61499999999999</v>
      </c>
      <c r="GD9" s="1131">
        <v>104.83</v>
      </c>
      <c r="GE9" s="1131">
        <v>105.637</v>
      </c>
      <c r="GF9" s="1131">
        <v>105.985</v>
      </c>
      <c r="GG9" s="1131">
        <v>106.504</v>
      </c>
      <c r="GH9" s="1131">
        <v>107.471</v>
      </c>
      <c r="GI9" s="1131">
        <v>107.785</v>
      </c>
      <c r="GJ9" s="1131">
        <v>108.765</v>
      </c>
      <c r="GK9" s="1131">
        <v>110.07599999999999</v>
      </c>
      <c r="GL9" s="1131">
        <v>111.383</v>
      </c>
      <c r="GM9" s="1131">
        <v>112.61499999999999</v>
      </c>
      <c r="GN9" s="1131">
        <v>113.63200000000001</v>
      </c>
      <c r="GO9" s="1131">
        <v>114.307</v>
      </c>
      <c r="GP9" s="1131">
        <v>114.014</v>
      </c>
      <c r="GQ9" s="1131">
        <v>114.878</v>
      </c>
      <c r="GR9" s="1131">
        <v>115.114</v>
      </c>
      <c r="GS9" s="1131">
        <v>115.447</v>
      </c>
      <c r="GT9" s="1131">
        <v>116.536</v>
      </c>
      <c r="GU9" s="1131">
        <v>116.093</v>
      </c>
      <c r="GV9" s="1131">
        <v>116.65900000000001</v>
      </c>
      <c r="GW9" s="1131">
        <v>117.611</v>
      </c>
      <c r="GX9" s="1131">
        <v>119.416</v>
      </c>
      <c r="GY9" s="1131">
        <v>121.544</v>
      </c>
    </row>
    <row r="10" spans="1:208" x14ac:dyDescent="0.35">
      <c r="A10" s="1131" t="s">
        <v>208</v>
      </c>
      <c r="B10" s="1131">
        <v>13.106999999999999</v>
      </c>
      <c r="C10" s="1131">
        <v>13.368</v>
      </c>
      <c r="D10" s="1131">
        <v>13.603999999999999</v>
      </c>
      <c r="E10" s="1131">
        <v>13.833</v>
      </c>
      <c r="F10" s="1131">
        <v>14.173999999999999</v>
      </c>
      <c r="G10" s="1131">
        <v>14.439</v>
      </c>
      <c r="H10" s="1131">
        <v>14.657</v>
      </c>
      <c r="I10" s="1131">
        <v>14.79</v>
      </c>
      <c r="J10" s="1131">
        <v>15.162000000000001</v>
      </c>
      <c r="K10" s="1131">
        <v>15.361000000000001</v>
      </c>
      <c r="L10" s="1131">
        <v>15.6</v>
      </c>
      <c r="M10" s="1131">
        <v>15.794</v>
      </c>
      <c r="N10" s="1131">
        <v>16.106000000000002</v>
      </c>
      <c r="O10" s="1131">
        <v>16.378</v>
      </c>
      <c r="P10" s="1131">
        <v>16.568000000000001</v>
      </c>
      <c r="Q10" s="1131">
        <v>16.846</v>
      </c>
      <c r="R10" s="1131">
        <v>17.254999999999999</v>
      </c>
      <c r="S10" s="1131">
        <v>17.719000000000001</v>
      </c>
      <c r="T10" s="1131">
        <v>18.228000000000002</v>
      </c>
      <c r="U10" s="1131">
        <v>18.704000000000001</v>
      </c>
      <c r="V10" s="1131">
        <v>19.077999999999999</v>
      </c>
      <c r="W10" s="1131">
        <v>19.538</v>
      </c>
      <c r="X10" s="1131">
        <v>19.838000000000001</v>
      </c>
      <c r="Y10" s="1131">
        <v>20.126999999999999</v>
      </c>
      <c r="Z10" s="1131">
        <v>20.388999999999999</v>
      </c>
      <c r="AA10" s="1131">
        <v>20.655000000000001</v>
      </c>
      <c r="AB10" s="1131">
        <v>20.835999999999999</v>
      </c>
      <c r="AC10" s="1131">
        <v>21.111000000000001</v>
      </c>
      <c r="AD10" s="1131">
        <v>21.54</v>
      </c>
      <c r="AE10" s="1131">
        <v>21.968</v>
      </c>
      <c r="AF10" s="1131">
        <v>22.361000000000001</v>
      </c>
      <c r="AG10" s="1131">
        <v>22.771000000000001</v>
      </c>
      <c r="AH10" s="1131">
        <v>23.102</v>
      </c>
      <c r="AI10" s="1131">
        <v>23.472000000000001</v>
      </c>
      <c r="AJ10" s="1131">
        <v>23.808</v>
      </c>
      <c r="AK10" s="1131">
        <v>24.126999999999999</v>
      </c>
      <c r="AL10" s="1131">
        <v>24.719000000000001</v>
      </c>
      <c r="AM10" s="1131">
        <v>25.259</v>
      </c>
      <c r="AN10" s="1131">
        <v>26.146000000000001</v>
      </c>
      <c r="AO10" s="1131">
        <v>26.596</v>
      </c>
      <c r="AP10" s="1131">
        <v>27.28</v>
      </c>
      <c r="AQ10" s="1131">
        <v>28.02</v>
      </c>
      <c r="AR10" s="1131">
        <v>28.798999999999999</v>
      </c>
      <c r="AS10" s="1131">
        <v>29.565000000000001</v>
      </c>
      <c r="AT10" s="1131">
        <v>30.556000000000001</v>
      </c>
      <c r="AU10" s="1131">
        <v>31.195</v>
      </c>
      <c r="AV10" s="1131">
        <v>31.568000000000001</v>
      </c>
      <c r="AW10" s="1131">
        <v>32.052</v>
      </c>
      <c r="AX10" s="1131">
        <v>32.613999999999997</v>
      </c>
      <c r="AY10" s="1131">
        <v>33.134</v>
      </c>
      <c r="AZ10" s="1131">
        <v>33.683999999999997</v>
      </c>
      <c r="BA10" s="1131">
        <v>34.19</v>
      </c>
      <c r="BB10" s="1131">
        <v>34.482999999999997</v>
      </c>
      <c r="BC10" s="1131">
        <v>34.954000000000001</v>
      </c>
      <c r="BD10" s="1131">
        <v>35.363</v>
      </c>
      <c r="BE10" s="1131">
        <v>35.694000000000003</v>
      </c>
      <c r="BF10" s="1131">
        <v>36.32</v>
      </c>
      <c r="BG10" s="1131">
        <v>36.716000000000001</v>
      </c>
      <c r="BH10" s="1131">
        <v>37.11</v>
      </c>
      <c r="BI10" s="1131">
        <v>37.548000000000002</v>
      </c>
      <c r="BJ10" s="1131">
        <v>38.043999999999997</v>
      </c>
      <c r="BK10" s="1131">
        <v>38.478999999999999</v>
      </c>
      <c r="BL10" s="1131">
        <v>38.835999999999999</v>
      </c>
      <c r="BM10" s="1131">
        <v>39.226999999999997</v>
      </c>
      <c r="BN10" s="1131">
        <v>39.371000000000002</v>
      </c>
      <c r="BO10" s="1131">
        <v>39.488999999999997</v>
      </c>
      <c r="BP10" s="1131">
        <v>39.826999999999998</v>
      </c>
      <c r="BQ10" s="1131">
        <v>40.351999999999997</v>
      </c>
      <c r="BR10" s="1131">
        <v>41.005000000000003</v>
      </c>
      <c r="BS10" s="1131">
        <v>41.545000000000002</v>
      </c>
      <c r="BT10" s="1131">
        <v>42.072000000000003</v>
      </c>
      <c r="BU10" s="1131">
        <v>42.329000000000001</v>
      </c>
      <c r="BV10" s="1131">
        <v>42.517000000000003</v>
      </c>
      <c r="BW10" s="1131">
        <v>42.975000000000001</v>
      </c>
      <c r="BX10" s="1131">
        <v>43.356999999999999</v>
      </c>
      <c r="BY10" s="1131">
        <v>43.918999999999997</v>
      </c>
      <c r="BZ10" s="1131">
        <v>44.585000000000001</v>
      </c>
      <c r="CA10" s="1131">
        <v>45.247999999999998</v>
      </c>
      <c r="CB10" s="1131">
        <v>45.692999999999998</v>
      </c>
      <c r="CC10" s="1131">
        <v>46.363999999999997</v>
      </c>
      <c r="CD10" s="1131">
        <v>47.098999999999997</v>
      </c>
      <c r="CE10" s="1131">
        <v>47.601999999999997</v>
      </c>
      <c r="CF10" s="1131">
        <v>48.293999999999997</v>
      </c>
      <c r="CG10" s="1131">
        <v>49.207999999999998</v>
      </c>
      <c r="CH10" s="1131">
        <v>49.442</v>
      </c>
      <c r="CI10" s="1131">
        <v>49.752000000000002</v>
      </c>
      <c r="CJ10" s="1131">
        <v>50.226999999999997</v>
      </c>
      <c r="CK10" s="1131">
        <v>50.798000000000002</v>
      </c>
      <c r="CL10" s="1131">
        <v>51.277999999999999</v>
      </c>
      <c r="CM10" s="1131">
        <v>51.975000000000001</v>
      </c>
      <c r="CN10" s="1131">
        <v>52.42</v>
      </c>
      <c r="CO10" s="1131">
        <v>52.802999999999997</v>
      </c>
      <c r="CP10" s="1131">
        <v>53.091999999999999</v>
      </c>
      <c r="CQ10" s="1131">
        <v>53.405999999999999</v>
      </c>
      <c r="CR10" s="1131">
        <v>53.58</v>
      </c>
      <c r="CS10" s="1131">
        <v>53.853999999999999</v>
      </c>
      <c r="CT10" s="1131">
        <v>54.305</v>
      </c>
      <c r="CU10" s="1131">
        <v>54.621000000000002</v>
      </c>
      <c r="CV10" s="1131">
        <v>55.097999999999999</v>
      </c>
      <c r="CW10" s="1131">
        <v>55.569000000000003</v>
      </c>
      <c r="CX10" s="1131">
        <v>55.825000000000003</v>
      </c>
      <c r="CY10" s="1131">
        <v>56.253999999999998</v>
      </c>
      <c r="CZ10" s="1131">
        <v>56.468000000000004</v>
      </c>
      <c r="DA10" s="1131">
        <v>56.66</v>
      </c>
      <c r="DB10" s="1131">
        <v>57.283999999999999</v>
      </c>
      <c r="DC10" s="1131">
        <v>57.366</v>
      </c>
      <c r="DD10" s="1131">
        <v>57.746000000000002</v>
      </c>
      <c r="DE10" s="1131">
        <v>58.213999999999999</v>
      </c>
      <c r="DF10" s="1131">
        <v>58.613</v>
      </c>
      <c r="DG10" s="1131">
        <v>58.753</v>
      </c>
      <c r="DH10" s="1131">
        <v>59.033999999999999</v>
      </c>
      <c r="DI10" s="1131">
        <v>59.515999999999998</v>
      </c>
      <c r="DJ10" s="1131">
        <v>59.61</v>
      </c>
      <c r="DK10" s="1131">
        <v>59.927</v>
      </c>
      <c r="DL10" s="1131">
        <v>60.395000000000003</v>
      </c>
      <c r="DM10" s="1131">
        <v>60.939</v>
      </c>
      <c r="DN10" s="1131">
        <v>61.46</v>
      </c>
      <c r="DO10" s="1131">
        <v>62.381999999999998</v>
      </c>
      <c r="DP10" s="1131">
        <v>63.246000000000002</v>
      </c>
      <c r="DQ10" s="1131">
        <v>64.018000000000001</v>
      </c>
      <c r="DR10" s="1131">
        <v>64.912000000000006</v>
      </c>
      <c r="DS10" s="1131">
        <v>65.59</v>
      </c>
      <c r="DT10" s="1131">
        <v>66.358999999999995</v>
      </c>
      <c r="DU10" s="1131">
        <v>67.293000000000006</v>
      </c>
      <c r="DV10" s="1131">
        <v>68.191000000000003</v>
      </c>
      <c r="DW10" s="1131">
        <v>68.48</v>
      </c>
      <c r="DX10" s="1131">
        <v>68.652000000000001</v>
      </c>
      <c r="DY10" s="1131">
        <v>68.728999999999999</v>
      </c>
      <c r="DZ10" s="1131">
        <v>69.174999999999997</v>
      </c>
      <c r="EA10" s="1131">
        <v>69.855999999999995</v>
      </c>
      <c r="EB10" s="1131">
        <v>70.427999999999997</v>
      </c>
      <c r="EC10" s="1131">
        <v>71.129000000000005</v>
      </c>
      <c r="ED10" s="1131">
        <v>72.244</v>
      </c>
      <c r="EE10" s="1131">
        <v>72.290999999999997</v>
      </c>
      <c r="EF10" s="1131">
        <v>72.872</v>
      </c>
      <c r="EG10" s="1131">
        <v>73.531999999999996</v>
      </c>
      <c r="EH10" s="1131">
        <v>74.569999999999993</v>
      </c>
      <c r="EI10" s="1131">
        <v>75.561000000000007</v>
      </c>
      <c r="EJ10" s="1131">
        <v>76.591999999999999</v>
      </c>
      <c r="EK10" s="1131">
        <v>77.790000000000006</v>
      </c>
      <c r="EL10" s="1131">
        <v>78.498000000000005</v>
      </c>
      <c r="EM10" s="1131">
        <v>79.393000000000001</v>
      </c>
      <c r="EN10" s="1131">
        <v>80.545000000000002</v>
      </c>
      <c r="EO10" s="1131">
        <v>81.906000000000006</v>
      </c>
      <c r="EP10" s="1131">
        <v>82.507999999999996</v>
      </c>
      <c r="EQ10" s="1131">
        <v>83.641999999999996</v>
      </c>
      <c r="ER10" s="1131">
        <v>84.402000000000001</v>
      </c>
      <c r="ES10" s="1131">
        <v>85.034999999999997</v>
      </c>
      <c r="ET10" s="1131">
        <v>86.531999999999996</v>
      </c>
      <c r="EU10" s="1131">
        <v>87.468999999999994</v>
      </c>
      <c r="EV10" s="1131">
        <v>88.447000000000003</v>
      </c>
      <c r="EW10" s="1131">
        <v>89.787999999999997</v>
      </c>
      <c r="EX10" s="1131">
        <v>91.369</v>
      </c>
      <c r="EY10" s="1131">
        <v>92.781000000000006</v>
      </c>
      <c r="EZ10" s="1131">
        <v>94.036000000000001</v>
      </c>
      <c r="FA10" s="1131">
        <v>92.242000000000004</v>
      </c>
      <c r="FB10" s="1131">
        <v>90.620999999999995</v>
      </c>
      <c r="FC10" s="1131">
        <v>91.066999999999993</v>
      </c>
      <c r="FD10" s="1131">
        <v>91.849000000000004</v>
      </c>
      <c r="FE10" s="1131">
        <v>92.700999999999993</v>
      </c>
      <c r="FF10" s="1131">
        <v>93.771000000000001</v>
      </c>
      <c r="FG10" s="1131">
        <v>94.444999999999993</v>
      </c>
      <c r="FH10" s="1131">
        <v>94.984999999999999</v>
      </c>
      <c r="FI10" s="1131">
        <v>95.872</v>
      </c>
      <c r="FJ10" s="1131">
        <v>96.936000000000007</v>
      </c>
      <c r="FK10" s="1131">
        <v>98.144999999999996</v>
      </c>
      <c r="FL10" s="1131">
        <v>98.516999999999996</v>
      </c>
      <c r="FM10" s="1131">
        <v>98.168000000000006</v>
      </c>
      <c r="FN10" s="1131">
        <v>99.47</v>
      </c>
      <c r="FO10" s="1131">
        <v>99.296000000000006</v>
      </c>
      <c r="FP10" s="1131">
        <v>99.897000000000006</v>
      </c>
      <c r="FQ10" s="1131">
        <v>101.337</v>
      </c>
      <c r="FR10" s="1131">
        <v>102.663</v>
      </c>
      <c r="FS10" s="1131">
        <v>103.21</v>
      </c>
      <c r="FT10" s="1131">
        <v>104.08199999999999</v>
      </c>
      <c r="FU10" s="1131">
        <v>104.636</v>
      </c>
      <c r="FV10" s="1131">
        <v>105.515</v>
      </c>
      <c r="FW10" s="1131">
        <v>105.848</v>
      </c>
      <c r="FX10" s="1131">
        <v>106.45399999999999</v>
      </c>
      <c r="FY10" s="1131">
        <v>106.371</v>
      </c>
      <c r="FZ10" s="1131">
        <v>105.31</v>
      </c>
      <c r="GA10" s="1131">
        <v>106.047</v>
      </c>
      <c r="GB10" s="1131">
        <v>106.111</v>
      </c>
      <c r="GC10" s="1131">
        <v>105.693</v>
      </c>
      <c r="GD10" s="1131">
        <v>104.792</v>
      </c>
      <c r="GE10" s="1131">
        <v>105.589</v>
      </c>
      <c r="GF10" s="1131">
        <v>105.995</v>
      </c>
      <c r="GG10" s="1131">
        <v>106.51600000000001</v>
      </c>
      <c r="GH10" s="1131">
        <v>107.53400000000001</v>
      </c>
      <c r="GI10" s="1131">
        <v>107.80200000000001</v>
      </c>
      <c r="GJ10" s="1131">
        <v>108.785</v>
      </c>
      <c r="GK10" s="1131">
        <v>110.252</v>
      </c>
      <c r="GL10" s="1131">
        <v>111.627</v>
      </c>
      <c r="GM10" s="1131">
        <v>112.81100000000001</v>
      </c>
      <c r="GN10" s="1131">
        <v>113.875</v>
      </c>
      <c r="GO10" s="1131">
        <v>114.43899999999999</v>
      </c>
      <c r="GP10" s="1131">
        <v>113.98</v>
      </c>
      <c r="GQ10" s="1131">
        <v>114.758</v>
      </c>
      <c r="GR10" s="1131">
        <v>114.919</v>
      </c>
      <c r="GS10" s="1131">
        <v>115.285</v>
      </c>
      <c r="GT10" s="1131">
        <v>116.54600000000001</v>
      </c>
      <c r="GU10" s="1131">
        <v>116.072</v>
      </c>
      <c r="GV10" s="1131">
        <v>116.51900000000001</v>
      </c>
      <c r="GW10" s="1131">
        <v>117.593</v>
      </c>
      <c r="GX10" s="1131">
        <v>119.419</v>
      </c>
      <c r="GY10" s="1131">
        <v>121.425</v>
      </c>
    </row>
    <row r="11" spans="1:208" x14ac:dyDescent="0.35">
      <c r="A11" s="1131" t="s">
        <v>209</v>
      </c>
      <c r="B11" s="1131">
        <v>16.824999999999999</v>
      </c>
      <c r="C11" s="1131">
        <v>17.248000000000001</v>
      </c>
      <c r="D11" s="1131">
        <v>17.582000000000001</v>
      </c>
      <c r="E11" s="1131">
        <v>18.027999999999999</v>
      </c>
      <c r="F11" s="1131">
        <v>18.332000000000001</v>
      </c>
      <c r="G11" s="1131">
        <v>18.625</v>
      </c>
      <c r="H11" s="1131">
        <v>18.827999999999999</v>
      </c>
      <c r="I11" s="1131">
        <v>19.152999999999999</v>
      </c>
      <c r="J11" s="1131">
        <v>19.398</v>
      </c>
      <c r="K11" s="1131">
        <v>19.533999999999999</v>
      </c>
      <c r="L11" s="1131">
        <v>19.805</v>
      </c>
      <c r="M11" s="1131">
        <v>20.175000000000001</v>
      </c>
      <c r="N11" s="1131">
        <v>20.564</v>
      </c>
      <c r="O11" s="1131">
        <v>20.997</v>
      </c>
      <c r="P11" s="1131">
        <v>21.425000000000001</v>
      </c>
      <c r="Q11" s="1131">
        <v>22</v>
      </c>
      <c r="R11" s="1131">
        <v>23.02</v>
      </c>
      <c r="S11" s="1131">
        <v>24.466999999999999</v>
      </c>
      <c r="T11" s="1131">
        <v>26.030999999999999</v>
      </c>
      <c r="U11" s="1131">
        <v>27.113</v>
      </c>
      <c r="V11" s="1131">
        <v>27.689</v>
      </c>
      <c r="W11" s="1131">
        <v>27.826000000000001</v>
      </c>
      <c r="X11" s="1131">
        <v>27.914000000000001</v>
      </c>
      <c r="Y11" s="1131">
        <v>28.084</v>
      </c>
      <c r="Z11" s="1131">
        <v>28.222000000000001</v>
      </c>
      <c r="AA11" s="1131">
        <v>28.463999999999999</v>
      </c>
      <c r="AB11" s="1131">
        <v>28.526</v>
      </c>
      <c r="AC11" s="1131">
        <v>28.72</v>
      </c>
      <c r="AD11" s="1131">
        <v>29.091999999999999</v>
      </c>
      <c r="AE11" s="1131">
        <v>29.379000000000001</v>
      </c>
      <c r="AF11" s="1131">
        <v>29.774000000000001</v>
      </c>
      <c r="AG11" s="1131">
        <v>30.091999999999999</v>
      </c>
      <c r="AH11" s="1131">
        <v>30.465</v>
      </c>
      <c r="AI11" s="1131">
        <v>31.064</v>
      </c>
      <c r="AJ11" s="1131">
        <v>31.658000000000001</v>
      </c>
      <c r="AK11" s="1131">
        <v>32.223999999999997</v>
      </c>
      <c r="AL11" s="1131">
        <v>32.889000000000003</v>
      </c>
      <c r="AM11" s="1131">
        <v>33.781999999999996</v>
      </c>
      <c r="AN11" s="1131">
        <v>34.768000000000001</v>
      </c>
      <c r="AO11" s="1131">
        <v>35.753999999999998</v>
      </c>
      <c r="AP11" s="1131">
        <v>36.731000000000002</v>
      </c>
      <c r="AQ11" s="1131">
        <v>37.784999999999997</v>
      </c>
      <c r="AR11" s="1131">
        <v>39.027000000000001</v>
      </c>
      <c r="AS11" s="1131">
        <v>40.182000000000002</v>
      </c>
      <c r="AT11" s="1131">
        <v>41.32</v>
      </c>
      <c r="AU11" s="1131">
        <v>42.308</v>
      </c>
      <c r="AV11" s="1131">
        <v>43.174999999999997</v>
      </c>
      <c r="AW11" s="1131">
        <v>43.944000000000003</v>
      </c>
      <c r="AX11" s="1131">
        <v>44.56</v>
      </c>
      <c r="AY11" s="1131">
        <v>45.305</v>
      </c>
      <c r="AZ11" s="1131">
        <v>45.84</v>
      </c>
      <c r="BA11" s="1131">
        <v>45.956000000000003</v>
      </c>
      <c r="BB11" s="1131">
        <v>45.999000000000002</v>
      </c>
      <c r="BC11" s="1131">
        <v>45.936999999999998</v>
      </c>
      <c r="BD11" s="1131">
        <v>45.963000000000001</v>
      </c>
      <c r="BE11" s="1131">
        <v>45.95</v>
      </c>
      <c r="BF11" s="1131">
        <v>46</v>
      </c>
      <c r="BG11" s="1131">
        <v>46.162999999999997</v>
      </c>
      <c r="BH11" s="1131">
        <v>46.311999999999998</v>
      </c>
      <c r="BI11" s="1131">
        <v>46.405999999999999</v>
      </c>
      <c r="BJ11" s="1131">
        <v>46.664000000000001</v>
      </c>
      <c r="BK11" s="1131">
        <v>46.808</v>
      </c>
      <c r="BL11" s="1131">
        <v>47</v>
      </c>
      <c r="BM11" s="1131">
        <v>47.28</v>
      </c>
      <c r="BN11" s="1131">
        <v>47.573999999999998</v>
      </c>
      <c r="BO11" s="1131">
        <v>48.063000000000002</v>
      </c>
      <c r="BP11" s="1131">
        <v>48.500999999999998</v>
      </c>
      <c r="BQ11" s="1131">
        <v>49.026000000000003</v>
      </c>
      <c r="BR11" s="1131">
        <v>49.34</v>
      </c>
      <c r="BS11" s="1131">
        <v>49.755000000000003</v>
      </c>
      <c r="BT11" s="1131">
        <v>50.198</v>
      </c>
      <c r="BU11" s="1131">
        <v>50.463999999999999</v>
      </c>
      <c r="BV11" s="1131">
        <v>50.87</v>
      </c>
      <c r="BW11" s="1131">
        <v>51.151000000000003</v>
      </c>
      <c r="BX11" s="1131">
        <v>51.481000000000002</v>
      </c>
      <c r="BY11" s="1131">
        <v>51.753</v>
      </c>
      <c r="BZ11" s="1131">
        <v>52.003</v>
      </c>
      <c r="CA11" s="1131">
        <v>52.424999999999997</v>
      </c>
      <c r="CB11" s="1131">
        <v>52.814</v>
      </c>
      <c r="CC11" s="1131">
        <v>53.104999999999997</v>
      </c>
      <c r="CD11" s="1131">
        <v>53.487000000000002</v>
      </c>
      <c r="CE11" s="1131">
        <v>53.959000000000003</v>
      </c>
      <c r="CF11" s="1131">
        <v>54.482999999999997</v>
      </c>
      <c r="CG11" s="1131">
        <v>54.628</v>
      </c>
      <c r="CH11" s="1131">
        <v>54.735999999999997</v>
      </c>
      <c r="CI11" s="1131">
        <v>55.018000000000001</v>
      </c>
      <c r="CJ11" s="1131">
        <v>55.164000000000001</v>
      </c>
      <c r="CK11" s="1131">
        <v>55.026000000000003</v>
      </c>
      <c r="CL11" s="1131">
        <v>54.881999999999998</v>
      </c>
      <c r="CM11" s="1131">
        <v>55.142000000000003</v>
      </c>
      <c r="CN11" s="1131">
        <v>55.253999999999998</v>
      </c>
      <c r="CO11" s="1131">
        <v>55.506</v>
      </c>
      <c r="CP11" s="1131">
        <v>55.918999999999997</v>
      </c>
      <c r="CQ11" s="1131">
        <v>56.244999999999997</v>
      </c>
      <c r="CR11" s="1131">
        <v>56.302</v>
      </c>
      <c r="CS11" s="1131">
        <v>56.564999999999998</v>
      </c>
      <c r="CT11" s="1131">
        <v>56.978000000000002</v>
      </c>
      <c r="CU11" s="1131">
        <v>57.225000000000001</v>
      </c>
      <c r="CV11" s="1131">
        <v>57.725999999999999</v>
      </c>
      <c r="CW11" s="1131">
        <v>58.207000000000001</v>
      </c>
      <c r="CX11" s="1131">
        <v>58.787999999999997</v>
      </c>
      <c r="CY11" s="1131">
        <v>59.207999999999998</v>
      </c>
      <c r="CZ11" s="1131">
        <v>59.534999999999997</v>
      </c>
      <c r="DA11" s="1131">
        <v>59.878</v>
      </c>
      <c r="DB11" s="1131">
        <v>60.198999999999998</v>
      </c>
      <c r="DC11" s="1131">
        <v>60.265999999999998</v>
      </c>
      <c r="DD11" s="1131">
        <v>60.564999999999998</v>
      </c>
      <c r="DE11" s="1131">
        <v>60.761000000000003</v>
      </c>
      <c r="DF11" s="1131">
        <v>61.103999999999999</v>
      </c>
      <c r="DG11" s="1131">
        <v>61.521000000000001</v>
      </c>
      <c r="DH11" s="1131">
        <v>61.677</v>
      </c>
      <c r="DI11" s="1131">
        <v>62.073999999999998</v>
      </c>
      <c r="DJ11" s="1131">
        <v>62.094999999999999</v>
      </c>
      <c r="DK11" s="1131">
        <v>62.134</v>
      </c>
      <c r="DL11" s="1131">
        <v>62.517000000000003</v>
      </c>
      <c r="DM11" s="1131">
        <v>62.87</v>
      </c>
      <c r="DN11" s="1131">
        <v>63.122</v>
      </c>
      <c r="DO11" s="1131">
        <v>63.59</v>
      </c>
      <c r="DP11" s="1131">
        <v>63.857999999999997</v>
      </c>
      <c r="DQ11" s="1131">
        <v>64.402000000000001</v>
      </c>
      <c r="DR11" s="1131">
        <v>64.912000000000006</v>
      </c>
      <c r="DS11" s="1131">
        <v>65.650999999999996</v>
      </c>
      <c r="DT11" s="1131">
        <v>66.081000000000003</v>
      </c>
      <c r="DU11" s="1131">
        <v>66.47</v>
      </c>
      <c r="DV11" s="1131">
        <v>66.88</v>
      </c>
      <c r="DW11" s="1131">
        <v>67.052000000000007</v>
      </c>
      <c r="DX11" s="1131">
        <v>67.262</v>
      </c>
      <c r="DY11" s="1131">
        <v>67.623000000000005</v>
      </c>
      <c r="DZ11" s="1131">
        <v>67.921000000000006</v>
      </c>
      <c r="EA11" s="1131">
        <v>68.290000000000006</v>
      </c>
      <c r="EB11" s="1131">
        <v>68.5</v>
      </c>
      <c r="EC11" s="1131">
        <v>68.617999999999995</v>
      </c>
      <c r="ED11" s="1131">
        <v>69.186999999999998</v>
      </c>
      <c r="EE11" s="1131">
        <v>69.259</v>
      </c>
      <c r="EF11" s="1131">
        <v>69.346999999999994</v>
      </c>
      <c r="EG11" s="1131">
        <v>69.539000000000001</v>
      </c>
      <c r="EH11" s="1131">
        <v>69.992000000000004</v>
      </c>
      <c r="EI11" s="1131">
        <v>71.278000000000006</v>
      </c>
      <c r="EJ11" s="1131">
        <v>73.197000000000003</v>
      </c>
      <c r="EK11" s="1131">
        <v>74.954999999999998</v>
      </c>
      <c r="EL11" s="1131">
        <v>75.587999999999994</v>
      </c>
      <c r="EM11" s="1131">
        <v>77.010000000000005</v>
      </c>
      <c r="EN11" s="1131">
        <v>78.724999999999994</v>
      </c>
      <c r="EO11" s="1131">
        <v>79.822999999999993</v>
      </c>
      <c r="EP11" s="1131">
        <v>80.319000000000003</v>
      </c>
      <c r="EQ11" s="1131">
        <v>82.088999999999999</v>
      </c>
      <c r="ER11" s="1131">
        <v>83.231999999999999</v>
      </c>
      <c r="ES11" s="1131">
        <v>85.185000000000002</v>
      </c>
      <c r="ET11" s="1131">
        <v>87.334000000000003</v>
      </c>
      <c r="EU11" s="1131">
        <v>88.247</v>
      </c>
      <c r="EV11" s="1131">
        <v>89.096999999999994</v>
      </c>
      <c r="EW11" s="1131">
        <v>90.144999999999996</v>
      </c>
      <c r="EX11" s="1131">
        <v>90.998999999999995</v>
      </c>
      <c r="EY11" s="1131">
        <v>91.698999999999998</v>
      </c>
      <c r="EZ11" s="1131">
        <v>92.884</v>
      </c>
      <c r="FA11" s="1131">
        <v>94.585999999999999</v>
      </c>
      <c r="FB11" s="1131">
        <v>95.176000000000002</v>
      </c>
      <c r="FC11" s="1131">
        <v>94.34</v>
      </c>
      <c r="FD11" s="1131">
        <v>93.49</v>
      </c>
      <c r="FE11" s="1131">
        <v>93.418000000000006</v>
      </c>
      <c r="FF11" s="1131">
        <v>93.683000000000007</v>
      </c>
      <c r="FG11" s="1131">
        <v>94.09</v>
      </c>
      <c r="FH11" s="1131">
        <v>94.385999999999996</v>
      </c>
      <c r="FI11" s="1131">
        <v>94.81</v>
      </c>
      <c r="FJ11" s="1131">
        <v>95.382999999999996</v>
      </c>
      <c r="FK11" s="1131">
        <v>96.346999999999994</v>
      </c>
      <c r="FL11" s="1131">
        <v>97.436000000000007</v>
      </c>
      <c r="FM11" s="1131">
        <v>98.352000000000004</v>
      </c>
      <c r="FN11" s="1131">
        <v>99.088999999999999</v>
      </c>
      <c r="FO11" s="1131">
        <v>99.879000000000005</v>
      </c>
      <c r="FP11" s="1131">
        <v>100.417</v>
      </c>
      <c r="FQ11" s="1131">
        <v>100.61499999999999</v>
      </c>
      <c r="FR11" s="1131">
        <v>101.023</v>
      </c>
      <c r="FS11" s="1131">
        <v>101.538</v>
      </c>
      <c r="FT11" s="1131">
        <v>102.08499999999999</v>
      </c>
      <c r="FU11" s="1131">
        <v>102.85599999999999</v>
      </c>
      <c r="FV11" s="1131">
        <v>103.435</v>
      </c>
      <c r="FW11" s="1131">
        <v>103.907</v>
      </c>
      <c r="FX11" s="1131">
        <v>104.40900000000001</v>
      </c>
      <c r="FY11" s="1131">
        <v>104.593</v>
      </c>
      <c r="FZ11" s="1131">
        <v>104.562</v>
      </c>
      <c r="GA11" s="1131">
        <v>105.021</v>
      </c>
      <c r="GB11" s="1131">
        <v>105.319</v>
      </c>
      <c r="GC11" s="1131">
        <v>105.261</v>
      </c>
      <c r="GD11" s="1131">
        <v>105.006</v>
      </c>
      <c r="GE11" s="1131">
        <v>105.86199999999999</v>
      </c>
      <c r="GF11" s="1131">
        <v>105.94199999999999</v>
      </c>
      <c r="GG11" s="1131">
        <v>106.45399999999999</v>
      </c>
      <c r="GH11" s="1131">
        <v>107.188</v>
      </c>
      <c r="GI11" s="1131">
        <v>107.712</v>
      </c>
      <c r="GJ11" s="1131">
        <v>108.676</v>
      </c>
      <c r="GK11" s="1131">
        <v>109.285</v>
      </c>
      <c r="GL11" s="1131">
        <v>110.291</v>
      </c>
      <c r="GM11" s="1131">
        <v>111.736</v>
      </c>
      <c r="GN11" s="1131">
        <v>112.542</v>
      </c>
      <c r="GO11" s="1131">
        <v>113.715</v>
      </c>
      <c r="GP11" s="1131">
        <v>114.175</v>
      </c>
      <c r="GQ11" s="1131">
        <v>115.41800000000001</v>
      </c>
      <c r="GR11" s="1131">
        <v>115.982</v>
      </c>
      <c r="GS11" s="1131">
        <v>116.167</v>
      </c>
      <c r="GT11" s="1131">
        <v>116.5</v>
      </c>
      <c r="GU11" s="1131">
        <v>116.19499999999999</v>
      </c>
      <c r="GV11" s="1131">
        <v>117.285</v>
      </c>
      <c r="GW11" s="1131">
        <v>117.706</v>
      </c>
      <c r="GX11" s="1131">
        <v>119.416</v>
      </c>
      <c r="GY11" s="1131">
        <v>122.101</v>
      </c>
    </row>
    <row r="12" spans="1:208" x14ac:dyDescent="0.35">
      <c r="A12" s="1131" t="s">
        <v>210</v>
      </c>
      <c r="B12" s="1131">
        <v>7</v>
      </c>
      <c r="C12" s="1131">
        <v>7.2</v>
      </c>
      <c r="D12" s="1131">
        <v>7.3</v>
      </c>
      <c r="E12" s="1131">
        <v>7.5</v>
      </c>
      <c r="F12" s="1131">
        <v>7.8</v>
      </c>
      <c r="G12" s="1131">
        <v>8</v>
      </c>
      <c r="H12" s="1131">
        <v>8.1</v>
      </c>
      <c r="I12" s="1131">
        <v>8.3000000000000007</v>
      </c>
      <c r="J12" s="1131">
        <v>8.5</v>
      </c>
      <c r="K12" s="1131">
        <v>8.6999999999999993</v>
      </c>
      <c r="L12" s="1131">
        <v>8.9</v>
      </c>
      <c r="M12" s="1131">
        <v>9.1999999999999993</v>
      </c>
      <c r="N12" s="1131">
        <v>9.5</v>
      </c>
      <c r="O12" s="1131">
        <v>10</v>
      </c>
      <c r="P12" s="1131">
        <v>10.5</v>
      </c>
      <c r="Q12" s="1131">
        <v>11</v>
      </c>
      <c r="R12" s="1131">
        <v>11.7</v>
      </c>
      <c r="S12" s="1131">
        <v>12.4</v>
      </c>
      <c r="T12" s="1131">
        <v>13.1</v>
      </c>
      <c r="U12" s="1131">
        <v>13.8</v>
      </c>
      <c r="V12" s="1131">
        <v>14.5</v>
      </c>
      <c r="W12" s="1131">
        <v>15.2</v>
      </c>
      <c r="X12" s="1131">
        <v>16</v>
      </c>
      <c r="Y12" s="1131">
        <v>16.8</v>
      </c>
      <c r="Z12" s="1131">
        <v>17.600000000000001</v>
      </c>
      <c r="AA12" s="1131">
        <v>18.399999999999999</v>
      </c>
      <c r="AB12" s="1131">
        <v>19.2</v>
      </c>
      <c r="AC12" s="1131">
        <v>20</v>
      </c>
      <c r="AD12" s="1131">
        <v>20.9</v>
      </c>
      <c r="AE12" s="1131">
        <v>21.7</v>
      </c>
      <c r="AF12" s="1131">
        <v>22.5</v>
      </c>
      <c r="AG12" s="1131">
        <v>23.3</v>
      </c>
      <c r="AH12" s="1131">
        <v>24.2</v>
      </c>
      <c r="AI12" s="1131">
        <v>25</v>
      </c>
      <c r="AJ12" s="1131">
        <v>26</v>
      </c>
      <c r="AK12" s="1131">
        <v>27</v>
      </c>
      <c r="AL12" s="1131">
        <v>28</v>
      </c>
      <c r="AM12" s="1131">
        <v>29.2</v>
      </c>
      <c r="AN12" s="1131">
        <v>30.5</v>
      </c>
      <c r="AO12" s="1131">
        <v>32</v>
      </c>
      <c r="AP12" s="1131">
        <v>33.6</v>
      </c>
      <c r="AQ12" s="1131">
        <v>35.299999999999997</v>
      </c>
      <c r="AR12" s="1131">
        <v>37</v>
      </c>
      <c r="AS12" s="1131">
        <v>38.799999999999997</v>
      </c>
      <c r="AT12" s="1131">
        <v>40.700000000000003</v>
      </c>
      <c r="AU12" s="1131">
        <v>42.6</v>
      </c>
      <c r="AV12" s="1131">
        <v>44.4</v>
      </c>
      <c r="AW12" s="1131">
        <v>46.3</v>
      </c>
      <c r="AX12" s="1131">
        <v>48.2</v>
      </c>
      <c r="AY12" s="1131">
        <v>50.1</v>
      </c>
      <c r="AZ12" s="1131">
        <v>51.8</v>
      </c>
      <c r="BA12" s="1131">
        <v>53.6</v>
      </c>
      <c r="BB12" s="1131">
        <v>55.2</v>
      </c>
      <c r="BC12" s="1131">
        <v>56.9</v>
      </c>
      <c r="BD12" s="1131">
        <v>58.7</v>
      </c>
      <c r="BE12" s="1131">
        <v>60.4</v>
      </c>
      <c r="BF12" s="1131">
        <v>62.5</v>
      </c>
      <c r="BG12" s="1131">
        <v>64.099999999999994</v>
      </c>
      <c r="BH12" s="1131">
        <v>65.599999999999994</v>
      </c>
      <c r="BI12" s="1131">
        <v>66.900000000000006</v>
      </c>
      <c r="BJ12" s="1131">
        <v>67.900000000000006</v>
      </c>
      <c r="BK12" s="1131">
        <v>69.099999999999994</v>
      </c>
      <c r="BL12" s="1131">
        <v>70.3</v>
      </c>
      <c r="BM12" s="1131">
        <v>71.599999999999994</v>
      </c>
      <c r="BN12" s="1131">
        <v>73</v>
      </c>
      <c r="BO12" s="1131">
        <v>74.5</v>
      </c>
      <c r="BP12" s="1131">
        <v>76</v>
      </c>
      <c r="BQ12" s="1131">
        <v>77.599999999999994</v>
      </c>
      <c r="BR12" s="1131">
        <v>79.599999999999994</v>
      </c>
      <c r="BS12" s="1131">
        <v>81.099999999999994</v>
      </c>
      <c r="BT12" s="1131">
        <v>82.3</v>
      </c>
      <c r="BU12" s="1131">
        <v>83.3</v>
      </c>
      <c r="BV12" s="1131">
        <v>83.4</v>
      </c>
      <c r="BW12" s="1131">
        <v>85</v>
      </c>
      <c r="BX12" s="1131">
        <v>87</v>
      </c>
      <c r="BY12" s="1131">
        <v>89.7</v>
      </c>
      <c r="BZ12" s="1131">
        <v>93.8</v>
      </c>
      <c r="CA12" s="1131">
        <v>96.9</v>
      </c>
      <c r="CB12" s="1131">
        <v>99.7</v>
      </c>
      <c r="CC12" s="1131">
        <v>102.3</v>
      </c>
      <c r="CD12" s="1131">
        <v>104.3</v>
      </c>
      <c r="CE12" s="1131">
        <v>106.5</v>
      </c>
      <c r="CF12" s="1131">
        <v>108.7</v>
      </c>
      <c r="CG12" s="1131">
        <v>111</v>
      </c>
      <c r="CH12" s="1131">
        <v>112.9</v>
      </c>
      <c r="CI12" s="1131">
        <v>115.7</v>
      </c>
      <c r="CJ12" s="1131">
        <v>118.9</v>
      </c>
      <c r="CK12" s="1131">
        <v>122.5</v>
      </c>
      <c r="CL12" s="1131">
        <v>127.2</v>
      </c>
      <c r="CM12" s="1131">
        <v>131</v>
      </c>
      <c r="CN12" s="1131">
        <v>134.5</v>
      </c>
      <c r="CO12" s="1131">
        <v>137.69999999999999</v>
      </c>
      <c r="CP12" s="1131">
        <v>143.4</v>
      </c>
      <c r="CQ12" s="1131">
        <v>144.69999999999999</v>
      </c>
      <c r="CR12" s="1131">
        <v>147.5</v>
      </c>
      <c r="CS12" s="1131">
        <v>151.6</v>
      </c>
      <c r="CT12" s="1131">
        <v>156.9</v>
      </c>
      <c r="CU12" s="1131">
        <v>162.19999999999999</v>
      </c>
      <c r="CV12" s="1131">
        <v>167.1</v>
      </c>
      <c r="CW12" s="1131">
        <v>171.6</v>
      </c>
      <c r="CX12" s="1131">
        <v>175.7</v>
      </c>
      <c r="CY12" s="1131">
        <v>179.6</v>
      </c>
      <c r="CZ12" s="1131">
        <v>183.2</v>
      </c>
      <c r="DA12" s="1131">
        <v>186.5</v>
      </c>
      <c r="DB12" s="1131">
        <v>189.6</v>
      </c>
      <c r="DC12" s="1131">
        <v>192.9</v>
      </c>
      <c r="DD12" s="1131">
        <v>196.5</v>
      </c>
      <c r="DE12" s="1131">
        <v>200.4</v>
      </c>
      <c r="DF12" s="1131">
        <v>204.4</v>
      </c>
      <c r="DG12" s="1131">
        <v>207.1</v>
      </c>
      <c r="DH12" s="1131">
        <v>208.3</v>
      </c>
      <c r="DI12" s="1131">
        <v>207.9</v>
      </c>
      <c r="DJ12" s="1131">
        <v>206.4</v>
      </c>
      <c r="DK12" s="1131">
        <v>205.3</v>
      </c>
      <c r="DL12" s="1131">
        <v>205</v>
      </c>
      <c r="DM12" s="1131">
        <v>205.5</v>
      </c>
      <c r="DN12" s="1131">
        <v>206.6</v>
      </c>
      <c r="DO12" s="1131">
        <v>207.9</v>
      </c>
      <c r="DP12" s="1131">
        <v>209.4</v>
      </c>
      <c r="DQ12" s="1131">
        <v>211</v>
      </c>
      <c r="DR12" s="1131">
        <v>213</v>
      </c>
      <c r="DS12" s="1131">
        <v>216.1</v>
      </c>
      <c r="DT12" s="1131">
        <v>220.7</v>
      </c>
      <c r="DU12" s="1131">
        <v>226.7</v>
      </c>
      <c r="DV12" s="1131">
        <v>233.8</v>
      </c>
      <c r="DW12" s="1131">
        <v>240.4</v>
      </c>
      <c r="DX12" s="1131">
        <v>245.8</v>
      </c>
      <c r="DY12" s="1131">
        <v>250.3</v>
      </c>
      <c r="DZ12" s="1131">
        <v>254.1</v>
      </c>
      <c r="EA12" s="1131">
        <v>257.89999999999998</v>
      </c>
      <c r="EB12" s="1131">
        <v>261.60000000000002</v>
      </c>
      <c r="EC12" s="1131">
        <v>265.2</v>
      </c>
      <c r="ED12" s="1131">
        <v>268.89999999999998</v>
      </c>
      <c r="EE12" s="1131">
        <v>273.39999999999998</v>
      </c>
      <c r="EF12" s="1131">
        <v>279</v>
      </c>
      <c r="EG12" s="1131">
        <v>285.5</v>
      </c>
      <c r="EH12" s="1131">
        <v>293</v>
      </c>
      <c r="EI12" s="1131">
        <v>300.39999999999998</v>
      </c>
      <c r="EJ12" s="1131">
        <v>308.60000000000002</v>
      </c>
      <c r="EK12" s="1131">
        <v>315.39999999999998</v>
      </c>
      <c r="EL12" s="1131">
        <v>323.2</v>
      </c>
      <c r="EM12" s="1131">
        <v>329.2</v>
      </c>
      <c r="EN12" s="1131">
        <v>335.1</v>
      </c>
      <c r="EO12" s="1131">
        <v>341</v>
      </c>
      <c r="EP12" s="1131">
        <v>389.6</v>
      </c>
      <c r="EQ12" s="1131">
        <v>395.6</v>
      </c>
      <c r="ER12" s="1131">
        <v>402.1</v>
      </c>
      <c r="ES12" s="1131">
        <v>409.1</v>
      </c>
      <c r="ET12" s="1131">
        <v>416.4</v>
      </c>
      <c r="EU12" s="1131">
        <v>424.1</v>
      </c>
      <c r="EV12" s="1131">
        <v>432</v>
      </c>
      <c r="EW12" s="1131">
        <v>440.3</v>
      </c>
      <c r="EX12" s="1131">
        <v>448.8</v>
      </c>
      <c r="EY12" s="1131">
        <v>457.3</v>
      </c>
      <c r="EZ12" s="1131">
        <v>465.9</v>
      </c>
      <c r="FA12" s="1131">
        <v>474.5</v>
      </c>
      <c r="FB12" s="1131">
        <v>482.9</v>
      </c>
      <c r="FC12" s="1131">
        <v>490.4</v>
      </c>
      <c r="FD12" s="1131">
        <v>496.7</v>
      </c>
      <c r="FE12" s="1131">
        <v>501.8</v>
      </c>
      <c r="FF12" s="1131">
        <v>506</v>
      </c>
      <c r="FG12" s="1131">
        <v>510.5</v>
      </c>
      <c r="FH12" s="1131">
        <v>515.70000000000005</v>
      </c>
      <c r="FI12" s="1131">
        <v>521.4</v>
      </c>
      <c r="FJ12" s="1131">
        <v>527.6</v>
      </c>
      <c r="FK12" s="1131">
        <v>533.4</v>
      </c>
      <c r="FL12" s="1131">
        <v>538.5</v>
      </c>
      <c r="FM12" s="1131">
        <v>542.9</v>
      </c>
      <c r="FN12" s="1131">
        <v>547</v>
      </c>
      <c r="FO12" s="1131">
        <v>551.6</v>
      </c>
      <c r="FP12" s="1131">
        <v>557.1</v>
      </c>
      <c r="FQ12" s="1131">
        <v>563.4</v>
      </c>
      <c r="FR12" s="1131">
        <v>570.29999999999995</v>
      </c>
      <c r="FS12" s="1131">
        <v>567.1</v>
      </c>
      <c r="FT12" s="1131">
        <v>573.70000000000005</v>
      </c>
      <c r="FU12" s="1131">
        <v>580.20000000000005</v>
      </c>
      <c r="FV12" s="1131">
        <v>587.5</v>
      </c>
      <c r="FW12" s="1131">
        <v>595.6</v>
      </c>
      <c r="FX12" s="1131">
        <v>604</v>
      </c>
      <c r="FY12" s="1131">
        <v>612.79999999999995</v>
      </c>
      <c r="FZ12" s="1131">
        <v>622.4</v>
      </c>
      <c r="GA12" s="1131">
        <v>631.5</v>
      </c>
      <c r="GB12" s="1131">
        <v>639.5</v>
      </c>
      <c r="GC12" s="1131">
        <v>646.4</v>
      </c>
      <c r="GD12" s="1131">
        <v>652.4</v>
      </c>
      <c r="GE12" s="1131">
        <v>658.6</v>
      </c>
      <c r="GF12" s="1131">
        <v>665.2</v>
      </c>
      <c r="GG12" s="1131">
        <v>672.2</v>
      </c>
      <c r="GH12" s="1131">
        <v>679.6</v>
      </c>
      <c r="GI12" s="1131">
        <v>687.7</v>
      </c>
      <c r="GJ12" s="1131">
        <v>696.6</v>
      </c>
      <c r="GK12" s="1131">
        <v>706.3</v>
      </c>
      <c r="GL12" s="1131">
        <v>716.7</v>
      </c>
      <c r="GM12" s="1131">
        <v>728.2</v>
      </c>
      <c r="GN12" s="1131">
        <v>740.6</v>
      </c>
      <c r="GO12" s="1131">
        <v>754.2</v>
      </c>
      <c r="GP12" s="1131">
        <v>768.3</v>
      </c>
      <c r="GQ12" s="1131">
        <v>781.1</v>
      </c>
      <c r="GR12" s="1131">
        <v>792.1</v>
      </c>
      <c r="GS12" s="1131">
        <v>801.3</v>
      </c>
      <c r="GT12" s="1131">
        <v>808.5</v>
      </c>
      <c r="GU12" s="1131">
        <v>821.6</v>
      </c>
      <c r="GV12" s="1131">
        <v>825.8</v>
      </c>
      <c r="GW12" s="1131">
        <v>821</v>
      </c>
      <c r="GX12" s="1131">
        <v>814.1</v>
      </c>
      <c r="GY12" s="1131">
        <v>815.3</v>
      </c>
    </row>
    <row r="13" spans="1:208" x14ac:dyDescent="0.35">
      <c r="A13" s="1131" t="s">
        <v>211</v>
      </c>
      <c r="B13" s="1131">
        <v>5</v>
      </c>
      <c r="C13" s="1131">
        <v>5.3</v>
      </c>
      <c r="D13" s="1131">
        <v>5.6</v>
      </c>
      <c r="E13" s="1131">
        <v>5.9</v>
      </c>
      <c r="F13" s="1131">
        <v>6.2</v>
      </c>
      <c r="G13" s="1131">
        <v>6.6</v>
      </c>
      <c r="H13" s="1131">
        <v>6.9</v>
      </c>
      <c r="I13" s="1131">
        <v>7.3</v>
      </c>
      <c r="J13" s="1131">
        <v>7.8</v>
      </c>
      <c r="K13" s="1131">
        <v>8</v>
      </c>
      <c r="L13" s="1131">
        <v>8.6</v>
      </c>
      <c r="M13" s="1131">
        <v>8.5</v>
      </c>
      <c r="N13" s="1131">
        <v>9</v>
      </c>
      <c r="O13" s="1131">
        <v>9.6</v>
      </c>
      <c r="P13" s="1131">
        <v>9.6999999999999993</v>
      </c>
      <c r="Q13" s="1131">
        <v>10.1</v>
      </c>
      <c r="R13" s="1131">
        <v>10.199999999999999</v>
      </c>
      <c r="S13" s="1131">
        <v>11.1</v>
      </c>
      <c r="T13" s="1131">
        <v>11.4</v>
      </c>
      <c r="U13" s="1131">
        <v>12</v>
      </c>
      <c r="V13" s="1131">
        <v>13.3</v>
      </c>
      <c r="W13" s="1131">
        <v>13.8</v>
      </c>
      <c r="X13" s="1131">
        <v>13.8</v>
      </c>
      <c r="Y13" s="1131">
        <v>14.6</v>
      </c>
      <c r="Z13" s="1131">
        <v>15.2</v>
      </c>
      <c r="AA13" s="1131">
        <v>14.9</v>
      </c>
      <c r="AB13" s="1131">
        <v>15.9</v>
      </c>
      <c r="AC13" s="1131">
        <v>15.9</v>
      </c>
      <c r="AD13" s="1131">
        <v>16.2</v>
      </c>
      <c r="AE13" s="1131">
        <v>17.5</v>
      </c>
      <c r="AF13" s="1131">
        <v>16.7</v>
      </c>
      <c r="AG13" s="1131">
        <v>16.5</v>
      </c>
      <c r="AH13" s="1131">
        <v>17.5</v>
      </c>
      <c r="AI13" s="1131">
        <v>18.600000000000001</v>
      </c>
      <c r="AJ13" s="1131">
        <v>18.899999999999999</v>
      </c>
      <c r="AK13" s="1131">
        <v>19.5</v>
      </c>
      <c r="AL13" s="1131">
        <v>20</v>
      </c>
      <c r="AM13" s="1131">
        <v>20.8</v>
      </c>
      <c r="AN13" s="1131">
        <v>21.1</v>
      </c>
      <c r="AO13" s="1131">
        <v>22.4</v>
      </c>
      <c r="AP13" s="1131">
        <v>23.4</v>
      </c>
      <c r="AQ13" s="1131">
        <v>22.2</v>
      </c>
      <c r="AR13" s="1131">
        <v>24.2</v>
      </c>
      <c r="AS13" s="1131">
        <v>25.6</v>
      </c>
      <c r="AT13" s="1131">
        <v>26.5</v>
      </c>
      <c r="AU13" s="1131">
        <v>28.1</v>
      </c>
      <c r="AV13" s="1131">
        <v>28.3</v>
      </c>
      <c r="AW13" s="1131">
        <v>28</v>
      </c>
      <c r="AX13" s="1131">
        <v>28.8</v>
      </c>
      <c r="AY13" s="1131">
        <v>30.2</v>
      </c>
      <c r="AZ13" s="1131">
        <v>30.8</v>
      </c>
      <c r="BA13" s="1131">
        <v>30.8</v>
      </c>
      <c r="BB13" s="1131">
        <v>33.200000000000003</v>
      </c>
      <c r="BC13" s="1131">
        <v>33.4</v>
      </c>
      <c r="BD13" s="1131">
        <v>34</v>
      </c>
      <c r="BE13" s="1131">
        <v>34.9</v>
      </c>
      <c r="BF13" s="1131">
        <v>35.700000000000003</v>
      </c>
      <c r="BG13" s="1131">
        <v>36.200000000000003</v>
      </c>
      <c r="BH13" s="1131">
        <v>36.799999999999997</v>
      </c>
      <c r="BI13" s="1131">
        <v>37.6</v>
      </c>
      <c r="BJ13" s="1131">
        <v>38.4</v>
      </c>
      <c r="BK13" s="1131">
        <v>39.200000000000003</v>
      </c>
      <c r="BL13" s="1131">
        <v>40.1</v>
      </c>
      <c r="BM13" s="1131">
        <v>41.1</v>
      </c>
      <c r="BN13" s="1131">
        <v>42.1</v>
      </c>
      <c r="BO13" s="1131">
        <v>43.1</v>
      </c>
      <c r="BP13" s="1131">
        <v>44.1</v>
      </c>
      <c r="BQ13" s="1131">
        <v>45.2</v>
      </c>
      <c r="BR13" s="1131">
        <v>46.2</v>
      </c>
      <c r="BS13" s="1131">
        <v>47.3</v>
      </c>
      <c r="BT13" s="1131">
        <v>48.4</v>
      </c>
      <c r="BU13" s="1131">
        <v>49.4</v>
      </c>
      <c r="BV13" s="1131">
        <v>50.9</v>
      </c>
      <c r="BW13" s="1131">
        <v>52.2</v>
      </c>
      <c r="BX13" s="1131">
        <v>53.7</v>
      </c>
      <c r="BY13" s="1131">
        <v>55.4</v>
      </c>
      <c r="BZ13" s="1131">
        <v>57.4</v>
      </c>
      <c r="CA13" s="1131">
        <v>59.6</v>
      </c>
      <c r="CB13" s="1131">
        <v>61.9</v>
      </c>
      <c r="CC13" s="1131">
        <v>64.400000000000006</v>
      </c>
      <c r="CD13" s="1131">
        <v>66.599999999999994</v>
      </c>
      <c r="CE13" s="1131">
        <v>70.3</v>
      </c>
      <c r="CF13" s="1131">
        <v>74.900000000000006</v>
      </c>
      <c r="CG13" s="1131">
        <v>80.7</v>
      </c>
      <c r="CH13" s="1131">
        <v>83.7</v>
      </c>
      <c r="CI13" s="1131">
        <v>93.1</v>
      </c>
      <c r="CJ13" s="1131">
        <v>98.4</v>
      </c>
      <c r="CK13" s="1131">
        <v>112.5</v>
      </c>
      <c r="CL13" s="1131">
        <v>108.3</v>
      </c>
      <c r="CM13" s="1131">
        <v>115.4</v>
      </c>
      <c r="CN13" s="1131">
        <v>120.6</v>
      </c>
      <c r="CO13" s="1131">
        <v>120.8</v>
      </c>
      <c r="CP13" s="1131">
        <v>124.4</v>
      </c>
      <c r="CQ13" s="1131">
        <v>124.8</v>
      </c>
      <c r="CR13" s="1131">
        <v>135.19999999999999</v>
      </c>
      <c r="CS13" s="1131">
        <v>136</v>
      </c>
      <c r="CT13" s="1131">
        <v>136.6</v>
      </c>
      <c r="CU13" s="1131">
        <v>137.1</v>
      </c>
      <c r="CV13" s="1131">
        <v>136.19999999999999</v>
      </c>
      <c r="CW13" s="1131">
        <v>147.80000000000001</v>
      </c>
      <c r="CX13" s="1131">
        <v>152.5</v>
      </c>
      <c r="CY13" s="1131">
        <v>152.5</v>
      </c>
      <c r="CZ13" s="1131">
        <v>152.69999999999999</v>
      </c>
      <c r="DA13" s="1131">
        <v>140.69999999999999</v>
      </c>
      <c r="DB13" s="1131">
        <v>151.30000000000001</v>
      </c>
      <c r="DC13" s="1131">
        <v>165.8</v>
      </c>
      <c r="DD13" s="1131">
        <v>158.80000000000001</v>
      </c>
      <c r="DE13" s="1131">
        <v>156.9</v>
      </c>
      <c r="DF13" s="1131">
        <v>161.4</v>
      </c>
      <c r="DG13" s="1131">
        <v>159.4</v>
      </c>
      <c r="DH13" s="1131">
        <v>163.69999999999999</v>
      </c>
      <c r="DI13" s="1131">
        <v>168</v>
      </c>
      <c r="DJ13" s="1131">
        <v>167.2</v>
      </c>
      <c r="DK13" s="1131">
        <v>170</v>
      </c>
      <c r="DL13" s="1131">
        <v>168.1</v>
      </c>
      <c r="DM13" s="1131">
        <v>175.4</v>
      </c>
      <c r="DN13" s="1131">
        <v>181.1</v>
      </c>
      <c r="DO13" s="1131">
        <v>179.1</v>
      </c>
      <c r="DP13" s="1131">
        <v>186.7</v>
      </c>
      <c r="DQ13" s="1131">
        <v>191.3</v>
      </c>
      <c r="DR13" s="1131">
        <v>190.2</v>
      </c>
      <c r="DS13" s="1131">
        <v>198.3</v>
      </c>
      <c r="DT13" s="1131">
        <v>204.8</v>
      </c>
      <c r="DU13" s="1131">
        <v>204.8</v>
      </c>
      <c r="DV13" s="1131">
        <v>215</v>
      </c>
      <c r="DW13" s="1131">
        <v>230.1</v>
      </c>
      <c r="DX13" s="1131">
        <v>217.4</v>
      </c>
      <c r="DY13" s="1131">
        <v>246.5</v>
      </c>
      <c r="DZ13" s="1131">
        <v>244.9</v>
      </c>
      <c r="EA13" s="1131">
        <v>243.8</v>
      </c>
      <c r="EB13" s="1131">
        <v>251.1</v>
      </c>
      <c r="EC13" s="1131">
        <v>260.3</v>
      </c>
      <c r="ED13" s="1131">
        <v>260.7</v>
      </c>
      <c r="EE13" s="1131">
        <v>260.10000000000002</v>
      </c>
      <c r="EF13" s="1131">
        <v>271.7</v>
      </c>
      <c r="EG13" s="1131">
        <v>265.7</v>
      </c>
      <c r="EH13" s="1131">
        <v>283.39999999999998</v>
      </c>
      <c r="EI13" s="1131">
        <v>293</v>
      </c>
      <c r="EJ13" s="1131">
        <v>288.3</v>
      </c>
      <c r="EK13" s="1131">
        <v>294.5</v>
      </c>
      <c r="EL13" s="1131">
        <v>301.3</v>
      </c>
      <c r="EM13" s="1131">
        <v>310.8</v>
      </c>
      <c r="EN13" s="1131">
        <v>300.10000000000002</v>
      </c>
      <c r="EO13" s="1131">
        <v>305.39999999999998</v>
      </c>
      <c r="EP13" s="1131">
        <v>291.3</v>
      </c>
      <c r="EQ13" s="1131">
        <v>294.89999999999998</v>
      </c>
      <c r="ER13" s="1131">
        <v>308.7</v>
      </c>
      <c r="ES13" s="1131">
        <v>301.39999999999998</v>
      </c>
      <c r="ET13" s="1131">
        <v>332.5</v>
      </c>
      <c r="EU13" s="1131">
        <v>314.7</v>
      </c>
      <c r="EV13" s="1131">
        <v>319.60000000000002</v>
      </c>
      <c r="EW13" s="1131">
        <v>329.9</v>
      </c>
      <c r="EX13" s="1131">
        <v>331.6</v>
      </c>
      <c r="EY13" s="1131">
        <v>339.2</v>
      </c>
      <c r="EZ13" s="1131">
        <v>340.8</v>
      </c>
      <c r="FA13" s="1131">
        <v>341.8</v>
      </c>
      <c r="FB13" s="1131">
        <v>358.4</v>
      </c>
      <c r="FC13" s="1131">
        <v>368.9</v>
      </c>
      <c r="FD13" s="1131">
        <v>378.2</v>
      </c>
      <c r="FE13" s="1131">
        <v>372.8</v>
      </c>
      <c r="FF13" s="1131">
        <v>382.1</v>
      </c>
      <c r="FG13" s="1131">
        <v>385.7</v>
      </c>
      <c r="FH13" s="1131">
        <v>405.6</v>
      </c>
      <c r="FI13" s="1131">
        <v>414.1</v>
      </c>
      <c r="FJ13" s="1131">
        <v>418.8</v>
      </c>
      <c r="FK13" s="1131">
        <v>409.7</v>
      </c>
      <c r="FL13" s="1131">
        <v>396.4</v>
      </c>
      <c r="FM13" s="1131">
        <v>399.3</v>
      </c>
      <c r="FN13" s="1131">
        <v>400.6</v>
      </c>
      <c r="FO13" s="1131">
        <v>421.7</v>
      </c>
      <c r="FP13" s="1131">
        <v>419</v>
      </c>
      <c r="FQ13" s="1131">
        <v>428.9</v>
      </c>
      <c r="FR13" s="1131">
        <v>424.8</v>
      </c>
      <c r="FS13" s="1131">
        <v>438.4</v>
      </c>
      <c r="FT13" s="1131">
        <v>448.2</v>
      </c>
      <c r="FU13" s="1131">
        <v>448.6</v>
      </c>
      <c r="FV13" s="1131">
        <v>459.5</v>
      </c>
      <c r="FW13" s="1131">
        <v>481.5</v>
      </c>
      <c r="FX13" s="1131">
        <v>507.2</v>
      </c>
      <c r="FY13" s="1131">
        <v>515.29999999999995</v>
      </c>
      <c r="FZ13" s="1131">
        <v>523.6</v>
      </c>
      <c r="GA13" s="1131">
        <v>537.9</v>
      </c>
      <c r="GB13" s="1131">
        <v>540.4</v>
      </c>
      <c r="GC13" s="1131">
        <v>541.79999999999995</v>
      </c>
      <c r="GD13" s="1131">
        <v>550.5</v>
      </c>
      <c r="GE13" s="1131">
        <v>558.79999999999995</v>
      </c>
      <c r="GF13" s="1131">
        <v>566.5</v>
      </c>
      <c r="GG13" s="1131">
        <v>575.29999999999995</v>
      </c>
      <c r="GH13" s="1131">
        <v>572.4</v>
      </c>
      <c r="GI13" s="1131">
        <v>567.9</v>
      </c>
      <c r="GJ13" s="1131">
        <v>578.9</v>
      </c>
      <c r="GK13" s="1131">
        <v>575.79999999999995</v>
      </c>
      <c r="GL13" s="1131">
        <v>581.9</v>
      </c>
      <c r="GM13" s="1131">
        <v>592.6</v>
      </c>
      <c r="GN13" s="1131">
        <v>595.1</v>
      </c>
      <c r="GO13" s="1131">
        <v>589.5</v>
      </c>
      <c r="GP13" s="1131">
        <v>598.79999999999995</v>
      </c>
      <c r="GQ13" s="1131">
        <v>614.5</v>
      </c>
      <c r="GR13" s="1131">
        <v>622.4</v>
      </c>
      <c r="GS13" s="1131">
        <v>620.5</v>
      </c>
      <c r="GT13" s="1131">
        <v>606.20000000000005</v>
      </c>
      <c r="GU13" s="1131">
        <v>654.20000000000005</v>
      </c>
      <c r="GV13" s="1131">
        <v>690.4</v>
      </c>
      <c r="GW13" s="1131">
        <v>678.3</v>
      </c>
      <c r="GX13" s="1131">
        <v>695.9</v>
      </c>
      <c r="GY13" s="1131">
        <v>730.5</v>
      </c>
    </row>
    <row r="14" spans="1:208" x14ac:dyDescent="0.35">
      <c r="A14" s="1131" t="s">
        <v>193</v>
      </c>
      <c r="B14" s="1131">
        <v>2.9</v>
      </c>
      <c r="C14" s="1131">
        <v>3.9</v>
      </c>
      <c r="D14" s="1131">
        <v>4.5999999999999996</v>
      </c>
      <c r="E14" s="1131">
        <v>5.4</v>
      </c>
      <c r="F14" s="1131">
        <v>5.7</v>
      </c>
      <c r="G14" s="1131">
        <v>6.3</v>
      </c>
      <c r="H14" s="1131">
        <v>6.3</v>
      </c>
      <c r="I14" s="1131">
        <v>6.3</v>
      </c>
      <c r="J14" s="1131">
        <v>6.5</v>
      </c>
      <c r="K14" s="1131">
        <v>6.9</v>
      </c>
      <c r="L14" s="1131">
        <v>5.8</v>
      </c>
      <c r="M14" s="1131">
        <v>5</v>
      </c>
      <c r="N14" s="1131">
        <v>4.5999999999999996</v>
      </c>
      <c r="O14" s="1131">
        <v>4.5</v>
      </c>
      <c r="P14" s="1131">
        <v>4.5</v>
      </c>
      <c r="Q14" s="1131">
        <v>4.7</v>
      </c>
      <c r="R14" s="1131">
        <v>5.8</v>
      </c>
      <c r="S14" s="1131">
        <v>6.7</v>
      </c>
      <c r="T14" s="1131">
        <v>6.9</v>
      </c>
      <c r="U14" s="1131">
        <v>8.6</v>
      </c>
      <c r="V14" s="1131">
        <v>14.2</v>
      </c>
      <c r="W14" s="1131">
        <v>19.399999999999999</v>
      </c>
      <c r="X14" s="1131">
        <v>20.2</v>
      </c>
      <c r="Y14" s="1131">
        <v>18.8</v>
      </c>
      <c r="Z14" s="1131">
        <v>17.7</v>
      </c>
      <c r="AA14" s="1131">
        <v>16.3</v>
      </c>
      <c r="AB14" s="1131">
        <v>16.100000000000001</v>
      </c>
      <c r="AC14" s="1131">
        <v>15.5</v>
      </c>
      <c r="AD14" s="1131">
        <v>15.5</v>
      </c>
      <c r="AE14" s="1131">
        <v>13.3</v>
      </c>
      <c r="AF14" s="1131">
        <v>11.9</v>
      </c>
      <c r="AG14" s="1131">
        <v>11.8</v>
      </c>
      <c r="AH14" s="1131">
        <v>10.8</v>
      </c>
      <c r="AI14" s="1131">
        <v>9.4</v>
      </c>
      <c r="AJ14" s="1131">
        <v>9</v>
      </c>
      <c r="AK14" s="1131">
        <v>8.5</v>
      </c>
      <c r="AL14" s="1131">
        <v>9.4</v>
      </c>
      <c r="AM14" s="1131">
        <v>9.1999999999999993</v>
      </c>
      <c r="AN14" s="1131">
        <v>9.6</v>
      </c>
      <c r="AO14" s="1131">
        <v>10.6</v>
      </c>
      <c r="AP14" s="1131">
        <v>12</v>
      </c>
      <c r="AQ14" s="1131">
        <v>15.7</v>
      </c>
      <c r="AR14" s="1131">
        <v>19</v>
      </c>
      <c r="AS14" s="1131">
        <v>17.8</v>
      </c>
      <c r="AT14" s="1131">
        <v>16.399999999999999</v>
      </c>
      <c r="AU14" s="1131">
        <v>15.5</v>
      </c>
      <c r="AV14" s="1131">
        <v>15</v>
      </c>
      <c r="AW14" s="1131">
        <v>16.600000000000001</v>
      </c>
      <c r="AX14" s="1131">
        <v>19.100000000000001</v>
      </c>
      <c r="AY14" s="1131">
        <v>23.9</v>
      </c>
      <c r="AZ14" s="1131">
        <v>26.1</v>
      </c>
      <c r="BA14" s="1131">
        <v>31.8</v>
      </c>
      <c r="BB14" s="1131">
        <v>30.3</v>
      </c>
      <c r="BC14" s="1131">
        <v>32.1</v>
      </c>
      <c r="BD14" s="1131">
        <v>23.3</v>
      </c>
      <c r="BE14" s="1131">
        <v>20</v>
      </c>
      <c r="BF14" s="1131">
        <v>17.3</v>
      </c>
      <c r="BG14" s="1131">
        <v>15.7</v>
      </c>
      <c r="BH14" s="1131">
        <v>15.1</v>
      </c>
      <c r="BI14" s="1131">
        <v>15.9</v>
      </c>
      <c r="BJ14" s="1131">
        <v>16.899999999999999</v>
      </c>
      <c r="BK14" s="1131">
        <v>16</v>
      </c>
      <c r="BL14" s="1131">
        <v>15</v>
      </c>
      <c r="BM14" s="1131">
        <v>15.6</v>
      </c>
      <c r="BN14" s="1131">
        <v>15.6</v>
      </c>
      <c r="BO14" s="1131">
        <v>16.399999999999999</v>
      </c>
      <c r="BP14" s="1131">
        <v>17</v>
      </c>
      <c r="BQ14" s="1131">
        <v>16.899999999999999</v>
      </c>
      <c r="BR14" s="1131">
        <v>15.5</v>
      </c>
      <c r="BS14" s="1131">
        <v>15.1</v>
      </c>
      <c r="BT14" s="1131">
        <v>14.4</v>
      </c>
      <c r="BU14" s="1131">
        <v>13.5</v>
      </c>
      <c r="BV14" s="1131">
        <v>13.9</v>
      </c>
      <c r="BW14" s="1131">
        <v>13.2</v>
      </c>
      <c r="BX14" s="1131">
        <v>13.2</v>
      </c>
      <c r="BY14" s="1131">
        <v>13</v>
      </c>
      <c r="BZ14" s="1131">
        <v>13.6</v>
      </c>
      <c r="CA14" s="1131">
        <v>13.7</v>
      </c>
      <c r="CB14" s="1131">
        <v>14.6</v>
      </c>
      <c r="CC14" s="1131">
        <v>15.8</v>
      </c>
      <c r="CD14" s="1131">
        <v>16.399999999999999</v>
      </c>
      <c r="CE14" s="1131">
        <v>17.100000000000001</v>
      </c>
      <c r="CF14" s="1131">
        <v>18.2</v>
      </c>
      <c r="CG14" s="1131">
        <v>21</v>
      </c>
      <c r="CH14" s="1131">
        <v>24.3</v>
      </c>
      <c r="CI14" s="1131">
        <v>27.5</v>
      </c>
      <c r="CJ14" s="1131">
        <v>25.9</v>
      </c>
      <c r="CK14" s="1131">
        <v>29.4</v>
      </c>
      <c r="CL14" s="1131">
        <v>39.700000000000003</v>
      </c>
      <c r="CM14" s="1131">
        <v>41.2</v>
      </c>
      <c r="CN14" s="1131">
        <v>39.6</v>
      </c>
      <c r="CO14" s="1131">
        <v>38</v>
      </c>
      <c r="CP14" s="1131">
        <v>35.1</v>
      </c>
      <c r="CQ14" s="1131">
        <v>35.5</v>
      </c>
      <c r="CR14" s="1131">
        <v>35.5</v>
      </c>
      <c r="CS14" s="1131">
        <v>33.200000000000003</v>
      </c>
      <c r="CT14" s="1131">
        <v>28</v>
      </c>
      <c r="CU14" s="1131">
        <v>24.4</v>
      </c>
      <c r="CV14" s="1131">
        <v>22.1</v>
      </c>
      <c r="CW14" s="1131">
        <v>21.3</v>
      </c>
      <c r="CX14" s="1131">
        <v>20.9</v>
      </c>
      <c r="CY14" s="1131">
        <v>21.6</v>
      </c>
      <c r="CZ14" s="1131">
        <v>22</v>
      </c>
      <c r="DA14" s="1131">
        <v>22.5</v>
      </c>
      <c r="DB14" s="1131">
        <v>23</v>
      </c>
      <c r="DC14" s="1131">
        <v>22.7</v>
      </c>
      <c r="DD14" s="1131">
        <v>21.6</v>
      </c>
      <c r="DE14" s="1131">
        <v>21.7</v>
      </c>
      <c r="DF14" s="1131">
        <v>21</v>
      </c>
      <c r="DG14" s="1131">
        <v>20.399999999999999</v>
      </c>
      <c r="DH14" s="1131">
        <v>19.600000000000001</v>
      </c>
      <c r="DI14" s="1131">
        <v>19.399999999999999</v>
      </c>
      <c r="DJ14" s="1131">
        <v>19.399999999999999</v>
      </c>
      <c r="DK14" s="1131">
        <v>19.3</v>
      </c>
      <c r="DL14" s="1131">
        <v>20.3</v>
      </c>
      <c r="DM14" s="1131">
        <v>19.8</v>
      </c>
      <c r="DN14" s="1131">
        <v>20.8</v>
      </c>
      <c r="DO14" s="1131">
        <v>20.9</v>
      </c>
      <c r="DP14" s="1131">
        <v>20.3</v>
      </c>
      <c r="DQ14" s="1131">
        <v>20</v>
      </c>
      <c r="DR14" s="1131">
        <v>20.5</v>
      </c>
      <c r="DS14" s="1131">
        <v>20</v>
      </c>
      <c r="DT14" s="1131">
        <v>20.6</v>
      </c>
      <c r="DU14" s="1131">
        <v>21.9</v>
      </c>
      <c r="DV14" s="1131">
        <v>25.5</v>
      </c>
      <c r="DW14" s="1131">
        <v>28.4</v>
      </c>
      <c r="DX14" s="1131">
        <v>33.1</v>
      </c>
      <c r="DY14" s="1131">
        <v>40.6</v>
      </c>
      <c r="DZ14" s="1131">
        <v>42.8</v>
      </c>
      <c r="EA14" s="1131">
        <v>60.5</v>
      </c>
      <c r="EB14" s="1131">
        <v>56.9</v>
      </c>
      <c r="EC14" s="1131">
        <v>53.7</v>
      </c>
      <c r="ED14" s="1131">
        <v>51.8</v>
      </c>
      <c r="EE14" s="1131">
        <v>55.2</v>
      </c>
      <c r="EF14" s="1131">
        <v>54.2</v>
      </c>
      <c r="EG14" s="1131">
        <v>51.5</v>
      </c>
      <c r="EH14" s="1131">
        <v>42.3</v>
      </c>
      <c r="EI14" s="1131">
        <v>35.9</v>
      </c>
      <c r="EJ14" s="1131">
        <v>34.700000000000003</v>
      </c>
      <c r="EK14" s="1131">
        <v>32.9</v>
      </c>
      <c r="EL14" s="1131">
        <v>32.1</v>
      </c>
      <c r="EM14" s="1131">
        <v>30.9</v>
      </c>
      <c r="EN14" s="1131">
        <v>31.6</v>
      </c>
      <c r="EO14" s="1131">
        <v>32.5</v>
      </c>
      <c r="EP14" s="1131">
        <v>30.3</v>
      </c>
      <c r="EQ14" s="1131">
        <v>29.5</v>
      </c>
      <c r="ER14" s="1131">
        <v>30.6</v>
      </c>
      <c r="ES14" s="1131">
        <v>31.1</v>
      </c>
      <c r="ET14" s="1131">
        <v>32.299999999999997</v>
      </c>
      <c r="EU14" s="1131">
        <v>31.8</v>
      </c>
      <c r="EV14" s="1131">
        <v>32.799999999999997</v>
      </c>
      <c r="EW14" s="1131">
        <v>34</v>
      </c>
      <c r="EX14" s="1131">
        <v>36.299999999999997</v>
      </c>
      <c r="EY14" s="1131">
        <v>38.200000000000003</v>
      </c>
      <c r="EZ14" s="1131">
        <v>58.2</v>
      </c>
      <c r="FA14" s="1131">
        <v>71.900000000000006</v>
      </c>
      <c r="FB14" s="1131">
        <v>101.6</v>
      </c>
      <c r="FC14" s="1131">
        <v>130.30000000000001</v>
      </c>
      <c r="FD14" s="1131">
        <v>144.4</v>
      </c>
      <c r="FE14" s="1131">
        <v>148.6</v>
      </c>
      <c r="FF14" s="1131">
        <v>159.30000000000001</v>
      </c>
      <c r="FG14" s="1131">
        <v>141.19999999999999</v>
      </c>
      <c r="FH14" s="1131">
        <v>131</v>
      </c>
      <c r="FI14" s="1131">
        <v>123.9</v>
      </c>
      <c r="FJ14" s="1131">
        <v>116.7</v>
      </c>
      <c r="FK14" s="1131">
        <v>109.3</v>
      </c>
      <c r="FL14" s="1131">
        <v>102.9</v>
      </c>
      <c r="FM14" s="1131">
        <v>99.8</v>
      </c>
      <c r="FN14" s="1131">
        <v>94.6</v>
      </c>
      <c r="FO14" s="1131">
        <v>86.3</v>
      </c>
      <c r="FP14" s="1131">
        <v>78.400000000000006</v>
      </c>
      <c r="FQ14" s="1131">
        <v>75.099999999999994</v>
      </c>
      <c r="FR14" s="1131">
        <v>69</v>
      </c>
      <c r="FS14" s="1131">
        <v>64.8</v>
      </c>
      <c r="FT14" s="1131">
        <v>59.1</v>
      </c>
      <c r="FU14" s="1131">
        <v>57.1</v>
      </c>
      <c r="FV14" s="1131">
        <v>39</v>
      </c>
      <c r="FW14" s="1131">
        <v>35.799999999999997</v>
      </c>
      <c r="FX14" s="1131">
        <v>34</v>
      </c>
      <c r="FY14" s="1131">
        <v>33</v>
      </c>
      <c r="FZ14" s="1131">
        <v>32.9</v>
      </c>
      <c r="GA14" s="1131">
        <v>32.4</v>
      </c>
      <c r="GB14" s="1131">
        <v>32.5</v>
      </c>
      <c r="GC14" s="1131">
        <v>32.4</v>
      </c>
      <c r="GD14" s="1131">
        <v>32.4</v>
      </c>
      <c r="GE14" s="1131">
        <v>32.299999999999997</v>
      </c>
      <c r="GF14" s="1131">
        <v>32.1</v>
      </c>
      <c r="GG14" s="1131">
        <v>31.3</v>
      </c>
      <c r="GH14" s="1131">
        <v>30.8</v>
      </c>
      <c r="GI14" s="1131">
        <v>30.1</v>
      </c>
      <c r="GJ14" s="1131">
        <v>30.2</v>
      </c>
      <c r="GK14" s="1131">
        <v>29.7</v>
      </c>
      <c r="GL14" s="1131">
        <v>29</v>
      </c>
      <c r="GM14" s="1131">
        <v>27.6</v>
      </c>
      <c r="GN14" s="1131">
        <v>27.2</v>
      </c>
      <c r="GO14" s="1131">
        <v>27.1</v>
      </c>
      <c r="GP14" s="1131">
        <v>28.4</v>
      </c>
      <c r="GQ14" s="1131">
        <v>27.8</v>
      </c>
      <c r="GR14" s="1131">
        <v>27.4</v>
      </c>
      <c r="GS14" s="1131">
        <v>26.8</v>
      </c>
      <c r="GT14" s="1131">
        <v>39.5</v>
      </c>
      <c r="GU14" s="1131">
        <v>1039.4000000000001</v>
      </c>
      <c r="GV14" s="1131">
        <v>767.8</v>
      </c>
      <c r="GW14" s="1131">
        <v>299.89999999999998</v>
      </c>
      <c r="GX14" s="1131">
        <v>565.79999999999995</v>
      </c>
      <c r="GY14" s="1131">
        <v>480.4</v>
      </c>
    </row>
    <row r="15" spans="1:208" x14ac:dyDescent="0.35">
      <c r="A15" s="1131" t="s">
        <v>212</v>
      </c>
      <c r="B15" s="1131">
        <v>63</v>
      </c>
      <c r="C15" s="1131">
        <v>73.099999999999994</v>
      </c>
      <c r="D15" s="1131">
        <v>73.5</v>
      </c>
      <c r="E15" s="1131">
        <v>77.400000000000006</v>
      </c>
      <c r="F15" s="1131">
        <v>79.3</v>
      </c>
      <c r="G15" s="1131">
        <v>86.9</v>
      </c>
      <c r="H15" s="1131">
        <v>86.9</v>
      </c>
      <c r="I15" s="1131">
        <v>88.5</v>
      </c>
      <c r="J15" s="1131">
        <v>91.4</v>
      </c>
      <c r="K15" s="1131">
        <v>91.9</v>
      </c>
      <c r="L15" s="1131">
        <v>92.9</v>
      </c>
      <c r="M15" s="1131">
        <v>103.1</v>
      </c>
      <c r="N15" s="1131">
        <v>105.4</v>
      </c>
      <c r="O15" s="1131">
        <v>107.6</v>
      </c>
      <c r="P15" s="1131">
        <v>109.2</v>
      </c>
      <c r="Q15" s="1131">
        <v>112.3</v>
      </c>
      <c r="R15" s="1131">
        <v>117.5</v>
      </c>
      <c r="S15" s="1131">
        <v>125.4</v>
      </c>
      <c r="T15" s="1131">
        <v>132.19999999999999</v>
      </c>
      <c r="U15" s="1131">
        <v>139.1</v>
      </c>
      <c r="V15" s="1131">
        <v>149.80000000000001</v>
      </c>
      <c r="W15" s="1131">
        <v>164.6</v>
      </c>
      <c r="X15" s="1131">
        <v>167.7</v>
      </c>
      <c r="Y15" s="1131">
        <v>170.4</v>
      </c>
      <c r="Z15" s="1131">
        <v>174.7</v>
      </c>
      <c r="AA15" s="1131">
        <v>173.1</v>
      </c>
      <c r="AB15" s="1131">
        <v>180.1</v>
      </c>
      <c r="AC15" s="1131">
        <v>182.7</v>
      </c>
      <c r="AD15" s="1131">
        <v>185.5</v>
      </c>
      <c r="AE15" s="1131">
        <v>186.4</v>
      </c>
      <c r="AF15" s="1131">
        <v>191.7</v>
      </c>
      <c r="AG15" s="1131">
        <v>194.3</v>
      </c>
      <c r="AH15" s="1131">
        <v>197.7</v>
      </c>
      <c r="AI15" s="1131">
        <v>199</v>
      </c>
      <c r="AJ15" s="1131">
        <v>207.1</v>
      </c>
      <c r="AK15" s="1131">
        <v>209.9</v>
      </c>
      <c r="AL15" s="1131">
        <v>214.9</v>
      </c>
      <c r="AM15" s="1131">
        <v>219.2</v>
      </c>
      <c r="AN15" s="1131">
        <v>234.6</v>
      </c>
      <c r="AO15" s="1131">
        <v>240.7</v>
      </c>
      <c r="AP15" s="1131">
        <v>251.2</v>
      </c>
      <c r="AQ15" s="1131">
        <v>256.2</v>
      </c>
      <c r="AR15" s="1131">
        <v>287.89999999999998</v>
      </c>
      <c r="AS15" s="1131">
        <v>290.7</v>
      </c>
      <c r="AT15" s="1131">
        <v>296.10000000000002</v>
      </c>
      <c r="AU15" s="1131">
        <v>299</v>
      </c>
      <c r="AV15" s="1131">
        <v>317</v>
      </c>
      <c r="AW15" s="1131">
        <v>319.2</v>
      </c>
      <c r="AX15" s="1131">
        <v>324.3</v>
      </c>
      <c r="AY15" s="1131">
        <v>333.2</v>
      </c>
      <c r="AZ15" s="1131">
        <v>349.7</v>
      </c>
      <c r="BA15" s="1131">
        <v>365.2</v>
      </c>
      <c r="BB15" s="1131">
        <v>368</v>
      </c>
      <c r="BC15" s="1131">
        <v>373.7</v>
      </c>
      <c r="BD15" s="1131">
        <v>368.5</v>
      </c>
      <c r="BE15" s="1131">
        <v>371.8</v>
      </c>
      <c r="BF15" s="1131">
        <v>376.3</v>
      </c>
      <c r="BG15" s="1131">
        <v>379</v>
      </c>
      <c r="BH15" s="1131">
        <v>380.4</v>
      </c>
      <c r="BI15" s="1131">
        <v>387.9</v>
      </c>
      <c r="BJ15" s="1131">
        <v>398.1</v>
      </c>
      <c r="BK15" s="1131">
        <v>400.5</v>
      </c>
      <c r="BL15" s="1131">
        <v>405.6</v>
      </c>
      <c r="BM15" s="1131">
        <v>408.3</v>
      </c>
      <c r="BN15" s="1131">
        <v>419.9</v>
      </c>
      <c r="BO15" s="1131">
        <v>425.6</v>
      </c>
      <c r="BP15" s="1131">
        <v>433.1</v>
      </c>
      <c r="BQ15" s="1131">
        <v>435.8</v>
      </c>
      <c r="BR15" s="1131">
        <v>441.9</v>
      </c>
      <c r="BS15" s="1131">
        <v>447.5</v>
      </c>
      <c r="BT15" s="1131">
        <v>449.4</v>
      </c>
      <c r="BU15" s="1131">
        <v>452.8</v>
      </c>
      <c r="BV15" s="1131">
        <v>470.3</v>
      </c>
      <c r="BW15" s="1131">
        <v>473.4</v>
      </c>
      <c r="BX15" s="1131">
        <v>478.8</v>
      </c>
      <c r="BY15" s="1131">
        <v>484.9</v>
      </c>
      <c r="BZ15" s="1131">
        <v>508.2</v>
      </c>
      <c r="CA15" s="1131">
        <v>515.70000000000005</v>
      </c>
      <c r="CB15" s="1131">
        <v>524.70000000000005</v>
      </c>
      <c r="CC15" s="1131">
        <v>535.79999999999995</v>
      </c>
      <c r="CD15" s="1131">
        <v>556.20000000000005</v>
      </c>
      <c r="CE15" s="1131">
        <v>567.5</v>
      </c>
      <c r="CF15" s="1131">
        <v>578.1</v>
      </c>
      <c r="CG15" s="1131">
        <v>596.79999999999995</v>
      </c>
      <c r="CH15" s="1131">
        <v>622.5</v>
      </c>
      <c r="CI15" s="1131">
        <v>643.5</v>
      </c>
      <c r="CJ15" s="1131">
        <v>653.79999999999995</v>
      </c>
      <c r="CK15" s="1131">
        <v>682.3</v>
      </c>
      <c r="CL15" s="1131">
        <v>710.5</v>
      </c>
      <c r="CM15" s="1131">
        <v>729.1</v>
      </c>
      <c r="CN15" s="1131">
        <v>741.3</v>
      </c>
      <c r="CO15" s="1131">
        <v>746</v>
      </c>
      <c r="CP15" s="1131">
        <v>766.5</v>
      </c>
      <c r="CQ15" s="1131">
        <v>771.7</v>
      </c>
      <c r="CR15" s="1131">
        <v>786.3</v>
      </c>
      <c r="CS15" s="1131">
        <v>791.3</v>
      </c>
      <c r="CT15" s="1131">
        <v>805.3</v>
      </c>
      <c r="CU15" s="1131">
        <v>810.1</v>
      </c>
      <c r="CV15" s="1131">
        <v>813.6</v>
      </c>
      <c r="CW15" s="1131">
        <v>833.8</v>
      </c>
      <c r="CX15" s="1131">
        <v>857.9</v>
      </c>
      <c r="CY15" s="1131">
        <v>865.6</v>
      </c>
      <c r="CZ15" s="1131">
        <v>870.7</v>
      </c>
      <c r="DA15" s="1131">
        <v>864.6</v>
      </c>
      <c r="DB15" s="1131">
        <v>893.2</v>
      </c>
      <c r="DC15" s="1131">
        <v>912.9</v>
      </c>
      <c r="DD15" s="1131">
        <v>908.5</v>
      </c>
      <c r="DE15" s="1131">
        <v>910.7</v>
      </c>
      <c r="DF15" s="1131">
        <v>930.5</v>
      </c>
      <c r="DG15" s="1131">
        <v>931.3</v>
      </c>
      <c r="DH15" s="1131">
        <v>937.2</v>
      </c>
      <c r="DI15" s="1131">
        <v>942.7</v>
      </c>
      <c r="DJ15" s="1131">
        <v>951.8</v>
      </c>
      <c r="DK15" s="1131">
        <v>956</v>
      </c>
      <c r="DL15" s="1131">
        <v>957.4</v>
      </c>
      <c r="DM15" s="1131">
        <v>966.4</v>
      </c>
      <c r="DN15" s="1131">
        <v>983.4</v>
      </c>
      <c r="DO15" s="1131">
        <v>985</v>
      </c>
      <c r="DP15" s="1131">
        <v>996.1</v>
      </c>
      <c r="DQ15" s="1131">
        <v>1004.3</v>
      </c>
      <c r="DR15" s="1131">
        <v>1016.9</v>
      </c>
      <c r="DS15" s="1131">
        <v>1042.3</v>
      </c>
      <c r="DT15" s="1131">
        <v>1054.7</v>
      </c>
      <c r="DU15" s="1131">
        <v>1065.5999999999999</v>
      </c>
      <c r="DV15" s="1131">
        <v>1107.8</v>
      </c>
      <c r="DW15" s="1131">
        <v>1139.0999999999999</v>
      </c>
      <c r="DX15" s="1131">
        <v>1145.2</v>
      </c>
      <c r="DY15" s="1131">
        <v>1191.2</v>
      </c>
      <c r="DZ15" s="1131">
        <v>1221</v>
      </c>
      <c r="EA15" s="1131">
        <v>1247.0999999999999</v>
      </c>
      <c r="EB15" s="1131">
        <v>1259.9000000000001</v>
      </c>
      <c r="EC15" s="1131">
        <v>1276.2</v>
      </c>
      <c r="ED15" s="1131">
        <v>1294.5999999999999</v>
      </c>
      <c r="EE15" s="1131">
        <v>1312.6</v>
      </c>
      <c r="EF15" s="1131">
        <v>1335.5</v>
      </c>
      <c r="EG15" s="1131">
        <v>1341.2</v>
      </c>
      <c r="EH15" s="1131">
        <v>1379.6</v>
      </c>
      <c r="EI15" s="1131">
        <v>1400.6</v>
      </c>
      <c r="EJ15" s="1131">
        <v>1409.8</v>
      </c>
      <c r="EK15" s="1131">
        <v>1427.9</v>
      </c>
      <c r="EL15" s="1131">
        <v>1464.4</v>
      </c>
      <c r="EM15" s="1131">
        <v>1486</v>
      </c>
      <c r="EN15" s="1131">
        <v>1501</v>
      </c>
      <c r="EO15" s="1131">
        <v>1512.3</v>
      </c>
      <c r="EP15" s="1131">
        <v>1566.7</v>
      </c>
      <c r="EQ15" s="1131">
        <v>1583.2</v>
      </c>
      <c r="ER15" s="1131">
        <v>1608.5</v>
      </c>
      <c r="ES15" s="1131">
        <v>1613.8</v>
      </c>
      <c r="ET15" s="1131">
        <v>1680.2</v>
      </c>
      <c r="EU15" s="1131">
        <v>1680.4</v>
      </c>
      <c r="EV15" s="1131">
        <v>1700.2</v>
      </c>
      <c r="EW15" s="1131">
        <v>1728.6</v>
      </c>
      <c r="EX15" s="1131">
        <v>1768.2</v>
      </c>
      <c r="EY15" s="1131">
        <v>2113</v>
      </c>
      <c r="EZ15" s="1131">
        <v>1905.3</v>
      </c>
      <c r="FA15" s="1131">
        <v>1890.8</v>
      </c>
      <c r="FB15" s="1131">
        <v>2001.9</v>
      </c>
      <c r="FC15" s="1131">
        <v>2140</v>
      </c>
      <c r="FD15" s="1131">
        <v>2136.9</v>
      </c>
      <c r="FE15" s="1131">
        <v>2152.1</v>
      </c>
      <c r="FF15" s="1131">
        <v>2262.1999999999998</v>
      </c>
      <c r="FG15" s="1131">
        <v>2268.6999999999998</v>
      </c>
      <c r="FH15" s="1131">
        <v>2292</v>
      </c>
      <c r="FI15" s="1131">
        <v>2302.6999999999998</v>
      </c>
      <c r="FJ15" s="1131">
        <v>2313</v>
      </c>
      <c r="FK15" s="1131">
        <v>2312.1</v>
      </c>
      <c r="FL15" s="1131">
        <v>2303.1999999999998</v>
      </c>
      <c r="FM15" s="1131">
        <v>2312.1999999999998</v>
      </c>
      <c r="FN15" s="1131">
        <v>2296.8000000000002</v>
      </c>
      <c r="FO15" s="1131">
        <v>2321.8000000000002</v>
      </c>
      <c r="FP15" s="1131">
        <v>2325.6</v>
      </c>
      <c r="FQ15" s="1131">
        <v>2346.1</v>
      </c>
      <c r="FR15" s="1131">
        <v>2365.6999999999998</v>
      </c>
      <c r="FS15" s="1131">
        <v>2378.3000000000002</v>
      </c>
      <c r="FT15" s="1131">
        <v>2396</v>
      </c>
      <c r="FU15" s="1131">
        <v>2403.6999999999998</v>
      </c>
      <c r="FV15" s="1131">
        <v>2433.1999999999998</v>
      </c>
      <c r="FW15" s="1131">
        <v>2484.5</v>
      </c>
      <c r="FX15" s="1131">
        <v>2524.6</v>
      </c>
      <c r="FY15" s="1131">
        <v>2552.1</v>
      </c>
      <c r="FZ15" s="1131">
        <v>2597.6999999999998</v>
      </c>
      <c r="GA15" s="1131">
        <v>2633.9</v>
      </c>
      <c r="GB15" s="1131">
        <v>2647.8</v>
      </c>
      <c r="GC15" s="1131">
        <v>2661.2</v>
      </c>
      <c r="GD15" s="1131">
        <v>2686.2</v>
      </c>
      <c r="GE15" s="1131">
        <v>2706.5</v>
      </c>
      <c r="GF15" s="1131">
        <v>2726.3</v>
      </c>
      <c r="GG15" s="1131">
        <v>2750.1</v>
      </c>
      <c r="GH15" s="1131">
        <v>2779.6</v>
      </c>
      <c r="GI15" s="1131">
        <v>2790</v>
      </c>
      <c r="GJ15" s="1131">
        <v>2823.8</v>
      </c>
      <c r="GK15" s="1131">
        <v>2837</v>
      </c>
      <c r="GL15" s="1131">
        <v>2892.6</v>
      </c>
      <c r="GM15" s="1131">
        <v>2918.5</v>
      </c>
      <c r="GN15" s="1131">
        <v>2939.4</v>
      </c>
      <c r="GO15" s="1131">
        <v>2954</v>
      </c>
      <c r="GP15" s="1131">
        <v>3039.6</v>
      </c>
      <c r="GQ15" s="1131">
        <v>3074.1</v>
      </c>
      <c r="GR15" s="1131">
        <v>3101</v>
      </c>
      <c r="GS15" s="1131">
        <v>3117.9</v>
      </c>
      <c r="GT15" s="1131">
        <v>3173.8</v>
      </c>
      <c r="GU15" s="1131">
        <v>5570.5</v>
      </c>
      <c r="GV15" s="1131">
        <v>4310.5</v>
      </c>
      <c r="GW15" s="1131">
        <v>3670.2</v>
      </c>
      <c r="GX15" s="1131">
        <v>5920.6</v>
      </c>
      <c r="GY15" s="1131">
        <v>4257.8</v>
      </c>
    </row>
    <row r="16" spans="1:208" x14ac:dyDescent="0.35">
      <c r="A16" s="1131" t="s">
        <v>213</v>
      </c>
      <c r="B16" s="1131">
        <v>1.2</v>
      </c>
      <c r="C16" s="1131">
        <v>1.3</v>
      </c>
      <c r="D16" s="1131">
        <v>1.3</v>
      </c>
      <c r="E16" s="1131">
        <v>1.3</v>
      </c>
      <c r="F16" s="1131">
        <v>1.4</v>
      </c>
      <c r="G16" s="1131">
        <v>1.4</v>
      </c>
      <c r="H16" s="1131">
        <v>1.5</v>
      </c>
      <c r="I16" s="1131">
        <v>1.5</v>
      </c>
      <c r="J16" s="1131">
        <v>1.7</v>
      </c>
      <c r="K16" s="1131">
        <v>1.8</v>
      </c>
      <c r="L16" s="1131">
        <v>1.8</v>
      </c>
      <c r="M16" s="1131">
        <v>1.9</v>
      </c>
      <c r="N16" s="1131">
        <v>1.8</v>
      </c>
      <c r="O16" s="1131">
        <v>1.8</v>
      </c>
      <c r="P16" s="1131">
        <v>1.8</v>
      </c>
      <c r="Q16" s="1131">
        <v>1.9</v>
      </c>
      <c r="R16" s="1131">
        <v>1.9</v>
      </c>
      <c r="S16" s="1131">
        <v>2</v>
      </c>
      <c r="T16" s="1131">
        <v>2.1</v>
      </c>
      <c r="U16" s="1131">
        <v>2.2000000000000002</v>
      </c>
      <c r="V16" s="1131">
        <v>2.2999999999999998</v>
      </c>
      <c r="W16" s="1131">
        <v>2.4</v>
      </c>
      <c r="X16" s="1131">
        <v>2.6</v>
      </c>
      <c r="Y16" s="1131">
        <v>2.7</v>
      </c>
      <c r="Z16" s="1131">
        <v>2.8</v>
      </c>
      <c r="AA16" s="1131">
        <v>3</v>
      </c>
      <c r="AB16" s="1131">
        <v>3.1</v>
      </c>
      <c r="AC16" s="1131">
        <v>3.2</v>
      </c>
      <c r="AD16" s="1131">
        <v>3.3</v>
      </c>
      <c r="AE16" s="1131">
        <v>3.4</v>
      </c>
      <c r="AF16" s="1131">
        <v>3.5</v>
      </c>
      <c r="AG16" s="1131">
        <v>3.6</v>
      </c>
      <c r="AH16" s="1131">
        <v>3.7</v>
      </c>
      <c r="AI16" s="1131">
        <v>3.8</v>
      </c>
      <c r="AJ16" s="1131">
        <v>3.9</v>
      </c>
      <c r="AK16" s="1131">
        <v>4</v>
      </c>
      <c r="AL16" s="1131">
        <v>4.0999999999999996</v>
      </c>
      <c r="AM16" s="1131">
        <v>4.3</v>
      </c>
      <c r="AN16" s="1131">
        <v>4.4000000000000004</v>
      </c>
      <c r="AO16" s="1131">
        <v>4.5</v>
      </c>
      <c r="AP16" s="1131">
        <v>4.5999999999999996</v>
      </c>
      <c r="AQ16" s="1131">
        <v>4.8</v>
      </c>
      <c r="AR16" s="1131">
        <v>5</v>
      </c>
      <c r="AS16" s="1131">
        <v>5.3</v>
      </c>
      <c r="AT16" s="1131">
        <v>5.6</v>
      </c>
      <c r="AU16" s="1131">
        <v>5.9</v>
      </c>
      <c r="AV16" s="1131">
        <v>6.1</v>
      </c>
      <c r="AW16" s="1131">
        <v>6.3</v>
      </c>
      <c r="AX16" s="1131">
        <v>6.7</v>
      </c>
      <c r="AY16" s="1131">
        <v>6.9</v>
      </c>
      <c r="AZ16" s="1131">
        <v>7.2</v>
      </c>
      <c r="BA16" s="1131">
        <v>7.5</v>
      </c>
      <c r="BB16" s="1131">
        <v>7.7</v>
      </c>
      <c r="BC16" s="1131">
        <v>8</v>
      </c>
      <c r="BD16" s="1131">
        <v>8.3000000000000007</v>
      </c>
      <c r="BE16" s="1131">
        <v>8.5</v>
      </c>
      <c r="BF16" s="1131">
        <v>8.8000000000000007</v>
      </c>
      <c r="BG16" s="1131">
        <v>9.1</v>
      </c>
      <c r="BH16" s="1131">
        <v>9.3000000000000007</v>
      </c>
      <c r="BI16" s="1131">
        <v>9.5</v>
      </c>
      <c r="BJ16" s="1131">
        <v>9.9</v>
      </c>
      <c r="BK16" s="1131">
        <v>10.199999999999999</v>
      </c>
      <c r="BL16" s="1131">
        <v>10.6</v>
      </c>
      <c r="BM16" s="1131">
        <v>11</v>
      </c>
      <c r="BN16" s="1131">
        <v>11.3</v>
      </c>
      <c r="BO16" s="1131">
        <v>11.7</v>
      </c>
      <c r="BP16" s="1131">
        <v>12.1</v>
      </c>
      <c r="BQ16" s="1131">
        <v>12.7</v>
      </c>
      <c r="BR16" s="1131">
        <v>12.7</v>
      </c>
      <c r="BS16" s="1131">
        <v>12.9</v>
      </c>
      <c r="BT16" s="1131">
        <v>13.5</v>
      </c>
      <c r="BU16" s="1131">
        <v>13.7</v>
      </c>
      <c r="BV16" s="1131">
        <v>14.2</v>
      </c>
      <c r="BW16" s="1131">
        <v>14.8</v>
      </c>
      <c r="BX16" s="1131">
        <v>15.1</v>
      </c>
      <c r="BY16" s="1131">
        <v>15.4</v>
      </c>
      <c r="BZ16" s="1131">
        <v>15.9</v>
      </c>
      <c r="CA16" s="1131">
        <v>16.3</v>
      </c>
      <c r="CB16" s="1131">
        <v>16.7</v>
      </c>
      <c r="CC16" s="1131">
        <v>17.100000000000001</v>
      </c>
      <c r="CD16" s="1131">
        <v>17.3</v>
      </c>
      <c r="CE16" s="1131">
        <v>17.899999999999999</v>
      </c>
      <c r="CF16" s="1131">
        <v>18.7</v>
      </c>
      <c r="CG16" s="1131">
        <v>19.600000000000001</v>
      </c>
      <c r="CH16" s="1131">
        <v>20.9</v>
      </c>
      <c r="CI16" s="1131">
        <v>22.1</v>
      </c>
      <c r="CJ16" s="1131">
        <v>23.1</v>
      </c>
      <c r="CK16" s="1131">
        <v>24.2</v>
      </c>
      <c r="CL16" s="1131">
        <v>25</v>
      </c>
      <c r="CM16" s="1131">
        <v>25.8</v>
      </c>
      <c r="CN16" s="1131">
        <v>26.4</v>
      </c>
      <c r="CO16" s="1131">
        <v>26.8</v>
      </c>
      <c r="CP16" s="1131">
        <v>28</v>
      </c>
      <c r="CQ16" s="1131">
        <v>28.3</v>
      </c>
      <c r="CR16" s="1131">
        <v>28.7</v>
      </c>
      <c r="CS16" s="1131">
        <v>29.2</v>
      </c>
      <c r="CT16" s="1131">
        <v>30.1</v>
      </c>
      <c r="CU16" s="1131">
        <v>30.7</v>
      </c>
      <c r="CV16" s="1131">
        <v>31.2</v>
      </c>
      <c r="CW16" s="1131">
        <v>31.6</v>
      </c>
      <c r="CX16" s="1131">
        <v>31.9</v>
      </c>
      <c r="CY16" s="1131">
        <v>32.299999999999997</v>
      </c>
      <c r="CZ16" s="1131">
        <v>32.9</v>
      </c>
      <c r="DA16" s="1131">
        <v>33.5</v>
      </c>
      <c r="DB16" s="1131">
        <v>34</v>
      </c>
      <c r="DC16" s="1131">
        <v>34.6</v>
      </c>
      <c r="DD16" s="1131">
        <v>35.200000000000003</v>
      </c>
      <c r="DE16" s="1131">
        <v>35.799999999999997</v>
      </c>
      <c r="DF16" s="1131">
        <v>37.200000000000003</v>
      </c>
      <c r="DG16" s="1131">
        <v>38</v>
      </c>
      <c r="DH16" s="1131">
        <v>38.6</v>
      </c>
      <c r="DI16" s="1131">
        <v>39</v>
      </c>
      <c r="DJ16" s="1131">
        <v>39.1</v>
      </c>
      <c r="DK16" s="1131">
        <v>39.299999999999997</v>
      </c>
      <c r="DL16" s="1131">
        <v>40</v>
      </c>
      <c r="DM16" s="1131">
        <v>41.1</v>
      </c>
      <c r="DN16" s="1131">
        <v>42.3</v>
      </c>
      <c r="DO16" s="1131">
        <v>43.5</v>
      </c>
      <c r="DP16" s="1131">
        <v>44.7</v>
      </c>
      <c r="DQ16" s="1131">
        <v>45.8</v>
      </c>
      <c r="DR16" s="1131">
        <v>46.9</v>
      </c>
      <c r="DS16" s="1131">
        <v>48.1</v>
      </c>
      <c r="DT16" s="1131">
        <v>49.3</v>
      </c>
      <c r="DU16" s="1131">
        <v>50.6</v>
      </c>
      <c r="DV16" s="1131">
        <v>51.5</v>
      </c>
      <c r="DW16" s="1131">
        <v>52.5</v>
      </c>
      <c r="DX16" s="1131">
        <v>53.4</v>
      </c>
      <c r="DY16" s="1131">
        <v>54.3</v>
      </c>
      <c r="DZ16" s="1131">
        <v>55.2</v>
      </c>
      <c r="EA16" s="1131">
        <v>56</v>
      </c>
      <c r="EB16" s="1131">
        <v>56.8</v>
      </c>
      <c r="EC16" s="1131">
        <v>57.6</v>
      </c>
      <c r="ED16" s="1131">
        <v>58.5</v>
      </c>
      <c r="EE16" s="1131">
        <v>59.7</v>
      </c>
      <c r="EF16" s="1131">
        <v>61.1</v>
      </c>
      <c r="EG16" s="1131">
        <v>62.7</v>
      </c>
      <c r="EH16" s="1131">
        <v>64.8</v>
      </c>
      <c r="EI16" s="1131">
        <v>66.400000000000006</v>
      </c>
      <c r="EJ16" s="1131">
        <v>67.7</v>
      </c>
      <c r="EK16" s="1131">
        <v>68.7</v>
      </c>
      <c r="EL16" s="1131">
        <v>70.3</v>
      </c>
      <c r="EM16" s="1131">
        <v>71.2</v>
      </c>
      <c r="EN16" s="1131">
        <v>72.099999999999994</v>
      </c>
      <c r="EO16" s="1131">
        <v>73</v>
      </c>
      <c r="EP16" s="1131">
        <v>74.400000000000006</v>
      </c>
      <c r="EQ16" s="1131">
        <v>74.900000000000006</v>
      </c>
      <c r="ER16" s="1131">
        <v>75.5</v>
      </c>
      <c r="ES16" s="1131">
        <v>76.3</v>
      </c>
      <c r="ET16" s="1131">
        <v>78</v>
      </c>
      <c r="EU16" s="1131">
        <v>78.8</v>
      </c>
      <c r="EV16" s="1131">
        <v>79.599999999999994</v>
      </c>
      <c r="EW16" s="1131">
        <v>80.3</v>
      </c>
      <c r="EX16" s="1131">
        <v>80.5</v>
      </c>
      <c r="EY16" s="1131">
        <v>81</v>
      </c>
      <c r="EZ16" s="1131">
        <v>81.2</v>
      </c>
      <c r="FA16" s="1131">
        <v>81.2</v>
      </c>
      <c r="FB16" s="1131">
        <v>80.599999999999994</v>
      </c>
      <c r="FC16" s="1131">
        <v>80.3</v>
      </c>
      <c r="FD16" s="1131">
        <v>79.900000000000006</v>
      </c>
      <c r="FE16" s="1131">
        <v>79.5</v>
      </c>
      <c r="FF16" s="1131">
        <v>79.5</v>
      </c>
      <c r="FG16" s="1131">
        <v>79.3</v>
      </c>
      <c r="FH16" s="1131">
        <v>79.3</v>
      </c>
      <c r="FI16" s="1131">
        <v>79.5</v>
      </c>
      <c r="FJ16" s="1131">
        <v>80.400000000000006</v>
      </c>
      <c r="FK16" s="1131">
        <v>81.5</v>
      </c>
      <c r="FL16" s="1131">
        <v>82.7</v>
      </c>
      <c r="FM16" s="1131">
        <v>84.1</v>
      </c>
      <c r="FN16" s="1131">
        <v>85.2</v>
      </c>
      <c r="FO16" s="1131">
        <v>86.3</v>
      </c>
      <c r="FP16" s="1131">
        <v>86.9</v>
      </c>
      <c r="FQ16" s="1131">
        <v>86.8</v>
      </c>
      <c r="FR16" s="1131">
        <v>86.6</v>
      </c>
      <c r="FS16" s="1131">
        <v>86.8</v>
      </c>
      <c r="FT16" s="1131">
        <v>87.5</v>
      </c>
      <c r="FU16" s="1131">
        <v>88.9</v>
      </c>
      <c r="FV16" s="1131">
        <v>90.9</v>
      </c>
      <c r="FW16" s="1131">
        <v>92.6</v>
      </c>
      <c r="FX16" s="1131">
        <v>94.2</v>
      </c>
      <c r="FY16" s="1131">
        <v>95.7</v>
      </c>
      <c r="FZ16" s="1131">
        <v>99.4</v>
      </c>
      <c r="GA16" s="1131">
        <v>100.7</v>
      </c>
      <c r="GB16" s="1131">
        <v>101.6</v>
      </c>
      <c r="GC16" s="1131">
        <v>101.9</v>
      </c>
      <c r="GD16" s="1131">
        <v>103</v>
      </c>
      <c r="GE16" s="1131">
        <v>103.1</v>
      </c>
      <c r="GF16" s="1131">
        <v>103.4</v>
      </c>
      <c r="GG16" s="1131">
        <v>104</v>
      </c>
      <c r="GH16" s="1131">
        <v>105.8</v>
      </c>
      <c r="GI16" s="1131">
        <v>106.8</v>
      </c>
      <c r="GJ16" s="1131">
        <v>108</v>
      </c>
      <c r="GK16" s="1131">
        <v>109.3</v>
      </c>
      <c r="GL16" s="1131">
        <v>111.5</v>
      </c>
      <c r="GM16" s="1131">
        <v>113.1</v>
      </c>
      <c r="GN16" s="1131">
        <v>114.7</v>
      </c>
      <c r="GO16" s="1131">
        <v>116.4</v>
      </c>
      <c r="GP16" s="1131">
        <v>117.6</v>
      </c>
      <c r="GQ16" s="1131">
        <v>118.7</v>
      </c>
      <c r="GR16" s="1131">
        <v>119.1</v>
      </c>
      <c r="GS16" s="1131">
        <v>118.8</v>
      </c>
      <c r="GT16" s="1131">
        <v>114.9</v>
      </c>
      <c r="GU16" s="1131">
        <v>114.4</v>
      </c>
      <c r="GV16" s="1131">
        <v>114.3</v>
      </c>
      <c r="GW16" s="1131">
        <v>114.8</v>
      </c>
      <c r="GX16" s="1131">
        <v>115.3</v>
      </c>
      <c r="GY16" s="1131">
        <v>116</v>
      </c>
    </row>
    <row r="17" spans="1:207" x14ac:dyDescent="0.35">
      <c r="A17" s="1131" t="s">
        <v>214</v>
      </c>
      <c r="B17" s="1131">
        <v>104.6</v>
      </c>
      <c r="C17" s="1131">
        <v>105.5</v>
      </c>
      <c r="D17" s="1131">
        <v>100.7</v>
      </c>
      <c r="E17" s="1131">
        <v>101.5</v>
      </c>
      <c r="F17" s="1131">
        <v>98.3</v>
      </c>
      <c r="G17" s="1131">
        <v>100.7</v>
      </c>
      <c r="H17" s="1131">
        <v>102.3</v>
      </c>
      <c r="I17" s="1131">
        <v>105.5</v>
      </c>
      <c r="J17" s="1131">
        <v>119.8</v>
      </c>
      <c r="K17" s="1131">
        <v>123.4</v>
      </c>
      <c r="L17" s="1131">
        <v>124.3</v>
      </c>
      <c r="M17" s="1131">
        <v>127.1</v>
      </c>
      <c r="N17" s="1131">
        <v>126.4</v>
      </c>
      <c r="O17" s="1131">
        <v>129.19999999999999</v>
      </c>
      <c r="P17" s="1131">
        <v>134.1</v>
      </c>
      <c r="Q17" s="1131">
        <v>140</v>
      </c>
      <c r="R17" s="1131">
        <v>142.80000000000001</v>
      </c>
      <c r="S17" s="1131">
        <v>148.9</v>
      </c>
      <c r="T17" s="1131">
        <v>154.9</v>
      </c>
      <c r="U17" s="1131">
        <v>157.6</v>
      </c>
      <c r="V17" s="1131">
        <v>158</v>
      </c>
      <c r="W17" s="1131">
        <v>121.1</v>
      </c>
      <c r="X17" s="1131">
        <v>152.80000000000001</v>
      </c>
      <c r="Y17" s="1131">
        <v>158.5</v>
      </c>
      <c r="Z17" s="1131">
        <v>162.5</v>
      </c>
      <c r="AA17" s="1131">
        <v>169.3</v>
      </c>
      <c r="AB17" s="1131">
        <v>176.1</v>
      </c>
      <c r="AC17" s="1131">
        <v>182.7</v>
      </c>
      <c r="AD17" s="1131">
        <v>188.8</v>
      </c>
      <c r="AE17" s="1131">
        <v>195.7</v>
      </c>
      <c r="AF17" s="1131">
        <v>198.6</v>
      </c>
      <c r="AG17" s="1131">
        <v>208.5</v>
      </c>
      <c r="AH17" s="1131">
        <v>212</v>
      </c>
      <c r="AI17" s="1131">
        <v>223.1</v>
      </c>
      <c r="AJ17" s="1131">
        <v>236.3</v>
      </c>
      <c r="AK17" s="1131">
        <v>247.2</v>
      </c>
      <c r="AL17" s="1131">
        <v>253.6</v>
      </c>
      <c r="AM17" s="1131">
        <v>262</v>
      </c>
      <c r="AN17" s="1131">
        <v>274.8</v>
      </c>
      <c r="AO17" s="1131">
        <v>285.2</v>
      </c>
      <c r="AP17" s="1131">
        <v>284.8</v>
      </c>
      <c r="AQ17" s="1131">
        <v>292.2</v>
      </c>
      <c r="AR17" s="1131">
        <v>302.2</v>
      </c>
      <c r="AS17" s="1131">
        <v>318.89999999999998</v>
      </c>
      <c r="AT17" s="1131">
        <v>330.9</v>
      </c>
      <c r="AU17" s="1131">
        <v>342.7</v>
      </c>
      <c r="AV17" s="1131">
        <v>356.9</v>
      </c>
      <c r="AW17" s="1131">
        <v>352.7</v>
      </c>
      <c r="AX17" s="1131">
        <v>352.5</v>
      </c>
      <c r="AY17" s="1131">
        <v>359.7</v>
      </c>
      <c r="AZ17" s="1131">
        <v>350.1</v>
      </c>
      <c r="BA17" s="1131">
        <v>356.6</v>
      </c>
      <c r="BB17" s="1131">
        <v>350.9</v>
      </c>
      <c r="BC17" s="1131">
        <v>359.6</v>
      </c>
      <c r="BD17" s="1131">
        <v>345.4</v>
      </c>
      <c r="BE17" s="1131">
        <v>355.7</v>
      </c>
      <c r="BF17" s="1131">
        <v>361.2</v>
      </c>
      <c r="BG17" s="1131">
        <v>370.4</v>
      </c>
      <c r="BH17" s="1131">
        <v>384.1</v>
      </c>
      <c r="BI17" s="1131">
        <v>395.9</v>
      </c>
      <c r="BJ17" s="1131">
        <v>432.3</v>
      </c>
      <c r="BK17" s="1131">
        <v>388.5</v>
      </c>
      <c r="BL17" s="1131">
        <v>421.5</v>
      </c>
      <c r="BM17" s="1131">
        <v>428.9</v>
      </c>
      <c r="BN17" s="1131">
        <v>426.3</v>
      </c>
      <c r="BO17" s="1131">
        <v>429.4</v>
      </c>
      <c r="BP17" s="1131">
        <v>439.5</v>
      </c>
      <c r="BQ17" s="1131">
        <v>456</v>
      </c>
      <c r="BR17" s="1131">
        <v>450.7</v>
      </c>
      <c r="BS17" s="1131">
        <v>511.7</v>
      </c>
      <c r="BT17" s="1131">
        <v>489</v>
      </c>
      <c r="BU17" s="1131">
        <v>507</v>
      </c>
      <c r="BV17" s="1131">
        <v>502.1</v>
      </c>
      <c r="BW17" s="1131">
        <v>497.8</v>
      </c>
      <c r="BX17" s="1131">
        <v>506.7</v>
      </c>
      <c r="BY17" s="1131">
        <v>517.20000000000005</v>
      </c>
      <c r="BZ17" s="1131">
        <v>552.9</v>
      </c>
      <c r="CA17" s="1131">
        <v>566.70000000000005</v>
      </c>
      <c r="CB17" s="1131">
        <v>571.6</v>
      </c>
      <c r="CC17" s="1131">
        <v>579.79999999999995</v>
      </c>
      <c r="CD17" s="1131">
        <v>582.5</v>
      </c>
      <c r="CE17" s="1131">
        <v>594.6</v>
      </c>
      <c r="CF17" s="1131">
        <v>600.70000000000005</v>
      </c>
      <c r="CG17" s="1131">
        <v>600.79999999999995</v>
      </c>
      <c r="CH17" s="1131">
        <v>580.79999999999995</v>
      </c>
      <c r="CI17" s="1131">
        <v>585.9</v>
      </c>
      <c r="CJ17" s="1131">
        <v>590.20000000000005</v>
      </c>
      <c r="CK17" s="1131">
        <v>598.70000000000005</v>
      </c>
      <c r="CL17" s="1131">
        <v>588.9</v>
      </c>
      <c r="CM17" s="1131">
        <v>607.20000000000005</v>
      </c>
      <c r="CN17" s="1131">
        <v>616.20000000000005</v>
      </c>
      <c r="CO17" s="1131">
        <v>638.9</v>
      </c>
      <c r="CP17" s="1131">
        <v>617</v>
      </c>
      <c r="CQ17" s="1131">
        <v>643.5</v>
      </c>
      <c r="CR17" s="1131">
        <v>659.2</v>
      </c>
      <c r="CS17" s="1131">
        <v>675.3</v>
      </c>
      <c r="CT17" s="1131">
        <v>673.7</v>
      </c>
      <c r="CU17" s="1131">
        <v>697.8</v>
      </c>
      <c r="CV17" s="1131">
        <v>695.4</v>
      </c>
      <c r="CW17" s="1131">
        <v>705.4</v>
      </c>
      <c r="CX17" s="1131">
        <v>724.6</v>
      </c>
      <c r="CY17" s="1131">
        <v>746.8</v>
      </c>
      <c r="CZ17" s="1131">
        <v>752.2</v>
      </c>
      <c r="DA17" s="1131">
        <v>770</v>
      </c>
      <c r="DB17" s="1131">
        <v>801.7</v>
      </c>
      <c r="DC17" s="1131">
        <v>839.6</v>
      </c>
      <c r="DD17" s="1131">
        <v>843.5</v>
      </c>
      <c r="DE17" s="1131">
        <v>863.5</v>
      </c>
      <c r="DF17" s="1131">
        <v>902.1</v>
      </c>
      <c r="DG17" s="1131">
        <v>916.2</v>
      </c>
      <c r="DH17" s="1131">
        <v>941.1</v>
      </c>
      <c r="DI17" s="1131">
        <v>967.8</v>
      </c>
      <c r="DJ17" s="1131">
        <v>996.1</v>
      </c>
      <c r="DK17" s="1131">
        <v>1022.4</v>
      </c>
      <c r="DL17" s="1131">
        <v>1043.2</v>
      </c>
      <c r="DM17" s="1131">
        <v>1068</v>
      </c>
      <c r="DN17" s="1131">
        <v>1077.9000000000001</v>
      </c>
      <c r="DO17" s="1131">
        <v>1095.2</v>
      </c>
      <c r="DP17" s="1131">
        <v>1120.5999999999999</v>
      </c>
      <c r="DQ17" s="1131">
        <v>1154</v>
      </c>
      <c r="DR17" s="1131">
        <v>1208.8</v>
      </c>
      <c r="DS17" s="1131">
        <v>1230.2</v>
      </c>
      <c r="DT17" s="1131">
        <v>1247.7</v>
      </c>
      <c r="DU17" s="1131">
        <v>1258.7</v>
      </c>
      <c r="DV17" s="1131">
        <v>1301.9000000000001</v>
      </c>
      <c r="DW17" s="1131">
        <v>1308.9000000000001</v>
      </c>
      <c r="DX17" s="1131">
        <v>1113.5999999999999</v>
      </c>
      <c r="DY17" s="1131">
        <v>1231.8</v>
      </c>
      <c r="DZ17" s="1131">
        <v>1075.2</v>
      </c>
      <c r="EA17" s="1131">
        <v>1051</v>
      </c>
      <c r="EB17" s="1131">
        <v>1044.0999999999999</v>
      </c>
      <c r="EC17" s="1131">
        <v>1038.4000000000001</v>
      </c>
      <c r="ED17" s="1131">
        <v>1021.3</v>
      </c>
      <c r="EE17" s="1131">
        <v>1020.8</v>
      </c>
      <c r="EF17" s="1131">
        <v>950.7</v>
      </c>
      <c r="EG17" s="1131">
        <v>1021.3</v>
      </c>
      <c r="EH17" s="1131">
        <v>1012.3</v>
      </c>
      <c r="EI17" s="1131">
        <v>1026.8</v>
      </c>
      <c r="EJ17" s="1131">
        <v>1064.4000000000001</v>
      </c>
      <c r="EK17" s="1131">
        <v>1091.5999999999999</v>
      </c>
      <c r="EL17" s="1131">
        <v>1172.3</v>
      </c>
      <c r="EM17" s="1131">
        <v>1196.3</v>
      </c>
      <c r="EN17" s="1131">
        <v>1225.5</v>
      </c>
      <c r="EO17" s="1131">
        <v>1255.8</v>
      </c>
      <c r="EP17" s="1131">
        <v>1320.5</v>
      </c>
      <c r="EQ17" s="1131">
        <v>1351.3</v>
      </c>
      <c r="ER17" s="1131">
        <v>1358.6</v>
      </c>
      <c r="ES17" s="1131">
        <v>1397.5</v>
      </c>
      <c r="ET17" s="1131">
        <v>1466.5</v>
      </c>
      <c r="EU17" s="1131">
        <v>1495.9</v>
      </c>
      <c r="EV17" s="1131">
        <v>1498.9</v>
      </c>
      <c r="EW17" s="1131">
        <v>1508.6</v>
      </c>
      <c r="EX17" s="1131">
        <v>1535.1</v>
      </c>
      <c r="EY17" s="1131">
        <v>1552.5</v>
      </c>
      <c r="EZ17" s="1131">
        <v>1497.5</v>
      </c>
      <c r="FA17" s="1131">
        <v>1444.9</v>
      </c>
      <c r="FB17" s="1131">
        <v>1202.4000000000001</v>
      </c>
      <c r="FC17" s="1131">
        <v>1131.0999999999999</v>
      </c>
      <c r="FD17" s="1131">
        <v>1135.3</v>
      </c>
      <c r="FE17" s="1131">
        <v>1140.7</v>
      </c>
      <c r="FF17" s="1131">
        <v>1191.8</v>
      </c>
      <c r="FG17" s="1131">
        <v>1213.2</v>
      </c>
      <c r="FH17" s="1131">
        <v>1256.3</v>
      </c>
      <c r="FI17" s="1131">
        <v>1289.0999999999999</v>
      </c>
      <c r="FJ17" s="1131">
        <v>1426.6</v>
      </c>
      <c r="FK17" s="1131">
        <v>1445.9</v>
      </c>
      <c r="FL17" s="1131">
        <v>1471.4</v>
      </c>
      <c r="FM17" s="1131">
        <v>1470.9</v>
      </c>
      <c r="FN17" s="1131">
        <v>1468.3</v>
      </c>
      <c r="FO17" s="1131">
        <v>1487.7</v>
      </c>
      <c r="FP17" s="1131">
        <v>1510</v>
      </c>
      <c r="FQ17" s="1131">
        <v>1572</v>
      </c>
      <c r="FR17" s="1131">
        <v>1650</v>
      </c>
      <c r="FS17" s="1131">
        <v>1682.5</v>
      </c>
      <c r="FT17" s="1131">
        <v>1674.9</v>
      </c>
      <c r="FU17" s="1131">
        <v>1698.1</v>
      </c>
      <c r="FV17" s="1131">
        <v>1744.8</v>
      </c>
      <c r="FW17" s="1131">
        <v>1758.4</v>
      </c>
      <c r="FX17" s="1131">
        <v>1798.6</v>
      </c>
      <c r="FY17" s="1131">
        <v>1836.5</v>
      </c>
      <c r="FZ17" s="1131">
        <v>1904.6</v>
      </c>
      <c r="GA17" s="1131">
        <v>1943</v>
      </c>
      <c r="GB17" s="1131">
        <v>1947.3</v>
      </c>
      <c r="GC17" s="1131">
        <v>1964.9</v>
      </c>
      <c r="GD17" s="1131">
        <v>1924.6</v>
      </c>
      <c r="GE17" s="1131">
        <v>1943.4</v>
      </c>
      <c r="GF17" s="1131">
        <v>1972</v>
      </c>
      <c r="GG17" s="1131">
        <v>1992.9</v>
      </c>
      <c r="GH17" s="1131">
        <v>2005</v>
      </c>
      <c r="GI17" s="1131">
        <v>2007.2</v>
      </c>
      <c r="GJ17" s="1131">
        <v>2056.1</v>
      </c>
      <c r="GK17" s="1131">
        <v>2127.6</v>
      </c>
      <c r="GL17" s="1131">
        <v>2076.1999999999998</v>
      </c>
      <c r="GM17" s="1131">
        <v>2049.8000000000002</v>
      </c>
      <c r="GN17" s="1131">
        <v>2091.3000000000002</v>
      </c>
      <c r="GO17" s="1131">
        <v>2087.6999999999998</v>
      </c>
      <c r="GP17" s="1131">
        <v>2169.3000000000002</v>
      </c>
      <c r="GQ17" s="1131">
        <v>2222.8000000000002</v>
      </c>
      <c r="GR17" s="1131">
        <v>2205.1999999999998</v>
      </c>
      <c r="GS17" s="1131">
        <v>2223.1999999999998</v>
      </c>
      <c r="GT17" s="1131">
        <v>2241.6</v>
      </c>
      <c r="GU17" s="1131">
        <v>2099</v>
      </c>
      <c r="GV17" s="1131">
        <v>2181.8000000000002</v>
      </c>
      <c r="GW17" s="1131">
        <v>2259.8000000000002</v>
      </c>
      <c r="GX17" s="1131">
        <v>2412.1</v>
      </c>
      <c r="GY17" s="1131">
        <v>2514.8000000000002</v>
      </c>
    </row>
    <row r="18" spans="1:207" x14ac:dyDescent="0.35">
      <c r="A18" s="1131" t="s">
        <v>215</v>
      </c>
      <c r="B18" s="1131">
        <v>88.5</v>
      </c>
      <c r="C18" s="1131">
        <v>90.5</v>
      </c>
      <c r="D18" s="1131">
        <v>92.5</v>
      </c>
      <c r="E18" s="1131">
        <v>94.1</v>
      </c>
      <c r="F18" s="1131">
        <v>97.7</v>
      </c>
      <c r="G18" s="1131">
        <v>98.9</v>
      </c>
      <c r="H18" s="1131">
        <v>101.7</v>
      </c>
      <c r="I18" s="1131">
        <v>103.7</v>
      </c>
      <c r="J18" s="1131">
        <v>104.6</v>
      </c>
      <c r="K18" s="1131">
        <v>106.8</v>
      </c>
      <c r="L18" s="1131">
        <v>108.9</v>
      </c>
      <c r="M18" s="1131">
        <v>111.5</v>
      </c>
      <c r="N18" s="1131">
        <v>114.6</v>
      </c>
      <c r="O18" s="1131">
        <v>116.2</v>
      </c>
      <c r="P18" s="1131">
        <v>118.4</v>
      </c>
      <c r="Q18" s="1131">
        <v>119.7</v>
      </c>
      <c r="R18" s="1131">
        <v>120.8</v>
      </c>
      <c r="S18" s="1131">
        <v>124.1</v>
      </c>
      <c r="T18" s="1131">
        <v>127.1</v>
      </c>
      <c r="U18" s="1131">
        <v>127.7</v>
      </c>
      <c r="V18" s="1131">
        <v>128.80000000000001</v>
      </c>
      <c r="W18" s="1131">
        <v>133</v>
      </c>
      <c r="X18" s="1131">
        <v>138.19999999999999</v>
      </c>
      <c r="Y18" s="1131">
        <v>141.1</v>
      </c>
      <c r="Z18" s="1131">
        <v>141.69999999999999</v>
      </c>
      <c r="AA18" s="1131">
        <v>144.9</v>
      </c>
      <c r="AB18" s="1131">
        <v>147.69999999999999</v>
      </c>
      <c r="AC18" s="1131">
        <v>151.30000000000001</v>
      </c>
      <c r="AD18" s="1131">
        <v>154.80000000000001</v>
      </c>
      <c r="AE18" s="1131">
        <v>158</v>
      </c>
      <c r="AF18" s="1131">
        <v>161.5</v>
      </c>
      <c r="AG18" s="1131">
        <v>164.3</v>
      </c>
      <c r="AH18" s="1131">
        <v>166.9</v>
      </c>
      <c r="AI18" s="1131">
        <v>173.1</v>
      </c>
      <c r="AJ18" s="1131">
        <v>169.7</v>
      </c>
      <c r="AK18" s="1131">
        <v>173.9</v>
      </c>
      <c r="AL18" s="1131">
        <v>176.4</v>
      </c>
      <c r="AM18" s="1131">
        <v>178.5</v>
      </c>
      <c r="AN18" s="1131">
        <v>180.9</v>
      </c>
      <c r="AO18" s="1131">
        <v>184.6</v>
      </c>
      <c r="AP18" s="1131">
        <v>189.5</v>
      </c>
      <c r="AQ18" s="1131">
        <v>196.9</v>
      </c>
      <c r="AR18" s="1131">
        <v>204.3</v>
      </c>
      <c r="AS18" s="1131">
        <v>210.6</v>
      </c>
      <c r="AT18" s="1131">
        <v>230.8</v>
      </c>
      <c r="AU18" s="1131">
        <v>235.5</v>
      </c>
      <c r="AV18" s="1131">
        <v>237.5</v>
      </c>
      <c r="AW18" s="1131">
        <v>238.8</v>
      </c>
      <c r="AX18" s="1131">
        <v>237.4</v>
      </c>
      <c r="AY18" s="1131">
        <v>238.3</v>
      </c>
      <c r="AZ18" s="1131">
        <v>241.8</v>
      </c>
      <c r="BA18" s="1131">
        <v>246.3</v>
      </c>
      <c r="BB18" s="1131">
        <v>250.7</v>
      </c>
      <c r="BC18" s="1131">
        <v>261.2</v>
      </c>
      <c r="BD18" s="1131">
        <v>267.5</v>
      </c>
      <c r="BE18" s="1131">
        <v>273.7</v>
      </c>
      <c r="BF18" s="1131">
        <v>281.60000000000002</v>
      </c>
      <c r="BG18" s="1131">
        <v>287.7</v>
      </c>
      <c r="BH18" s="1131">
        <v>292.2</v>
      </c>
      <c r="BI18" s="1131">
        <v>297.5</v>
      </c>
      <c r="BJ18" s="1131">
        <v>301</v>
      </c>
      <c r="BK18" s="1131">
        <v>305.7</v>
      </c>
      <c r="BL18" s="1131">
        <v>311.89999999999998</v>
      </c>
      <c r="BM18" s="1131">
        <v>313.89999999999998</v>
      </c>
      <c r="BN18" s="1131">
        <v>317.5</v>
      </c>
      <c r="BO18" s="1131">
        <v>319.5</v>
      </c>
      <c r="BP18" s="1131">
        <v>326.2</v>
      </c>
      <c r="BQ18" s="1131">
        <v>330.4</v>
      </c>
      <c r="BR18" s="1131">
        <v>336</v>
      </c>
      <c r="BS18" s="1131">
        <v>344.4</v>
      </c>
      <c r="BT18" s="1131">
        <v>352.4</v>
      </c>
      <c r="BU18" s="1131">
        <v>357.4</v>
      </c>
      <c r="BV18" s="1131">
        <v>365.2</v>
      </c>
      <c r="BW18" s="1131">
        <v>372.5</v>
      </c>
      <c r="BX18" s="1131">
        <v>377.5</v>
      </c>
      <c r="BY18" s="1131">
        <v>382.6</v>
      </c>
      <c r="BZ18" s="1131">
        <v>391</v>
      </c>
      <c r="CA18" s="1131">
        <v>397.5</v>
      </c>
      <c r="CB18" s="1131">
        <v>403.9</v>
      </c>
      <c r="CC18" s="1131">
        <v>403</v>
      </c>
      <c r="CD18" s="1131">
        <v>419.5</v>
      </c>
      <c r="CE18" s="1131">
        <v>419.5</v>
      </c>
      <c r="CF18" s="1131">
        <v>426.8</v>
      </c>
      <c r="CG18" s="1131">
        <v>434.2</v>
      </c>
      <c r="CH18" s="1131">
        <v>444</v>
      </c>
      <c r="CI18" s="1131">
        <v>451.6</v>
      </c>
      <c r="CJ18" s="1131">
        <v>461.3</v>
      </c>
      <c r="CK18" s="1131">
        <v>471.5</v>
      </c>
      <c r="CL18" s="1131">
        <v>476.4</v>
      </c>
      <c r="CM18" s="1131">
        <v>481.2</v>
      </c>
      <c r="CN18" s="1131">
        <v>486</v>
      </c>
      <c r="CO18" s="1131">
        <v>489.9</v>
      </c>
      <c r="CP18" s="1131">
        <v>489.7</v>
      </c>
      <c r="CQ18" s="1131">
        <v>497.6</v>
      </c>
      <c r="CR18" s="1131">
        <v>504.9</v>
      </c>
      <c r="CS18" s="1131">
        <v>520.29999999999995</v>
      </c>
      <c r="CT18" s="1131">
        <v>531.5</v>
      </c>
      <c r="CU18" s="1131">
        <v>544.4</v>
      </c>
      <c r="CV18" s="1131">
        <v>550.5</v>
      </c>
      <c r="CW18" s="1131">
        <v>554.6</v>
      </c>
      <c r="CX18" s="1131">
        <v>555.29999999999995</v>
      </c>
      <c r="CY18" s="1131">
        <v>553.6</v>
      </c>
      <c r="CZ18" s="1131">
        <v>558.9</v>
      </c>
      <c r="DA18" s="1131">
        <v>563.79999999999995</v>
      </c>
      <c r="DB18" s="1131">
        <v>570.4</v>
      </c>
      <c r="DC18" s="1131">
        <v>577.70000000000005</v>
      </c>
      <c r="DD18" s="1131">
        <v>581.79999999999995</v>
      </c>
      <c r="DE18" s="1131">
        <v>593.20000000000005</v>
      </c>
      <c r="DF18" s="1131">
        <v>595.70000000000005</v>
      </c>
      <c r="DG18" s="1131">
        <v>610.4</v>
      </c>
      <c r="DH18" s="1131">
        <v>616.6</v>
      </c>
      <c r="DI18" s="1131">
        <v>623.79999999999995</v>
      </c>
      <c r="DJ18" s="1131">
        <v>629.1</v>
      </c>
      <c r="DK18" s="1131">
        <v>635.5</v>
      </c>
      <c r="DL18" s="1131">
        <v>643</v>
      </c>
      <c r="DM18" s="1131">
        <v>650.29999999999995</v>
      </c>
      <c r="DN18" s="1131">
        <v>657.5</v>
      </c>
      <c r="DO18" s="1131">
        <v>667.1</v>
      </c>
      <c r="DP18" s="1131">
        <v>679</v>
      </c>
      <c r="DQ18" s="1131">
        <v>690.7</v>
      </c>
      <c r="DR18" s="1131">
        <v>698.6</v>
      </c>
      <c r="DS18" s="1131">
        <v>707.3</v>
      </c>
      <c r="DT18" s="1131">
        <v>711.3</v>
      </c>
      <c r="DU18" s="1131">
        <v>717.1</v>
      </c>
      <c r="DV18" s="1131">
        <v>724.2</v>
      </c>
      <c r="DW18" s="1131">
        <v>724.1</v>
      </c>
      <c r="DX18" s="1131">
        <v>725.3</v>
      </c>
      <c r="DY18" s="1131">
        <v>737.1</v>
      </c>
      <c r="DZ18" s="1131">
        <v>744</v>
      </c>
      <c r="EA18" s="1131">
        <v>751.3</v>
      </c>
      <c r="EB18" s="1131">
        <v>768.5</v>
      </c>
      <c r="EC18" s="1131">
        <v>776.3</v>
      </c>
      <c r="ED18" s="1131">
        <v>788.6</v>
      </c>
      <c r="EE18" s="1131">
        <v>800</v>
      </c>
      <c r="EF18" s="1131">
        <v>813</v>
      </c>
      <c r="EG18" s="1131">
        <v>820.9</v>
      </c>
      <c r="EH18" s="1131">
        <v>847.3</v>
      </c>
      <c r="EI18" s="1131">
        <v>859.9</v>
      </c>
      <c r="EJ18" s="1131">
        <v>871.3</v>
      </c>
      <c r="EK18" s="1131">
        <v>893.8</v>
      </c>
      <c r="EL18" s="1131">
        <v>915.1</v>
      </c>
      <c r="EM18" s="1131">
        <v>937.3</v>
      </c>
      <c r="EN18" s="1131">
        <v>952.1</v>
      </c>
      <c r="EO18" s="1131">
        <v>965.3</v>
      </c>
      <c r="EP18" s="1131">
        <v>981.8</v>
      </c>
      <c r="EQ18" s="1131">
        <v>991.7</v>
      </c>
      <c r="ER18" s="1131">
        <v>1004.1</v>
      </c>
      <c r="ES18" s="1131">
        <v>1010.5</v>
      </c>
      <c r="ET18" s="1131">
        <v>1025.9000000000001</v>
      </c>
      <c r="EU18" s="1131">
        <v>1033.0999999999999</v>
      </c>
      <c r="EV18" s="1131">
        <v>1035.8</v>
      </c>
      <c r="EW18" s="1131">
        <v>1052.5999999999999</v>
      </c>
      <c r="EX18" s="1131">
        <v>1045.7</v>
      </c>
      <c r="EY18" s="1131">
        <v>1054.7</v>
      </c>
      <c r="EZ18" s="1131">
        <v>1058.5</v>
      </c>
      <c r="FA18" s="1131">
        <v>1040</v>
      </c>
      <c r="FB18" s="1131">
        <v>1015.9</v>
      </c>
      <c r="FC18" s="1131">
        <v>1017.3</v>
      </c>
      <c r="FD18" s="1131">
        <v>1028.8</v>
      </c>
      <c r="FE18" s="1131">
        <v>1045.3</v>
      </c>
      <c r="FF18" s="1131">
        <v>1044.5999999999999</v>
      </c>
      <c r="FG18" s="1131">
        <v>1062.0999999999999</v>
      </c>
      <c r="FH18" s="1131">
        <v>1069.0999999999999</v>
      </c>
      <c r="FI18" s="1131">
        <v>1076.4000000000001</v>
      </c>
      <c r="FJ18" s="1131">
        <v>1091.5</v>
      </c>
      <c r="FK18" s="1131">
        <v>1105.5</v>
      </c>
      <c r="FL18" s="1131">
        <v>1103.9000000000001</v>
      </c>
      <c r="FM18" s="1131">
        <v>1114</v>
      </c>
      <c r="FN18" s="1131">
        <v>1130.9000000000001</v>
      </c>
      <c r="FO18" s="1131">
        <v>1133.9000000000001</v>
      </c>
      <c r="FP18" s="1131">
        <v>1131.3</v>
      </c>
      <c r="FQ18" s="1131">
        <v>1148.4000000000001</v>
      </c>
      <c r="FR18" s="1131">
        <v>1174.5999999999999</v>
      </c>
      <c r="FS18" s="1131">
        <v>1180.8</v>
      </c>
      <c r="FT18" s="1131">
        <v>1195</v>
      </c>
      <c r="FU18" s="1131">
        <v>1204.0999999999999</v>
      </c>
      <c r="FV18" s="1131">
        <v>1220.5</v>
      </c>
      <c r="FW18" s="1131">
        <v>1237.5</v>
      </c>
      <c r="FX18" s="1131">
        <v>1248.4000000000001</v>
      </c>
      <c r="FY18" s="1131">
        <v>1257</v>
      </c>
      <c r="FZ18" s="1131">
        <v>1262.2</v>
      </c>
      <c r="GA18" s="1131">
        <v>1273.0999999999999</v>
      </c>
      <c r="GB18" s="1131">
        <v>1275.5</v>
      </c>
      <c r="GC18" s="1131">
        <v>1289.9000000000001</v>
      </c>
      <c r="GD18" s="1131">
        <v>1295.9000000000001</v>
      </c>
      <c r="GE18" s="1131">
        <v>1301</v>
      </c>
      <c r="GF18" s="1131">
        <v>1320.8</v>
      </c>
      <c r="GG18" s="1131">
        <v>1328.9</v>
      </c>
      <c r="GH18" s="1131">
        <v>1339.4</v>
      </c>
      <c r="GI18" s="1131">
        <v>1359.4</v>
      </c>
      <c r="GJ18" s="1131">
        <v>1372.1</v>
      </c>
      <c r="GK18" s="1131">
        <v>1394.4</v>
      </c>
      <c r="GL18" s="1131">
        <v>1427.2</v>
      </c>
      <c r="GM18" s="1131">
        <v>1448.6</v>
      </c>
      <c r="GN18" s="1131">
        <v>1468.9</v>
      </c>
      <c r="GO18" s="1131">
        <v>1502.2</v>
      </c>
      <c r="GP18" s="1131">
        <v>1504.8</v>
      </c>
      <c r="GQ18" s="1131">
        <v>1520.9</v>
      </c>
      <c r="GR18" s="1131">
        <v>1547.4</v>
      </c>
      <c r="GS18" s="1131">
        <v>1556.3</v>
      </c>
      <c r="GT18" s="1131">
        <v>1577.1</v>
      </c>
      <c r="GU18" s="1131">
        <v>1460.5</v>
      </c>
      <c r="GV18" s="1131">
        <v>1544</v>
      </c>
      <c r="GW18" s="1131">
        <v>1557</v>
      </c>
      <c r="GX18" s="1131">
        <v>1580.1</v>
      </c>
      <c r="GY18" s="1131">
        <v>1636.3</v>
      </c>
    </row>
    <row r="19" spans="1:207" x14ac:dyDescent="0.35">
      <c r="A19" s="1131" t="s">
        <v>216</v>
      </c>
      <c r="B19" s="1131">
        <v>30.7</v>
      </c>
      <c r="C19" s="1131">
        <v>30.8</v>
      </c>
      <c r="D19" s="1131">
        <v>31.7</v>
      </c>
      <c r="E19" s="1131">
        <v>30.2</v>
      </c>
      <c r="F19" s="1131">
        <v>34</v>
      </c>
      <c r="G19" s="1131">
        <v>34.9</v>
      </c>
      <c r="H19" s="1131">
        <v>34.1</v>
      </c>
      <c r="I19" s="1131">
        <v>34.6</v>
      </c>
      <c r="J19" s="1131">
        <v>36.799999999999997</v>
      </c>
      <c r="K19" s="1131">
        <v>37.1</v>
      </c>
      <c r="L19" s="1131">
        <v>38.299999999999997</v>
      </c>
      <c r="M19" s="1131">
        <v>42.4</v>
      </c>
      <c r="N19" s="1131">
        <v>45.3</v>
      </c>
      <c r="O19" s="1131">
        <v>45.4</v>
      </c>
      <c r="P19" s="1131">
        <v>43.4</v>
      </c>
      <c r="Q19" s="1131">
        <v>45.6</v>
      </c>
      <c r="R19" s="1131">
        <v>43.7</v>
      </c>
      <c r="S19" s="1131">
        <v>45.9</v>
      </c>
      <c r="T19" s="1131">
        <v>50.8</v>
      </c>
      <c r="U19" s="1131">
        <v>44.6</v>
      </c>
      <c r="V19" s="1131">
        <v>37.6</v>
      </c>
      <c r="W19" s="1131">
        <v>40.799999999999997</v>
      </c>
      <c r="X19" s="1131">
        <v>51.4</v>
      </c>
      <c r="Y19" s="1131">
        <v>52.3</v>
      </c>
      <c r="Z19" s="1131">
        <v>59.6</v>
      </c>
      <c r="AA19" s="1131">
        <v>58.6</v>
      </c>
      <c r="AB19" s="1131">
        <v>58.1</v>
      </c>
      <c r="AC19" s="1131">
        <v>57.1</v>
      </c>
      <c r="AD19" s="1131">
        <v>61.5</v>
      </c>
      <c r="AE19" s="1131">
        <v>67.099999999999994</v>
      </c>
      <c r="AF19" s="1131">
        <v>69.7</v>
      </c>
      <c r="AG19" s="1131">
        <v>70.099999999999994</v>
      </c>
      <c r="AH19" s="1131">
        <v>65</v>
      </c>
      <c r="AI19" s="1131">
        <v>78.599999999999994</v>
      </c>
      <c r="AJ19" s="1131">
        <v>79.099999999999994</v>
      </c>
      <c r="AK19" s="1131">
        <v>83.3</v>
      </c>
      <c r="AL19" s="1131">
        <v>80.3</v>
      </c>
      <c r="AM19" s="1131">
        <v>80.3</v>
      </c>
      <c r="AN19" s="1131">
        <v>78.900000000000006</v>
      </c>
      <c r="AO19" s="1131">
        <v>75.3</v>
      </c>
      <c r="AP19" s="1131">
        <v>83.1</v>
      </c>
      <c r="AQ19" s="1131">
        <v>62.6</v>
      </c>
      <c r="AR19" s="1131">
        <v>69.900000000000006</v>
      </c>
      <c r="AS19" s="1131">
        <v>76.8</v>
      </c>
      <c r="AT19" s="1131">
        <v>75.400000000000006</v>
      </c>
      <c r="AU19" s="1131">
        <v>65.900000000000006</v>
      </c>
      <c r="AV19" s="1131">
        <v>68.400000000000006</v>
      </c>
      <c r="AW19" s="1131">
        <v>58.9</v>
      </c>
      <c r="AX19" s="1131">
        <v>47.6</v>
      </c>
      <c r="AY19" s="1131">
        <v>49</v>
      </c>
      <c r="AZ19" s="1131">
        <v>49.8</v>
      </c>
      <c r="BA19" s="1131">
        <v>45.1</v>
      </c>
      <c r="BB19" s="1131">
        <v>47.1</v>
      </c>
      <c r="BC19" s="1131">
        <v>61.9</v>
      </c>
      <c r="BD19" s="1131">
        <v>70.7</v>
      </c>
      <c r="BE19" s="1131">
        <v>72.400000000000006</v>
      </c>
      <c r="BF19" s="1131">
        <v>84.9</v>
      </c>
      <c r="BG19" s="1131">
        <v>83.7</v>
      </c>
      <c r="BH19" s="1131">
        <v>71.3</v>
      </c>
      <c r="BI19" s="1131">
        <v>72.099999999999994</v>
      </c>
      <c r="BJ19" s="1131">
        <v>77.7</v>
      </c>
      <c r="BK19" s="1131">
        <v>76</v>
      </c>
      <c r="BL19" s="1131">
        <v>81.7</v>
      </c>
      <c r="BM19" s="1131">
        <v>79.5</v>
      </c>
      <c r="BN19" s="1131">
        <v>84.4</v>
      </c>
      <c r="BO19" s="1131">
        <v>85.5</v>
      </c>
      <c r="BP19" s="1131">
        <v>86.9</v>
      </c>
      <c r="BQ19" s="1131">
        <v>97.9</v>
      </c>
      <c r="BR19" s="1131">
        <v>98.7</v>
      </c>
      <c r="BS19" s="1131">
        <v>111.8</v>
      </c>
      <c r="BT19" s="1131">
        <v>116.2</v>
      </c>
      <c r="BU19" s="1131">
        <v>110.7</v>
      </c>
      <c r="BV19" s="1131">
        <v>108</v>
      </c>
      <c r="BW19" s="1131">
        <v>115.3</v>
      </c>
      <c r="BX19" s="1131">
        <v>125.1</v>
      </c>
      <c r="BY19" s="1131">
        <v>130.9</v>
      </c>
      <c r="BZ19" s="1131">
        <v>132.69999999999999</v>
      </c>
      <c r="CA19" s="1131">
        <v>118.7</v>
      </c>
      <c r="CB19" s="1131">
        <v>114.4</v>
      </c>
      <c r="CC19" s="1131">
        <v>113.5</v>
      </c>
      <c r="CD19" s="1131">
        <v>112.5</v>
      </c>
      <c r="CE19" s="1131">
        <v>116.8</v>
      </c>
      <c r="CF19" s="1131">
        <v>119.9</v>
      </c>
      <c r="CG19" s="1131">
        <v>118.8</v>
      </c>
      <c r="CH19" s="1131">
        <v>115.3</v>
      </c>
      <c r="CI19" s="1131">
        <v>110.9</v>
      </c>
      <c r="CJ19" s="1131">
        <v>111.9</v>
      </c>
      <c r="CK19" s="1131">
        <v>113.1</v>
      </c>
      <c r="CL19" s="1131">
        <v>125</v>
      </c>
      <c r="CM19" s="1131">
        <v>126.8</v>
      </c>
      <c r="CN19" s="1131">
        <v>122.1</v>
      </c>
      <c r="CO19" s="1131">
        <v>131.6</v>
      </c>
      <c r="CP19" s="1131">
        <v>136.4</v>
      </c>
      <c r="CQ19" s="1131">
        <v>148.69999999999999</v>
      </c>
      <c r="CR19" s="1131">
        <v>140.69999999999999</v>
      </c>
      <c r="CS19" s="1131">
        <v>171.9</v>
      </c>
      <c r="CT19" s="1131">
        <v>149.5</v>
      </c>
      <c r="CU19" s="1131">
        <v>158</v>
      </c>
      <c r="CV19" s="1131">
        <v>173.8</v>
      </c>
      <c r="CW19" s="1131">
        <v>183.6</v>
      </c>
      <c r="CX19" s="1131">
        <v>187.8</v>
      </c>
      <c r="CY19" s="1131">
        <v>184.4</v>
      </c>
      <c r="CZ19" s="1131">
        <v>191</v>
      </c>
      <c r="DA19" s="1131">
        <v>187.1</v>
      </c>
      <c r="DB19" s="1131">
        <v>194.3</v>
      </c>
      <c r="DC19" s="1131">
        <v>205.5</v>
      </c>
      <c r="DD19" s="1131">
        <v>205.9</v>
      </c>
      <c r="DE19" s="1131">
        <v>208.6</v>
      </c>
      <c r="DF19" s="1131">
        <v>210</v>
      </c>
      <c r="DG19" s="1131">
        <v>214</v>
      </c>
      <c r="DH19" s="1131">
        <v>226</v>
      </c>
      <c r="DI19" s="1131">
        <v>215.9</v>
      </c>
      <c r="DJ19" s="1131">
        <v>213.5</v>
      </c>
      <c r="DK19" s="1131">
        <v>209.9</v>
      </c>
      <c r="DL19" s="1131">
        <v>215.8</v>
      </c>
      <c r="DM19" s="1131">
        <v>211.3</v>
      </c>
      <c r="DN19" s="1131">
        <v>222.3</v>
      </c>
      <c r="DO19" s="1131">
        <v>219.9</v>
      </c>
      <c r="DP19" s="1131">
        <v>223.3</v>
      </c>
      <c r="DQ19" s="1131">
        <v>228</v>
      </c>
      <c r="DR19" s="1131">
        <v>239.4</v>
      </c>
      <c r="DS19" s="1131">
        <v>237.6</v>
      </c>
      <c r="DT19" s="1131">
        <v>219</v>
      </c>
      <c r="DU19" s="1131">
        <v>221.3</v>
      </c>
      <c r="DV19" s="1131">
        <v>185.1</v>
      </c>
      <c r="DW19" s="1131">
        <v>179</v>
      </c>
      <c r="DX19" s="1131">
        <v>159.30000000000001</v>
      </c>
      <c r="DY19" s="1131">
        <v>142.4</v>
      </c>
      <c r="DZ19" s="1131">
        <v>143.80000000000001</v>
      </c>
      <c r="EA19" s="1131">
        <v>150</v>
      </c>
      <c r="EB19" s="1131">
        <v>158</v>
      </c>
      <c r="EC19" s="1131">
        <v>175.5</v>
      </c>
      <c r="ED19" s="1131">
        <v>196.1</v>
      </c>
      <c r="EE19" s="1131">
        <v>192.6</v>
      </c>
      <c r="EF19" s="1131">
        <v>213.9</v>
      </c>
      <c r="EG19" s="1131">
        <v>236.6</v>
      </c>
      <c r="EH19" s="1131">
        <v>247</v>
      </c>
      <c r="EI19" s="1131">
        <v>266.8</v>
      </c>
      <c r="EJ19" s="1131">
        <v>288.3</v>
      </c>
      <c r="EK19" s="1131">
        <v>293.60000000000002</v>
      </c>
      <c r="EL19" s="1131">
        <v>370.6</v>
      </c>
      <c r="EM19" s="1131">
        <v>359</v>
      </c>
      <c r="EN19" s="1131">
        <v>365.2</v>
      </c>
      <c r="EO19" s="1131">
        <v>402.9</v>
      </c>
      <c r="EP19" s="1131">
        <v>416.9</v>
      </c>
      <c r="EQ19" s="1131">
        <v>427.6</v>
      </c>
      <c r="ER19" s="1131">
        <v>446.6</v>
      </c>
      <c r="ES19" s="1131">
        <v>409.8</v>
      </c>
      <c r="ET19" s="1131">
        <v>413.6</v>
      </c>
      <c r="EU19" s="1131">
        <v>407.2</v>
      </c>
      <c r="EV19" s="1131">
        <v>370.9</v>
      </c>
      <c r="EW19" s="1131">
        <v>352.7</v>
      </c>
      <c r="EX19" s="1131">
        <v>291.89999999999998</v>
      </c>
      <c r="EY19" s="1131">
        <v>278.7</v>
      </c>
      <c r="EZ19" s="1131">
        <v>264.39999999999998</v>
      </c>
      <c r="FA19" s="1131">
        <v>162.6</v>
      </c>
      <c r="FB19" s="1131">
        <v>166.5</v>
      </c>
      <c r="FC19" s="1131">
        <v>188.6</v>
      </c>
      <c r="FD19" s="1131">
        <v>200.7</v>
      </c>
      <c r="FE19" s="1131">
        <v>234.2</v>
      </c>
      <c r="FF19" s="1131">
        <v>249.8</v>
      </c>
      <c r="FG19" s="1131">
        <v>255.6</v>
      </c>
      <c r="FH19" s="1131">
        <v>272.60000000000002</v>
      </c>
      <c r="FI19" s="1131">
        <v>284</v>
      </c>
      <c r="FJ19" s="1131">
        <v>277.3</v>
      </c>
      <c r="FK19" s="1131">
        <v>276.89999999999998</v>
      </c>
      <c r="FL19" s="1131">
        <v>248.2</v>
      </c>
      <c r="FM19" s="1131">
        <v>287</v>
      </c>
      <c r="FN19" s="1131">
        <v>310.7</v>
      </c>
      <c r="FO19" s="1131">
        <v>325</v>
      </c>
      <c r="FP19" s="1131">
        <v>332.9</v>
      </c>
      <c r="FQ19" s="1131">
        <v>332.8</v>
      </c>
      <c r="FR19" s="1131">
        <v>350.8</v>
      </c>
      <c r="FS19" s="1131">
        <v>347.3</v>
      </c>
      <c r="FT19" s="1131">
        <v>354.3</v>
      </c>
      <c r="FU19" s="1131">
        <v>356.9</v>
      </c>
      <c r="FV19" s="1131">
        <v>392.8</v>
      </c>
      <c r="FW19" s="1131">
        <v>415.1</v>
      </c>
      <c r="FX19" s="1131">
        <v>387.1</v>
      </c>
      <c r="FY19" s="1131">
        <v>389.8</v>
      </c>
      <c r="FZ19" s="1131">
        <v>403.5</v>
      </c>
      <c r="GA19" s="1131">
        <v>408.5</v>
      </c>
      <c r="GB19" s="1131">
        <v>379.6</v>
      </c>
      <c r="GC19" s="1131">
        <v>349.7</v>
      </c>
      <c r="GD19" s="1131">
        <v>364.6</v>
      </c>
      <c r="GE19" s="1131">
        <v>367.7</v>
      </c>
      <c r="GF19" s="1131">
        <v>374.8</v>
      </c>
      <c r="GG19" s="1131">
        <v>353.8</v>
      </c>
      <c r="GH19" s="1131">
        <v>288.60000000000002</v>
      </c>
      <c r="GI19" s="1131">
        <v>295.2</v>
      </c>
      <c r="GJ19" s="1131">
        <v>309.8</v>
      </c>
      <c r="GK19" s="1131">
        <v>306.39999999999998</v>
      </c>
      <c r="GL19" s="1131">
        <v>244.8</v>
      </c>
      <c r="GM19" s="1131">
        <v>270.5</v>
      </c>
      <c r="GN19" s="1131">
        <v>275</v>
      </c>
      <c r="GO19" s="1131">
        <v>286.8</v>
      </c>
      <c r="GP19" s="1131">
        <v>284.39999999999998</v>
      </c>
      <c r="GQ19" s="1131">
        <v>291.7</v>
      </c>
      <c r="GR19" s="1131">
        <v>279.60000000000002</v>
      </c>
      <c r="GS19" s="1131">
        <v>303.89999999999998</v>
      </c>
      <c r="GT19" s="1131">
        <v>233.3</v>
      </c>
      <c r="GU19" s="1131">
        <v>229.3</v>
      </c>
      <c r="GV19" s="1131">
        <v>288.5</v>
      </c>
      <c r="GW19" s="1131">
        <v>304</v>
      </c>
      <c r="GX19" s="1131">
        <v>331.9</v>
      </c>
      <c r="GY19" s="1131">
        <v>366.9</v>
      </c>
    </row>
    <row r="20" spans="1:207" x14ac:dyDescent="0.35">
      <c r="A20" s="1131" t="s">
        <v>217</v>
      </c>
      <c r="B20" s="1131">
        <v>247.9</v>
      </c>
      <c r="C20" s="1131">
        <v>249.1</v>
      </c>
      <c r="D20" s="1131">
        <v>254.6</v>
      </c>
      <c r="E20" s="1131">
        <v>258.7</v>
      </c>
      <c r="F20" s="1131">
        <v>261.89999999999998</v>
      </c>
      <c r="G20" s="1131">
        <v>266.10000000000002</v>
      </c>
      <c r="H20" s="1131">
        <v>269.8</v>
      </c>
      <c r="I20" s="1131">
        <v>272.10000000000002</v>
      </c>
      <c r="J20" s="1131">
        <v>282.2</v>
      </c>
      <c r="K20" s="1131">
        <v>286.5</v>
      </c>
      <c r="L20" s="1131">
        <v>284.3</v>
      </c>
      <c r="M20" s="1131">
        <v>291.7</v>
      </c>
      <c r="N20" s="1131">
        <v>299.60000000000002</v>
      </c>
      <c r="O20" s="1131">
        <v>302.7</v>
      </c>
      <c r="P20" s="1131">
        <v>304.2</v>
      </c>
      <c r="Q20" s="1131">
        <v>312.60000000000002</v>
      </c>
      <c r="R20" s="1131">
        <v>324.60000000000002</v>
      </c>
      <c r="S20" s="1131">
        <v>335</v>
      </c>
      <c r="T20" s="1131">
        <v>346.7</v>
      </c>
      <c r="U20" s="1131">
        <v>359.2</v>
      </c>
      <c r="V20" s="1131">
        <v>370.1</v>
      </c>
      <c r="W20" s="1131">
        <v>373.4</v>
      </c>
      <c r="X20" s="1131">
        <v>385.4</v>
      </c>
      <c r="Y20" s="1131">
        <v>395.6</v>
      </c>
      <c r="Z20" s="1131">
        <v>401.3</v>
      </c>
      <c r="AA20" s="1131">
        <v>401</v>
      </c>
      <c r="AB20" s="1131">
        <v>403.5</v>
      </c>
      <c r="AC20" s="1131">
        <v>410.8</v>
      </c>
      <c r="AD20" s="1131">
        <v>421.2</v>
      </c>
      <c r="AE20" s="1131">
        <v>431.4</v>
      </c>
      <c r="AF20" s="1131">
        <v>438</v>
      </c>
      <c r="AG20" s="1131">
        <v>446.7</v>
      </c>
      <c r="AH20" s="1131">
        <v>452.6</v>
      </c>
      <c r="AI20" s="1131">
        <v>472.3</v>
      </c>
      <c r="AJ20" s="1131">
        <v>484.2</v>
      </c>
      <c r="AK20" s="1131">
        <v>496.2</v>
      </c>
      <c r="AL20" s="1131">
        <v>501.8</v>
      </c>
      <c r="AM20" s="1131">
        <v>516.5</v>
      </c>
      <c r="AN20" s="1131">
        <v>533.1</v>
      </c>
      <c r="AO20" s="1131">
        <v>547.79999999999995</v>
      </c>
      <c r="AP20" s="1131">
        <v>568.79999999999995</v>
      </c>
      <c r="AQ20" s="1131">
        <v>588.5</v>
      </c>
      <c r="AR20" s="1131">
        <v>592.20000000000005</v>
      </c>
      <c r="AS20" s="1131">
        <v>608.9</v>
      </c>
      <c r="AT20" s="1131">
        <v>633.4</v>
      </c>
      <c r="AU20" s="1131">
        <v>648.70000000000005</v>
      </c>
      <c r="AV20" s="1131">
        <v>657.8</v>
      </c>
      <c r="AW20" s="1131">
        <v>677.7</v>
      </c>
      <c r="AX20" s="1131">
        <v>688.1</v>
      </c>
      <c r="AY20" s="1131">
        <v>703.1</v>
      </c>
      <c r="AZ20" s="1131">
        <v>717.3</v>
      </c>
      <c r="BA20" s="1131">
        <v>737.4</v>
      </c>
      <c r="BB20" s="1131">
        <v>747.9</v>
      </c>
      <c r="BC20" s="1131">
        <v>761.1</v>
      </c>
      <c r="BD20" s="1131">
        <v>782.2</v>
      </c>
      <c r="BE20" s="1131">
        <v>775.1</v>
      </c>
      <c r="BF20" s="1131">
        <v>794</v>
      </c>
      <c r="BG20" s="1131">
        <v>819.1</v>
      </c>
      <c r="BH20" s="1131">
        <v>835.7</v>
      </c>
      <c r="BI20" s="1131">
        <v>862.8</v>
      </c>
      <c r="BJ20" s="1131">
        <v>875.6</v>
      </c>
      <c r="BK20" s="1131">
        <v>900.5</v>
      </c>
      <c r="BL20" s="1131">
        <v>927.4</v>
      </c>
      <c r="BM20" s="1131">
        <v>938.6</v>
      </c>
      <c r="BN20" s="1131">
        <v>946.8</v>
      </c>
      <c r="BO20" s="1131">
        <v>967.5</v>
      </c>
      <c r="BP20" s="1131">
        <v>993.6</v>
      </c>
      <c r="BQ20" s="1131">
        <v>996.4</v>
      </c>
      <c r="BR20" s="1131">
        <v>1008.7</v>
      </c>
      <c r="BS20" s="1131">
        <v>1025.2</v>
      </c>
      <c r="BT20" s="1131">
        <v>1036.2</v>
      </c>
      <c r="BU20" s="1131">
        <v>1056</v>
      </c>
      <c r="BV20" s="1131">
        <v>1056.9000000000001</v>
      </c>
      <c r="BW20" s="1131">
        <v>1070.4000000000001</v>
      </c>
      <c r="BX20" s="1131">
        <v>1078.2</v>
      </c>
      <c r="BY20" s="1131">
        <v>1109.9000000000001</v>
      </c>
      <c r="BZ20" s="1131">
        <v>1116.5999999999999</v>
      </c>
      <c r="CA20" s="1131">
        <v>1145.8</v>
      </c>
      <c r="CB20" s="1131">
        <v>1164.5999999999999</v>
      </c>
      <c r="CC20" s="1131">
        <v>1180.5</v>
      </c>
      <c r="CD20" s="1131">
        <v>1212.5</v>
      </c>
      <c r="CE20" s="1131">
        <v>1230.7</v>
      </c>
      <c r="CF20" s="1131">
        <v>1242.5999999999999</v>
      </c>
      <c r="CG20" s="1131">
        <v>1268.5</v>
      </c>
      <c r="CH20" s="1131">
        <v>1284.2</v>
      </c>
      <c r="CI20" s="1131">
        <v>1296.5999999999999</v>
      </c>
      <c r="CJ20" s="1131">
        <v>1306.3</v>
      </c>
      <c r="CK20" s="1131">
        <v>1308.8</v>
      </c>
      <c r="CL20" s="1131">
        <v>1326.4</v>
      </c>
      <c r="CM20" s="1131">
        <v>1334.8</v>
      </c>
      <c r="CN20" s="1131">
        <v>1354</v>
      </c>
      <c r="CO20" s="1131">
        <v>1362.8</v>
      </c>
      <c r="CP20" s="1131">
        <v>1351.8</v>
      </c>
      <c r="CQ20" s="1131">
        <v>1359.1</v>
      </c>
      <c r="CR20" s="1131">
        <v>1367.4</v>
      </c>
      <c r="CS20" s="1131">
        <v>1381.4</v>
      </c>
      <c r="CT20" s="1131">
        <v>1373.4</v>
      </c>
      <c r="CU20" s="1131">
        <v>1389.4</v>
      </c>
      <c r="CV20" s="1131">
        <v>1423.4</v>
      </c>
      <c r="CW20" s="1131">
        <v>1422.9</v>
      </c>
      <c r="CX20" s="1131">
        <v>1437.6</v>
      </c>
      <c r="CY20" s="1131">
        <v>1452.9</v>
      </c>
      <c r="CZ20" s="1131">
        <v>1455.7</v>
      </c>
      <c r="DA20" s="1131">
        <v>1451.6</v>
      </c>
      <c r="DB20" s="1131">
        <v>1471.3</v>
      </c>
      <c r="DC20" s="1131">
        <v>1487.7</v>
      </c>
      <c r="DD20" s="1131">
        <v>1496.7</v>
      </c>
      <c r="DE20" s="1131">
        <v>1515.7</v>
      </c>
      <c r="DF20" s="1131">
        <v>1516</v>
      </c>
      <c r="DG20" s="1131">
        <v>1542.5</v>
      </c>
      <c r="DH20" s="1131">
        <v>1555.2</v>
      </c>
      <c r="DI20" s="1131">
        <v>1574.8</v>
      </c>
      <c r="DJ20" s="1131">
        <v>1568</v>
      </c>
      <c r="DK20" s="1131">
        <v>1603.7</v>
      </c>
      <c r="DL20" s="1131">
        <v>1627.3</v>
      </c>
      <c r="DM20" s="1131">
        <v>1647.5</v>
      </c>
      <c r="DN20" s="1131">
        <v>1669.1</v>
      </c>
      <c r="DO20" s="1131">
        <v>1694.8</v>
      </c>
      <c r="DP20" s="1131">
        <v>1734</v>
      </c>
      <c r="DQ20" s="1131">
        <v>1781.7</v>
      </c>
      <c r="DR20" s="1131">
        <v>1789.9</v>
      </c>
      <c r="DS20" s="1131">
        <v>1822.5</v>
      </c>
      <c r="DT20" s="1131">
        <v>1832.1</v>
      </c>
      <c r="DU20" s="1131">
        <v>1861.3</v>
      </c>
      <c r="DV20" s="1131">
        <v>1906.3</v>
      </c>
      <c r="DW20" s="1131">
        <v>1947.7</v>
      </c>
      <c r="DX20" s="1131">
        <v>1953.4</v>
      </c>
      <c r="DY20" s="1131">
        <v>1992.7</v>
      </c>
      <c r="DZ20" s="1131">
        <v>2040</v>
      </c>
      <c r="EA20" s="1131">
        <v>2074.5</v>
      </c>
      <c r="EB20" s="1131">
        <v>2101.3000000000002</v>
      </c>
      <c r="EC20" s="1131">
        <v>2142.1999999999998</v>
      </c>
      <c r="ED20" s="1131">
        <v>2172</v>
      </c>
      <c r="EE20" s="1131">
        <v>2198.8000000000002</v>
      </c>
      <c r="EF20" s="1131">
        <v>2220.4</v>
      </c>
      <c r="EG20" s="1131">
        <v>2251.1999999999998</v>
      </c>
      <c r="EH20" s="1131">
        <v>2286.6</v>
      </c>
      <c r="EI20" s="1131">
        <v>2320.6999999999998</v>
      </c>
      <c r="EJ20" s="1131">
        <v>2356.4</v>
      </c>
      <c r="EK20" s="1131">
        <v>2388.8000000000002</v>
      </c>
      <c r="EL20" s="1131">
        <v>2426.1</v>
      </c>
      <c r="EM20" s="1131">
        <v>2452.1999999999998</v>
      </c>
      <c r="EN20" s="1131">
        <v>2494.4</v>
      </c>
      <c r="EO20" s="1131">
        <v>2528.4</v>
      </c>
      <c r="EP20" s="1131">
        <v>2580.1</v>
      </c>
      <c r="EQ20" s="1131">
        <v>2610.6</v>
      </c>
      <c r="ER20" s="1131">
        <v>2630.3</v>
      </c>
      <c r="ES20" s="1131">
        <v>2674.5</v>
      </c>
      <c r="ET20" s="1131">
        <v>2718.5</v>
      </c>
      <c r="EU20" s="1131">
        <v>2770</v>
      </c>
      <c r="EV20" s="1131">
        <v>2808.7</v>
      </c>
      <c r="EW20" s="1131">
        <v>2865.1</v>
      </c>
      <c r="EX20" s="1131">
        <v>2909.6</v>
      </c>
      <c r="EY20" s="1131">
        <v>2971.6</v>
      </c>
      <c r="EZ20" s="1131">
        <v>3029</v>
      </c>
      <c r="FA20" s="1131">
        <v>3021.8</v>
      </c>
      <c r="FB20" s="1131">
        <v>3022</v>
      </c>
      <c r="FC20" s="1131">
        <v>3070.5</v>
      </c>
      <c r="FD20" s="1131">
        <v>3092.1</v>
      </c>
      <c r="FE20" s="1131">
        <v>3120.8</v>
      </c>
      <c r="FF20" s="1131">
        <v>3133.8</v>
      </c>
      <c r="FG20" s="1131">
        <v>3165.8</v>
      </c>
      <c r="FH20" s="1131">
        <v>3158.3</v>
      </c>
      <c r="FI20" s="1131">
        <v>3164.3</v>
      </c>
      <c r="FJ20" s="1131">
        <v>3155.8</v>
      </c>
      <c r="FK20" s="1131">
        <v>3168.3</v>
      </c>
      <c r="FL20" s="1131">
        <v>3136.9</v>
      </c>
      <c r="FM20" s="1131">
        <v>3130.8</v>
      </c>
      <c r="FN20" s="1131">
        <v>3144</v>
      </c>
      <c r="FO20" s="1131">
        <v>3130.5</v>
      </c>
      <c r="FP20" s="1131">
        <v>3139.1</v>
      </c>
      <c r="FQ20" s="1131">
        <v>3132.3</v>
      </c>
      <c r="FR20" s="1131">
        <v>3125.4</v>
      </c>
      <c r="FS20" s="1131">
        <v>3132.6</v>
      </c>
      <c r="FT20" s="1131">
        <v>3134.8</v>
      </c>
      <c r="FU20" s="1131">
        <v>3139.3</v>
      </c>
      <c r="FV20" s="1131">
        <v>3138.2</v>
      </c>
      <c r="FW20" s="1131">
        <v>3154.1</v>
      </c>
      <c r="FX20" s="1131">
        <v>3191.8</v>
      </c>
      <c r="FY20" s="1131">
        <v>3191.2</v>
      </c>
      <c r="FZ20" s="1131">
        <v>3189.3</v>
      </c>
      <c r="GA20" s="1131">
        <v>3232</v>
      </c>
      <c r="GB20" s="1131">
        <v>3250.6</v>
      </c>
      <c r="GC20" s="1131">
        <v>3254.5</v>
      </c>
      <c r="GD20" s="1131">
        <v>3270.2</v>
      </c>
      <c r="GE20" s="1131">
        <v>3287.4</v>
      </c>
      <c r="GF20" s="1131">
        <v>3315.8</v>
      </c>
      <c r="GG20" s="1131">
        <v>3338.8</v>
      </c>
      <c r="GH20" s="1131">
        <v>3357.3</v>
      </c>
      <c r="GI20" s="1131">
        <v>3378.2</v>
      </c>
      <c r="GJ20" s="1131">
        <v>3400.8</v>
      </c>
      <c r="GK20" s="1131">
        <v>3459.9</v>
      </c>
      <c r="GL20" s="1131">
        <v>3505.5</v>
      </c>
      <c r="GM20" s="1131">
        <v>3564.3</v>
      </c>
      <c r="GN20" s="1131">
        <v>3600.9</v>
      </c>
      <c r="GO20" s="1131">
        <v>3617.4</v>
      </c>
      <c r="GP20" s="1131">
        <v>3650.5</v>
      </c>
      <c r="GQ20" s="1131">
        <v>3702.9</v>
      </c>
      <c r="GR20" s="1131">
        <v>3731.3</v>
      </c>
      <c r="GS20" s="1131">
        <v>3771</v>
      </c>
      <c r="GT20" s="1131">
        <v>3831.6</v>
      </c>
      <c r="GU20" s="1131">
        <v>3859.6</v>
      </c>
      <c r="GV20" s="1131">
        <v>3861.7</v>
      </c>
      <c r="GW20" s="1131">
        <v>3885.3</v>
      </c>
      <c r="GX20" s="1131">
        <v>3977.3</v>
      </c>
      <c r="GY20" s="1131">
        <v>4015.9</v>
      </c>
    </row>
    <row r="21" spans="1:207" x14ac:dyDescent="0.35">
      <c r="A21" s="1131" t="s">
        <v>218</v>
      </c>
      <c r="B21" s="1131">
        <v>46.2</v>
      </c>
      <c r="C21" s="1131">
        <v>46.5</v>
      </c>
      <c r="D21" s="1131">
        <v>46.9</v>
      </c>
      <c r="E21" s="1131">
        <v>46.7</v>
      </c>
      <c r="F21" s="1131">
        <v>50.8</v>
      </c>
      <c r="G21" s="1131">
        <v>51.4</v>
      </c>
      <c r="H21" s="1131">
        <v>51.6</v>
      </c>
      <c r="I21" s="1131">
        <v>52.2</v>
      </c>
      <c r="J21" s="1131">
        <v>58.5</v>
      </c>
      <c r="K21" s="1131">
        <v>59.2</v>
      </c>
      <c r="L21" s="1131">
        <v>59.9</v>
      </c>
      <c r="M21" s="1131">
        <v>60.8</v>
      </c>
      <c r="N21" s="1131">
        <v>74.099999999999994</v>
      </c>
      <c r="O21" s="1131">
        <v>75.3</v>
      </c>
      <c r="P21" s="1131">
        <v>76.599999999999994</v>
      </c>
      <c r="Q21" s="1131">
        <v>78.099999999999994</v>
      </c>
      <c r="R21" s="1131">
        <v>83.7</v>
      </c>
      <c r="S21" s="1131">
        <v>85.3</v>
      </c>
      <c r="T21" s="1131">
        <v>86.9</v>
      </c>
      <c r="U21" s="1131">
        <v>87.1</v>
      </c>
      <c r="V21" s="1131">
        <v>88.2</v>
      </c>
      <c r="W21" s="1131">
        <v>88.6</v>
      </c>
      <c r="X21" s="1131">
        <v>90.3</v>
      </c>
      <c r="Y21" s="1131">
        <v>92.4</v>
      </c>
      <c r="Z21" s="1131">
        <v>99.6</v>
      </c>
      <c r="AA21" s="1131">
        <v>101.1</v>
      </c>
      <c r="AB21" s="1131">
        <v>102.8</v>
      </c>
      <c r="AC21" s="1131">
        <v>104.4</v>
      </c>
      <c r="AD21" s="1131">
        <v>110</v>
      </c>
      <c r="AE21" s="1131">
        <v>112.8</v>
      </c>
      <c r="AF21" s="1131">
        <v>115.1</v>
      </c>
      <c r="AG21" s="1131">
        <v>117.5</v>
      </c>
      <c r="AH21" s="1131">
        <v>124.7</v>
      </c>
      <c r="AI21" s="1131">
        <v>129.9</v>
      </c>
      <c r="AJ21" s="1131">
        <v>134.19999999999999</v>
      </c>
      <c r="AK21" s="1131">
        <v>139.6</v>
      </c>
      <c r="AL21" s="1131">
        <v>146.9</v>
      </c>
      <c r="AM21" s="1131">
        <v>151.19999999999999</v>
      </c>
      <c r="AN21" s="1131">
        <v>156.30000000000001</v>
      </c>
      <c r="AO21" s="1131">
        <v>160.30000000000001</v>
      </c>
      <c r="AP21" s="1131">
        <v>162.9</v>
      </c>
      <c r="AQ21" s="1131">
        <v>163.9</v>
      </c>
      <c r="AR21" s="1131">
        <v>168</v>
      </c>
      <c r="AS21" s="1131">
        <v>174</v>
      </c>
      <c r="AT21" s="1131">
        <v>191</v>
      </c>
      <c r="AU21" s="1131">
        <v>194.8</v>
      </c>
      <c r="AV21" s="1131">
        <v>199.5</v>
      </c>
      <c r="AW21" s="1131">
        <v>202.2</v>
      </c>
      <c r="AX21" s="1131">
        <v>207.2</v>
      </c>
      <c r="AY21" s="1131">
        <v>209.2</v>
      </c>
      <c r="AZ21" s="1131">
        <v>211.5</v>
      </c>
      <c r="BA21" s="1131">
        <v>212.4</v>
      </c>
      <c r="BB21" s="1131">
        <v>220.2</v>
      </c>
      <c r="BC21" s="1131">
        <v>224.2</v>
      </c>
      <c r="BD21" s="1131">
        <v>228.9</v>
      </c>
      <c r="BE21" s="1131">
        <v>235.5</v>
      </c>
      <c r="BF21" s="1131">
        <v>250.8</v>
      </c>
      <c r="BG21" s="1131">
        <v>256.8</v>
      </c>
      <c r="BH21" s="1131">
        <v>261.8</v>
      </c>
      <c r="BI21" s="1131">
        <v>265.8</v>
      </c>
      <c r="BJ21" s="1131">
        <v>275.7</v>
      </c>
      <c r="BK21" s="1131">
        <v>279.8</v>
      </c>
      <c r="BL21" s="1131">
        <v>284.60000000000002</v>
      </c>
      <c r="BM21" s="1131">
        <v>291.10000000000002</v>
      </c>
      <c r="BN21" s="1131">
        <v>298.2</v>
      </c>
      <c r="BO21" s="1131">
        <v>301.89999999999998</v>
      </c>
      <c r="BP21" s="1131">
        <v>306.89999999999998</v>
      </c>
      <c r="BQ21" s="1131">
        <v>312.60000000000002</v>
      </c>
      <c r="BR21" s="1131">
        <v>317.39999999999998</v>
      </c>
      <c r="BS21" s="1131">
        <v>321.5</v>
      </c>
      <c r="BT21" s="1131">
        <v>326.3</v>
      </c>
      <c r="BU21" s="1131">
        <v>333.3</v>
      </c>
      <c r="BV21" s="1131">
        <v>352.7</v>
      </c>
      <c r="BW21" s="1131">
        <v>360</v>
      </c>
      <c r="BX21" s="1131">
        <v>366.2</v>
      </c>
      <c r="BY21" s="1131">
        <v>373.7</v>
      </c>
      <c r="BZ21" s="1131">
        <v>379.7</v>
      </c>
      <c r="CA21" s="1131">
        <v>384.3</v>
      </c>
      <c r="CB21" s="1131">
        <v>388.9</v>
      </c>
      <c r="CC21" s="1131">
        <v>394.9</v>
      </c>
      <c r="CD21" s="1131">
        <v>403.5</v>
      </c>
      <c r="CE21" s="1131">
        <v>408.8</v>
      </c>
      <c r="CF21" s="1131">
        <v>416.6</v>
      </c>
      <c r="CG21" s="1131">
        <v>419.4</v>
      </c>
      <c r="CH21" s="1131">
        <v>423</v>
      </c>
      <c r="CI21" s="1131">
        <v>429.7</v>
      </c>
      <c r="CJ21" s="1131">
        <v>435.6</v>
      </c>
      <c r="CK21" s="1131">
        <v>440.6</v>
      </c>
      <c r="CL21" s="1131">
        <v>452.5</v>
      </c>
      <c r="CM21" s="1131">
        <v>458.1</v>
      </c>
      <c r="CN21" s="1131">
        <v>461.2</v>
      </c>
      <c r="CO21" s="1131">
        <v>456.5</v>
      </c>
      <c r="CP21" s="1131">
        <v>475.9</v>
      </c>
      <c r="CQ21" s="1131">
        <v>476.4</v>
      </c>
      <c r="CR21" s="1131">
        <v>481</v>
      </c>
      <c r="CS21" s="1131">
        <v>485.2</v>
      </c>
      <c r="CT21" s="1131">
        <v>500.4</v>
      </c>
      <c r="CU21" s="1131">
        <v>507.6</v>
      </c>
      <c r="CV21" s="1131">
        <v>513.6</v>
      </c>
      <c r="CW21" s="1131">
        <v>521.1</v>
      </c>
      <c r="CX21" s="1131">
        <v>528.20000000000005</v>
      </c>
      <c r="CY21" s="1131">
        <v>532.70000000000005</v>
      </c>
      <c r="CZ21" s="1131">
        <v>538.1</v>
      </c>
      <c r="DA21" s="1131">
        <v>543.1</v>
      </c>
      <c r="DB21" s="1131">
        <v>545.9</v>
      </c>
      <c r="DC21" s="1131">
        <v>554.4</v>
      </c>
      <c r="DD21" s="1131">
        <v>561.79999999999995</v>
      </c>
      <c r="DE21" s="1131">
        <v>569.4</v>
      </c>
      <c r="DF21" s="1131">
        <v>577.29999999999995</v>
      </c>
      <c r="DG21" s="1131">
        <v>584.9</v>
      </c>
      <c r="DH21" s="1131">
        <v>593.6</v>
      </c>
      <c r="DI21" s="1131">
        <v>605.29999999999995</v>
      </c>
      <c r="DJ21" s="1131">
        <v>613.29999999999995</v>
      </c>
      <c r="DK21" s="1131">
        <v>622.79999999999995</v>
      </c>
      <c r="DL21" s="1131">
        <v>632.6</v>
      </c>
      <c r="DM21" s="1131">
        <v>642.4</v>
      </c>
      <c r="DN21" s="1131">
        <v>653.29999999999995</v>
      </c>
      <c r="DO21" s="1131">
        <v>659</v>
      </c>
      <c r="DP21" s="1131">
        <v>666.4</v>
      </c>
      <c r="DQ21" s="1131">
        <v>679.6</v>
      </c>
      <c r="DR21" s="1131">
        <v>699.5</v>
      </c>
      <c r="DS21" s="1131">
        <v>701.9</v>
      </c>
      <c r="DT21" s="1131">
        <v>715.2</v>
      </c>
      <c r="DU21" s="1131">
        <v>721</v>
      </c>
      <c r="DV21" s="1131">
        <v>736.1</v>
      </c>
      <c r="DW21" s="1131">
        <v>736.9</v>
      </c>
      <c r="DX21" s="1131">
        <v>736.1</v>
      </c>
      <c r="DY21" s="1131">
        <v>738.7</v>
      </c>
      <c r="DZ21" s="1131">
        <v>746.9</v>
      </c>
      <c r="EA21" s="1131">
        <v>755.3</v>
      </c>
      <c r="EB21" s="1131">
        <v>758.1</v>
      </c>
      <c r="EC21" s="1131">
        <v>760.8</v>
      </c>
      <c r="ED21" s="1131">
        <v>767.1</v>
      </c>
      <c r="EE21" s="1131">
        <v>777.8</v>
      </c>
      <c r="EF21" s="1131">
        <v>787.7</v>
      </c>
      <c r="EG21" s="1131">
        <v>800.1</v>
      </c>
      <c r="EH21" s="1131">
        <v>813.4</v>
      </c>
      <c r="EI21" s="1131">
        <v>828</v>
      </c>
      <c r="EJ21" s="1131">
        <v>843.7</v>
      </c>
      <c r="EK21" s="1131">
        <v>849.5</v>
      </c>
      <c r="EL21" s="1131">
        <v>862.7</v>
      </c>
      <c r="EM21" s="1131">
        <v>871</v>
      </c>
      <c r="EN21" s="1131">
        <v>884.2</v>
      </c>
      <c r="EO21" s="1131">
        <v>894.1</v>
      </c>
      <c r="EP21" s="1131">
        <v>917.9</v>
      </c>
      <c r="EQ21" s="1131">
        <v>922.7</v>
      </c>
      <c r="ER21" s="1131">
        <v>927.2</v>
      </c>
      <c r="ES21" s="1131">
        <v>940.8</v>
      </c>
      <c r="ET21" s="1131">
        <v>960.4</v>
      </c>
      <c r="EU21" s="1131">
        <v>962</v>
      </c>
      <c r="EV21" s="1131">
        <v>965.3</v>
      </c>
      <c r="EW21" s="1131">
        <v>976.9</v>
      </c>
      <c r="EX21" s="1131">
        <v>988.8</v>
      </c>
      <c r="EY21" s="1131">
        <v>991</v>
      </c>
      <c r="EZ21" s="1131">
        <v>996.4</v>
      </c>
      <c r="FA21" s="1131">
        <v>996.6</v>
      </c>
      <c r="FB21" s="1131">
        <v>964.7</v>
      </c>
      <c r="FC21" s="1131">
        <v>971.2</v>
      </c>
      <c r="FD21" s="1131">
        <v>968.8</v>
      </c>
      <c r="FE21" s="1131">
        <v>972.2</v>
      </c>
      <c r="FF21" s="1131">
        <v>978.6</v>
      </c>
      <c r="FG21" s="1131">
        <v>989.5</v>
      </c>
      <c r="FH21" s="1131">
        <v>992.3</v>
      </c>
      <c r="FI21" s="1131">
        <v>994.3</v>
      </c>
      <c r="FJ21" s="1131">
        <v>916.2</v>
      </c>
      <c r="FK21" s="1131">
        <v>918.9</v>
      </c>
      <c r="FL21" s="1131">
        <v>927.3</v>
      </c>
      <c r="FM21" s="1131">
        <v>921.9</v>
      </c>
      <c r="FN21" s="1131">
        <v>944.9</v>
      </c>
      <c r="FO21" s="1131">
        <v>949.4</v>
      </c>
      <c r="FP21" s="1131">
        <v>952.3</v>
      </c>
      <c r="FQ21" s="1131">
        <v>974.1</v>
      </c>
      <c r="FR21" s="1131">
        <v>1095.9000000000001</v>
      </c>
      <c r="FS21" s="1131">
        <v>1108.2</v>
      </c>
      <c r="FT21" s="1131">
        <v>1111.4000000000001</v>
      </c>
      <c r="FU21" s="1131">
        <v>1122.3</v>
      </c>
      <c r="FV21" s="1131">
        <v>1145</v>
      </c>
      <c r="FW21" s="1131">
        <v>1149.7</v>
      </c>
      <c r="FX21" s="1131">
        <v>1161.4000000000001</v>
      </c>
      <c r="FY21" s="1131">
        <v>1179.0999999999999</v>
      </c>
      <c r="FZ21" s="1131">
        <v>1194.2</v>
      </c>
      <c r="GA21" s="1131">
        <v>1206.0999999999999</v>
      </c>
      <c r="GB21" s="1131">
        <v>1216.0999999999999</v>
      </c>
      <c r="GC21" s="1131">
        <v>1223.5999999999999</v>
      </c>
      <c r="GD21" s="1131">
        <v>1230.8</v>
      </c>
      <c r="GE21" s="1131">
        <v>1237</v>
      </c>
      <c r="GF21" s="1131">
        <v>1248.0999999999999</v>
      </c>
      <c r="GG21" s="1131">
        <v>1261.5</v>
      </c>
      <c r="GH21" s="1131">
        <v>1282.4000000000001</v>
      </c>
      <c r="GI21" s="1131">
        <v>1294.8</v>
      </c>
      <c r="GJ21" s="1131">
        <v>1310</v>
      </c>
      <c r="GK21" s="1131">
        <v>1328.9</v>
      </c>
      <c r="GL21" s="1131">
        <v>1348.7</v>
      </c>
      <c r="GM21" s="1131">
        <v>1358.3</v>
      </c>
      <c r="GN21" s="1131">
        <v>1374.5</v>
      </c>
      <c r="GO21" s="1131">
        <v>1381.9</v>
      </c>
      <c r="GP21" s="1131">
        <v>1413</v>
      </c>
      <c r="GQ21" s="1131">
        <v>1419.8</v>
      </c>
      <c r="GR21" s="1131">
        <v>1427.2</v>
      </c>
      <c r="GS21" s="1131">
        <v>1446.5</v>
      </c>
      <c r="GT21" s="1131">
        <v>1477.2</v>
      </c>
      <c r="GU21" s="1131">
        <v>1410.8</v>
      </c>
      <c r="GV21" s="1131">
        <v>1463.7</v>
      </c>
      <c r="GW21" s="1131">
        <v>1506.5</v>
      </c>
      <c r="GX21" s="1131">
        <v>1539.2</v>
      </c>
      <c r="GY21" s="1131">
        <v>1564.2</v>
      </c>
    </row>
    <row r="22" spans="1:207" x14ac:dyDescent="0.35">
      <c r="A22" s="1131" t="s">
        <v>219</v>
      </c>
      <c r="B22" s="1131">
        <v>20.568999999999999</v>
      </c>
      <c r="C22" s="1131">
        <v>20.797000000000001</v>
      </c>
      <c r="D22" s="1131">
        <v>20.998999999999999</v>
      </c>
      <c r="E22" s="1131">
        <v>21.271000000000001</v>
      </c>
      <c r="F22" s="1131">
        <v>21.472000000000001</v>
      </c>
      <c r="G22" s="1131">
        <v>21.716000000000001</v>
      </c>
      <c r="H22" s="1131">
        <v>21.928999999999998</v>
      </c>
      <c r="I22" s="1131">
        <v>22.064</v>
      </c>
      <c r="J22" s="1131">
        <v>22.295999999999999</v>
      </c>
      <c r="K22" s="1131">
        <v>22.425000000000001</v>
      </c>
      <c r="L22" s="1131">
        <v>22.622</v>
      </c>
      <c r="M22" s="1131">
        <v>22.806999999999999</v>
      </c>
      <c r="N22" s="1131">
        <v>23.084</v>
      </c>
      <c r="O22" s="1131">
        <v>23.529</v>
      </c>
      <c r="P22" s="1131">
        <v>23.957999999999998</v>
      </c>
      <c r="Q22" s="1131">
        <v>24.45</v>
      </c>
      <c r="R22" s="1131">
        <v>25.178000000000001</v>
      </c>
      <c r="S22" s="1131">
        <v>25.890999999999998</v>
      </c>
      <c r="T22" s="1131">
        <v>26.588999999999999</v>
      </c>
      <c r="U22" s="1131">
        <v>27.262</v>
      </c>
      <c r="V22" s="1131">
        <v>27.771000000000001</v>
      </c>
      <c r="W22" s="1131">
        <v>28.109000000000002</v>
      </c>
      <c r="X22" s="1131">
        <v>28.634</v>
      </c>
      <c r="Y22" s="1131">
        <v>29.114999999999998</v>
      </c>
      <c r="Z22" s="1131">
        <v>29.437000000000001</v>
      </c>
      <c r="AA22" s="1131">
        <v>29.684999999999999</v>
      </c>
      <c r="AB22" s="1131">
        <v>30.137</v>
      </c>
      <c r="AC22" s="1131">
        <v>30.614000000000001</v>
      </c>
      <c r="AD22" s="1131">
        <v>31.164999999999999</v>
      </c>
      <c r="AE22" s="1131">
        <v>31.698</v>
      </c>
      <c r="AF22" s="1131">
        <v>32.173999999999999</v>
      </c>
      <c r="AG22" s="1131">
        <v>32.631</v>
      </c>
      <c r="AH22" s="1131">
        <v>33.164999999999999</v>
      </c>
      <c r="AI22" s="1131">
        <v>33.845999999999997</v>
      </c>
      <c r="AJ22" s="1131">
        <v>34.441000000000003</v>
      </c>
      <c r="AK22" s="1131">
        <v>35.091999999999999</v>
      </c>
      <c r="AL22" s="1131">
        <v>35.755000000000003</v>
      </c>
      <c r="AM22" s="1131">
        <v>36.732999999999997</v>
      </c>
      <c r="AN22" s="1131">
        <v>37.646000000000001</v>
      </c>
      <c r="AO22" s="1131">
        <v>38.558</v>
      </c>
      <c r="AP22" s="1131">
        <v>39.716000000000001</v>
      </c>
      <c r="AQ22" s="1131">
        <v>40.689</v>
      </c>
      <c r="AR22" s="1131">
        <v>41.640999999999998</v>
      </c>
      <c r="AS22" s="1131">
        <v>42.673000000000002</v>
      </c>
      <c r="AT22" s="1131">
        <v>43.780999999999999</v>
      </c>
      <c r="AU22" s="1131">
        <v>44.515000000000001</v>
      </c>
      <c r="AV22" s="1131">
        <v>45.247999999999998</v>
      </c>
      <c r="AW22" s="1131">
        <v>45.94</v>
      </c>
      <c r="AX22" s="1131">
        <v>46.521000000000001</v>
      </c>
      <c r="AY22" s="1131">
        <v>46.966999999999999</v>
      </c>
      <c r="AZ22" s="1131">
        <v>47.707000000000001</v>
      </c>
      <c r="BA22" s="1131">
        <v>48.231999999999999</v>
      </c>
      <c r="BB22" s="1131">
        <v>48.628999999999998</v>
      </c>
      <c r="BC22" s="1131">
        <v>49.073</v>
      </c>
      <c r="BD22" s="1131">
        <v>49.718000000000004</v>
      </c>
      <c r="BE22" s="1131">
        <v>50.048000000000002</v>
      </c>
      <c r="BF22" s="1131">
        <v>50.591999999999999</v>
      </c>
      <c r="BG22" s="1131">
        <v>51.082999999999998</v>
      </c>
      <c r="BH22" s="1131">
        <v>51.478000000000002</v>
      </c>
      <c r="BI22" s="1131">
        <v>51.795999999999999</v>
      </c>
      <c r="BJ22" s="1131">
        <v>52.405999999999999</v>
      </c>
      <c r="BK22" s="1131">
        <v>52.831000000000003</v>
      </c>
      <c r="BL22" s="1131">
        <v>53.244999999999997</v>
      </c>
      <c r="BM22" s="1131">
        <v>53.618000000000002</v>
      </c>
      <c r="BN22" s="1131">
        <v>53.999000000000002</v>
      </c>
      <c r="BO22" s="1131">
        <v>53.942999999999998</v>
      </c>
      <c r="BP22" s="1131">
        <v>54.228000000000002</v>
      </c>
      <c r="BQ22" s="1131">
        <v>54.555</v>
      </c>
      <c r="BR22" s="1131">
        <v>55.067999999999998</v>
      </c>
      <c r="BS22" s="1131">
        <v>55.597999999999999</v>
      </c>
      <c r="BT22" s="1131">
        <v>56.122999999999998</v>
      </c>
      <c r="BU22" s="1131">
        <v>56.606999999999999</v>
      </c>
      <c r="BV22" s="1131">
        <v>57.054000000000002</v>
      </c>
      <c r="BW22" s="1131">
        <v>57.683999999999997</v>
      </c>
      <c r="BX22" s="1131">
        <v>58.395000000000003</v>
      </c>
      <c r="BY22" s="1131">
        <v>58.987000000000002</v>
      </c>
      <c r="BZ22" s="1131">
        <v>59.664999999999999</v>
      </c>
      <c r="CA22" s="1131">
        <v>60.47</v>
      </c>
      <c r="CB22" s="1131">
        <v>60.828000000000003</v>
      </c>
      <c r="CC22" s="1131">
        <v>61.308</v>
      </c>
      <c r="CD22" s="1131">
        <v>62.198</v>
      </c>
      <c r="CE22" s="1131">
        <v>62.764000000000003</v>
      </c>
      <c r="CF22" s="1131">
        <v>63.561999999999998</v>
      </c>
      <c r="CG22" s="1131">
        <v>64.402000000000001</v>
      </c>
      <c r="CH22" s="1131">
        <v>64.739999999999995</v>
      </c>
      <c r="CI22" s="1131">
        <v>65.091999999999999</v>
      </c>
      <c r="CJ22" s="1131">
        <v>65.533000000000001</v>
      </c>
      <c r="CK22" s="1131">
        <v>66.007999999999996</v>
      </c>
      <c r="CL22" s="1131">
        <v>66.421000000000006</v>
      </c>
      <c r="CM22" s="1131">
        <v>66.861999999999995</v>
      </c>
      <c r="CN22" s="1131">
        <v>67.287999999999997</v>
      </c>
      <c r="CO22" s="1131">
        <v>67.757000000000005</v>
      </c>
      <c r="CP22" s="1131">
        <v>68.162000000000006</v>
      </c>
      <c r="CQ22" s="1131">
        <v>68.62</v>
      </c>
      <c r="CR22" s="1131">
        <v>68.918000000000006</v>
      </c>
      <c r="CS22" s="1131">
        <v>69.314999999999998</v>
      </c>
      <c r="CT22" s="1131">
        <v>69.563999999999993</v>
      </c>
      <c r="CU22" s="1131">
        <v>69.951999999999998</v>
      </c>
      <c r="CV22" s="1131">
        <v>70.453999999999994</v>
      </c>
      <c r="CW22" s="1131">
        <v>70.784999999999997</v>
      </c>
      <c r="CX22" s="1131">
        <v>71.132000000000005</v>
      </c>
      <c r="CY22" s="1131">
        <v>71.546000000000006</v>
      </c>
      <c r="CZ22" s="1131">
        <v>71.837999999999994</v>
      </c>
      <c r="DA22" s="1131">
        <v>72.153999999999996</v>
      </c>
      <c r="DB22" s="1131">
        <v>72.555000000000007</v>
      </c>
      <c r="DC22" s="1131">
        <v>73.040000000000006</v>
      </c>
      <c r="DD22" s="1131">
        <v>73.352000000000004</v>
      </c>
      <c r="DE22" s="1131">
        <v>73.852000000000004</v>
      </c>
      <c r="DF22" s="1131">
        <v>74.177999999999997</v>
      </c>
      <c r="DG22" s="1131">
        <v>74.364999999999995</v>
      </c>
      <c r="DH22" s="1131">
        <v>74.561000000000007</v>
      </c>
      <c r="DI22" s="1131">
        <v>74.795000000000002</v>
      </c>
      <c r="DJ22" s="1131">
        <v>74.801000000000002</v>
      </c>
      <c r="DK22" s="1131">
        <v>74.936000000000007</v>
      </c>
      <c r="DL22" s="1131">
        <v>75.167000000000002</v>
      </c>
      <c r="DM22" s="1131">
        <v>75.364000000000004</v>
      </c>
      <c r="DN22" s="1131">
        <v>75.510999999999996</v>
      </c>
      <c r="DO22" s="1131">
        <v>75.938999999999993</v>
      </c>
      <c r="DP22" s="1131">
        <v>76.356999999999999</v>
      </c>
      <c r="DQ22" s="1131">
        <v>76.820999999999998</v>
      </c>
      <c r="DR22" s="1131">
        <v>77.445999999999998</v>
      </c>
      <c r="DS22" s="1131">
        <v>77.814999999999998</v>
      </c>
      <c r="DT22" s="1131">
        <v>78.317999999999998</v>
      </c>
      <c r="DU22" s="1131">
        <v>78.762</v>
      </c>
      <c r="DV22" s="1131">
        <v>79.347999999999999</v>
      </c>
      <c r="DW22" s="1131">
        <v>79.72</v>
      </c>
      <c r="DX22" s="1131">
        <v>79.760000000000005</v>
      </c>
      <c r="DY22" s="1131">
        <v>79.793000000000006</v>
      </c>
      <c r="DZ22" s="1131">
        <v>79.951999999999998</v>
      </c>
      <c r="EA22" s="1131">
        <v>80.543999999999997</v>
      </c>
      <c r="EB22" s="1131">
        <v>80.960999999999999</v>
      </c>
      <c r="EC22" s="1131">
        <v>81.337999999999994</v>
      </c>
      <c r="ED22" s="1131">
        <v>81.96</v>
      </c>
      <c r="EE22" s="1131">
        <v>82.042000000000002</v>
      </c>
      <c r="EF22" s="1131">
        <v>82.581999999999994</v>
      </c>
      <c r="EG22" s="1131">
        <v>82.986999999999995</v>
      </c>
      <c r="EH22" s="1131">
        <v>83.626999999999995</v>
      </c>
      <c r="EI22" s="1131">
        <v>84.188999999999993</v>
      </c>
      <c r="EJ22" s="1131">
        <v>84.602999999999994</v>
      </c>
      <c r="EK22" s="1131">
        <v>85.325999999999993</v>
      </c>
      <c r="EL22" s="1131">
        <v>85.822000000000003</v>
      </c>
      <c r="EM22" s="1131">
        <v>86.364000000000004</v>
      </c>
      <c r="EN22" s="1131">
        <v>87.296999999999997</v>
      </c>
      <c r="EO22" s="1131">
        <v>87.992999999999995</v>
      </c>
      <c r="EP22" s="1131">
        <v>88.451999999999998</v>
      </c>
      <c r="EQ22" s="1131">
        <v>89.228999999999999</v>
      </c>
      <c r="ER22" s="1131">
        <v>89.870999999999995</v>
      </c>
      <c r="ES22" s="1131">
        <v>89.722999999999999</v>
      </c>
      <c r="ET22" s="1131">
        <v>90.542000000000002</v>
      </c>
      <c r="EU22" s="1131">
        <v>91.31</v>
      </c>
      <c r="EV22" s="1131">
        <v>91.826999999999998</v>
      </c>
      <c r="EW22" s="1131">
        <v>92.762</v>
      </c>
      <c r="EX22" s="1131">
        <v>93.518000000000001</v>
      </c>
      <c r="EY22" s="1131">
        <v>94.43</v>
      </c>
      <c r="EZ22" s="1131">
        <v>95.438000000000002</v>
      </c>
      <c r="FA22" s="1131">
        <v>93.915000000000006</v>
      </c>
      <c r="FB22" s="1131">
        <v>93.28</v>
      </c>
      <c r="FC22" s="1131">
        <v>93.65</v>
      </c>
      <c r="FD22" s="1131">
        <v>94.295000000000002</v>
      </c>
      <c r="FE22" s="1131">
        <v>95.022000000000006</v>
      </c>
      <c r="FF22" s="1131">
        <v>95.388999999999996</v>
      </c>
      <c r="FG22" s="1131">
        <v>95.536000000000001</v>
      </c>
      <c r="FH22" s="1131">
        <v>95.72</v>
      </c>
      <c r="FI22" s="1131">
        <v>96.332999999999998</v>
      </c>
      <c r="FJ22" s="1131">
        <v>97.143000000000001</v>
      </c>
      <c r="FK22" s="1131">
        <v>98.099000000000004</v>
      </c>
      <c r="FL22" s="1131">
        <v>98.552999999999997</v>
      </c>
      <c r="FM22" s="1131">
        <v>98.878</v>
      </c>
      <c r="FN22" s="1131">
        <v>99.533000000000001</v>
      </c>
      <c r="FO22" s="1131">
        <v>99.774000000000001</v>
      </c>
      <c r="FP22" s="1131">
        <v>100.06399999999999</v>
      </c>
      <c r="FQ22" s="1131">
        <v>100.625</v>
      </c>
      <c r="FR22" s="1131">
        <v>100.98699999999999</v>
      </c>
      <c r="FS22" s="1131">
        <v>101.059</v>
      </c>
      <c r="FT22" s="1131">
        <v>101.46899999999999</v>
      </c>
      <c r="FU22" s="1131">
        <v>101.89400000000001</v>
      </c>
      <c r="FV22" s="1131">
        <v>102.384</v>
      </c>
      <c r="FW22" s="1131">
        <v>102.896</v>
      </c>
      <c r="FX22" s="1131">
        <v>103.187</v>
      </c>
      <c r="FY22" s="1131">
        <v>103.069</v>
      </c>
      <c r="FZ22" s="1131">
        <v>102.64100000000001</v>
      </c>
      <c r="GA22" s="1131">
        <v>103.139</v>
      </c>
      <c r="GB22" s="1131">
        <v>103.389</v>
      </c>
      <c r="GC22" s="1131">
        <v>103.286</v>
      </c>
      <c r="GD22" s="1131">
        <v>103.34</v>
      </c>
      <c r="GE22" s="1131">
        <v>103.989</v>
      </c>
      <c r="GF22" s="1131">
        <v>104.379</v>
      </c>
      <c r="GG22" s="1131">
        <v>104.872</v>
      </c>
      <c r="GH22" s="1131">
        <v>105.449</v>
      </c>
      <c r="GI22" s="1131">
        <v>105.747</v>
      </c>
      <c r="GJ22" s="1131">
        <v>106.142</v>
      </c>
      <c r="GK22" s="1131">
        <v>106.851</v>
      </c>
      <c r="GL22" s="1131">
        <v>107.553</v>
      </c>
      <c r="GM22" s="1131">
        <v>108.18</v>
      </c>
      <c r="GN22" s="1131">
        <v>108.542</v>
      </c>
      <c r="GO22" s="1131">
        <v>108.983</v>
      </c>
      <c r="GP22" s="1131">
        <v>109.09699999999999</v>
      </c>
      <c r="GQ22" s="1131">
        <v>109.833</v>
      </c>
      <c r="GR22" s="1131">
        <v>110.136</v>
      </c>
      <c r="GS22" s="1131">
        <v>110.604</v>
      </c>
      <c r="GT22" s="1131">
        <v>110.946</v>
      </c>
      <c r="GU22" s="1131">
        <v>110.491</v>
      </c>
      <c r="GV22" s="1131">
        <v>111.49</v>
      </c>
      <c r="GW22" s="1131">
        <v>111.91</v>
      </c>
      <c r="GX22" s="1131">
        <v>112.97</v>
      </c>
      <c r="GY22" s="1131">
        <v>114.753</v>
      </c>
    </row>
    <row r="23" spans="1:207" x14ac:dyDescent="0.35">
      <c r="A23" s="1131" t="s">
        <v>199</v>
      </c>
      <c r="B23" s="1131">
        <v>133.6</v>
      </c>
      <c r="C23" s="1131">
        <v>131.80000000000001</v>
      </c>
      <c r="D23" s="1131">
        <v>132.4</v>
      </c>
      <c r="E23" s="1131">
        <v>133.5</v>
      </c>
      <c r="F23" s="1131">
        <v>133.30000000000001</v>
      </c>
      <c r="G23" s="1131">
        <v>134.30000000000001</v>
      </c>
      <c r="H23" s="1131">
        <v>135.6</v>
      </c>
      <c r="I23" s="1131">
        <v>134.69999999999999</v>
      </c>
      <c r="J23" s="1131">
        <v>141.4</v>
      </c>
      <c r="K23" s="1131">
        <v>144.19999999999999</v>
      </c>
      <c r="L23" s="1131">
        <v>138.80000000000001</v>
      </c>
      <c r="M23" s="1131">
        <v>142.19999999999999</v>
      </c>
      <c r="N23" s="1131">
        <v>146.4</v>
      </c>
      <c r="O23" s="1131">
        <v>146.5</v>
      </c>
      <c r="P23" s="1131">
        <v>144.19999999999999</v>
      </c>
      <c r="Q23" s="1131">
        <v>147.6</v>
      </c>
      <c r="R23" s="1131">
        <v>152.69999999999999</v>
      </c>
      <c r="S23" s="1131">
        <v>154.9</v>
      </c>
      <c r="T23" s="1131">
        <v>160.4</v>
      </c>
      <c r="U23" s="1131">
        <v>167.4</v>
      </c>
      <c r="V23" s="1131">
        <v>168.6</v>
      </c>
      <c r="W23" s="1131">
        <v>169.4</v>
      </c>
      <c r="X23" s="1131">
        <v>176.1</v>
      </c>
      <c r="Y23" s="1131">
        <v>180.8</v>
      </c>
      <c r="Z23" s="1131">
        <v>181.6</v>
      </c>
      <c r="AA23" s="1131">
        <v>182.5</v>
      </c>
      <c r="AB23" s="1131">
        <v>184.9</v>
      </c>
      <c r="AC23" s="1131">
        <v>190.2</v>
      </c>
      <c r="AD23" s="1131">
        <v>194.2</v>
      </c>
      <c r="AE23" s="1131">
        <v>198.9</v>
      </c>
      <c r="AF23" s="1131">
        <v>201.9</v>
      </c>
      <c r="AG23" s="1131">
        <v>206.3</v>
      </c>
      <c r="AH23" s="1131">
        <v>208.8</v>
      </c>
      <c r="AI23" s="1131">
        <v>217</v>
      </c>
      <c r="AJ23" s="1131">
        <v>222.1</v>
      </c>
      <c r="AK23" s="1131">
        <v>227.8</v>
      </c>
      <c r="AL23" s="1131">
        <v>231.7</v>
      </c>
      <c r="AM23" s="1131">
        <v>237.6</v>
      </c>
      <c r="AN23" s="1131">
        <v>243.7</v>
      </c>
      <c r="AO23" s="1131">
        <v>249.3</v>
      </c>
      <c r="AP23" s="1131">
        <v>261.10000000000002</v>
      </c>
      <c r="AQ23" s="1131">
        <v>276.5</v>
      </c>
      <c r="AR23" s="1131">
        <v>276.10000000000002</v>
      </c>
      <c r="AS23" s="1131">
        <v>285.8</v>
      </c>
      <c r="AT23" s="1131">
        <v>297.2</v>
      </c>
      <c r="AU23" s="1131">
        <v>311.89999999999998</v>
      </c>
      <c r="AV23" s="1131">
        <v>317.39999999999998</v>
      </c>
      <c r="AW23" s="1131">
        <v>329.3</v>
      </c>
      <c r="AX23" s="1131">
        <v>334.9</v>
      </c>
      <c r="AY23" s="1131">
        <v>342.9</v>
      </c>
      <c r="AZ23" s="1131">
        <v>351.5</v>
      </c>
      <c r="BA23" s="1131">
        <v>364.1</v>
      </c>
      <c r="BB23" s="1131">
        <v>370.5</v>
      </c>
      <c r="BC23" s="1131">
        <v>380.3</v>
      </c>
      <c r="BD23" s="1131">
        <v>394.4</v>
      </c>
      <c r="BE23" s="1131">
        <v>384.2</v>
      </c>
      <c r="BF23" s="1131">
        <v>392.4</v>
      </c>
      <c r="BG23" s="1131">
        <v>408.3</v>
      </c>
      <c r="BH23" s="1131">
        <v>414</v>
      </c>
      <c r="BI23" s="1131">
        <v>432.5</v>
      </c>
      <c r="BJ23" s="1131">
        <v>434.8</v>
      </c>
      <c r="BK23" s="1131">
        <v>447.3</v>
      </c>
      <c r="BL23" s="1131">
        <v>463.1</v>
      </c>
      <c r="BM23" s="1131">
        <v>466.4</v>
      </c>
      <c r="BN23" s="1131">
        <v>464</v>
      </c>
      <c r="BO23" s="1131">
        <v>477.8</v>
      </c>
      <c r="BP23" s="1131">
        <v>495.1</v>
      </c>
      <c r="BQ23" s="1131">
        <v>489.8</v>
      </c>
      <c r="BR23" s="1131">
        <v>492.1</v>
      </c>
      <c r="BS23" s="1131">
        <v>501.2</v>
      </c>
      <c r="BT23" s="1131">
        <v>504.1</v>
      </c>
      <c r="BU23" s="1131">
        <v>513.70000000000005</v>
      </c>
      <c r="BV23" s="1131">
        <v>505.8</v>
      </c>
      <c r="BW23" s="1131">
        <v>506.9</v>
      </c>
      <c r="BX23" s="1131">
        <v>507.4</v>
      </c>
      <c r="BY23" s="1131">
        <v>525.6</v>
      </c>
      <c r="BZ23" s="1131">
        <v>519.9</v>
      </c>
      <c r="CA23" s="1131">
        <v>534.29999999999995</v>
      </c>
      <c r="CB23" s="1131">
        <v>541.4</v>
      </c>
      <c r="CC23" s="1131">
        <v>540.79999999999995</v>
      </c>
      <c r="CD23" s="1131">
        <v>553.70000000000005</v>
      </c>
      <c r="CE23" s="1131">
        <v>563.9</v>
      </c>
      <c r="CF23" s="1131">
        <v>562.20000000000005</v>
      </c>
      <c r="CG23" s="1131">
        <v>569.70000000000005</v>
      </c>
      <c r="CH23" s="1131">
        <v>581.4</v>
      </c>
      <c r="CI23" s="1131">
        <v>586.6</v>
      </c>
      <c r="CJ23" s="1131">
        <v>586.29999999999995</v>
      </c>
      <c r="CK23" s="1131">
        <v>577.4</v>
      </c>
      <c r="CL23" s="1131">
        <v>580.29999999999995</v>
      </c>
      <c r="CM23" s="1131">
        <v>580.9</v>
      </c>
      <c r="CN23" s="1131">
        <v>594.20000000000005</v>
      </c>
      <c r="CO23" s="1131">
        <v>598.4</v>
      </c>
      <c r="CP23" s="1131">
        <v>580.29999999999995</v>
      </c>
      <c r="CQ23" s="1131">
        <v>576.70000000000005</v>
      </c>
      <c r="CR23" s="1131">
        <v>578.70000000000005</v>
      </c>
      <c r="CS23" s="1131">
        <v>584.9</v>
      </c>
      <c r="CT23" s="1131">
        <v>567</v>
      </c>
      <c r="CU23" s="1131">
        <v>569.4</v>
      </c>
      <c r="CV23" s="1131">
        <v>586.5</v>
      </c>
      <c r="CW23" s="1131">
        <v>575.79999999999995</v>
      </c>
      <c r="CX23" s="1131">
        <v>579.1</v>
      </c>
      <c r="CY23" s="1131">
        <v>581</v>
      </c>
      <c r="CZ23" s="1131">
        <v>579.29999999999995</v>
      </c>
      <c r="DA23" s="1131">
        <v>567.29999999999995</v>
      </c>
      <c r="DB23" s="1131">
        <v>579.79999999999995</v>
      </c>
      <c r="DC23" s="1131">
        <v>582.1</v>
      </c>
      <c r="DD23" s="1131">
        <v>577.79999999999995</v>
      </c>
      <c r="DE23" s="1131">
        <v>576.9</v>
      </c>
      <c r="DF23" s="1131">
        <v>570.70000000000005</v>
      </c>
      <c r="DG23" s="1131">
        <v>587.20000000000005</v>
      </c>
      <c r="DH23" s="1131">
        <v>586</v>
      </c>
      <c r="DI23" s="1131">
        <v>589.20000000000005</v>
      </c>
      <c r="DJ23" s="1131">
        <v>572.20000000000005</v>
      </c>
      <c r="DK23" s="1131">
        <v>587.1</v>
      </c>
      <c r="DL23" s="1131">
        <v>588.6</v>
      </c>
      <c r="DM23" s="1131">
        <v>594.20000000000005</v>
      </c>
      <c r="DN23" s="1131">
        <v>595.1</v>
      </c>
      <c r="DO23" s="1131">
        <v>599.20000000000005</v>
      </c>
      <c r="DP23" s="1131">
        <v>614.20000000000005</v>
      </c>
      <c r="DQ23" s="1131">
        <v>634.29999999999995</v>
      </c>
      <c r="DR23" s="1131">
        <v>619.4</v>
      </c>
      <c r="DS23" s="1131">
        <v>641.20000000000005</v>
      </c>
      <c r="DT23" s="1131">
        <v>633.6</v>
      </c>
      <c r="DU23" s="1131">
        <v>638.20000000000005</v>
      </c>
      <c r="DV23" s="1131">
        <v>653.29999999999995</v>
      </c>
      <c r="DW23" s="1131">
        <v>666.2</v>
      </c>
      <c r="DX23" s="1131">
        <v>674.4</v>
      </c>
      <c r="DY23" s="1131">
        <v>686.9</v>
      </c>
      <c r="DZ23" s="1131">
        <v>714</v>
      </c>
      <c r="EA23" s="1131">
        <v>734.8</v>
      </c>
      <c r="EB23" s="1131">
        <v>748.4</v>
      </c>
      <c r="EC23" s="1131">
        <v>775.2</v>
      </c>
      <c r="ED23" s="1131">
        <v>792.7</v>
      </c>
      <c r="EE23" s="1131">
        <v>826</v>
      </c>
      <c r="EF23" s="1131">
        <v>833.3</v>
      </c>
      <c r="EG23" s="1131">
        <v>855.1</v>
      </c>
      <c r="EH23" s="1131">
        <v>871.8</v>
      </c>
      <c r="EI23" s="1131">
        <v>884.6</v>
      </c>
      <c r="EJ23" s="1131">
        <v>902.5</v>
      </c>
      <c r="EK23" s="1131">
        <v>909.6</v>
      </c>
      <c r="EL23" s="1131">
        <v>931.8</v>
      </c>
      <c r="EM23" s="1131">
        <v>939.3</v>
      </c>
      <c r="EN23" s="1131">
        <v>956.4</v>
      </c>
      <c r="EO23" s="1131">
        <v>963.7</v>
      </c>
      <c r="EP23" s="1131">
        <v>997.1</v>
      </c>
      <c r="EQ23" s="1131">
        <v>997.2</v>
      </c>
      <c r="ER23" s="1131">
        <v>995.4</v>
      </c>
      <c r="ES23" s="1131">
        <v>1015.1</v>
      </c>
      <c r="ET23" s="1131">
        <v>1017.5</v>
      </c>
      <c r="EU23" s="1131">
        <v>1042.5</v>
      </c>
      <c r="EV23" s="1131">
        <v>1058.8</v>
      </c>
      <c r="EW23" s="1131">
        <v>1085.3</v>
      </c>
      <c r="EX23" s="1131">
        <v>1111.2</v>
      </c>
      <c r="EY23" s="1131">
        <v>1146.5999999999999</v>
      </c>
      <c r="EZ23" s="1131">
        <v>1170.2</v>
      </c>
      <c r="FA23" s="1131">
        <v>1179.8</v>
      </c>
      <c r="FB23" s="1131">
        <v>1185.2</v>
      </c>
      <c r="FC23" s="1131">
        <v>1213.5</v>
      </c>
      <c r="FD23" s="1131">
        <v>1228.3</v>
      </c>
      <c r="FE23" s="1131">
        <v>1256.2</v>
      </c>
      <c r="FF23" s="1131">
        <v>1278.4000000000001</v>
      </c>
      <c r="FG23" s="1131">
        <v>1305.0999999999999</v>
      </c>
      <c r="FH23" s="1131">
        <v>1304.3</v>
      </c>
      <c r="FI23" s="1131">
        <v>1312.9</v>
      </c>
      <c r="FJ23" s="1131">
        <v>1306</v>
      </c>
      <c r="FK23" s="1131">
        <v>1312.7</v>
      </c>
      <c r="FL23" s="1131">
        <v>1288.7</v>
      </c>
      <c r="FM23" s="1131">
        <v>1291.7</v>
      </c>
      <c r="FN23" s="1131">
        <v>1296.0999999999999</v>
      </c>
      <c r="FO23" s="1131">
        <v>1288.5999999999999</v>
      </c>
      <c r="FP23" s="1131">
        <v>1293.8</v>
      </c>
      <c r="FQ23" s="1131">
        <v>1269.5</v>
      </c>
      <c r="FR23" s="1131">
        <v>1240.5</v>
      </c>
      <c r="FS23" s="1131">
        <v>1232.9000000000001</v>
      </c>
      <c r="FT23" s="1131">
        <v>1219</v>
      </c>
      <c r="FU23" s="1131">
        <v>1216.3</v>
      </c>
      <c r="FV23" s="1131">
        <v>1211.8</v>
      </c>
      <c r="FW23" s="1131">
        <v>1210</v>
      </c>
      <c r="FX23" s="1131">
        <v>1229.3</v>
      </c>
      <c r="FY23" s="1131">
        <v>1212.9000000000001</v>
      </c>
      <c r="FZ23" s="1131">
        <v>1216</v>
      </c>
      <c r="GA23" s="1131">
        <v>1220.5999999999999</v>
      </c>
      <c r="GB23" s="1131">
        <v>1221.2</v>
      </c>
      <c r="GC23" s="1131">
        <v>1229.3</v>
      </c>
      <c r="GD23" s="1131">
        <v>1229.3</v>
      </c>
      <c r="GE23" s="1131">
        <v>1225.8</v>
      </c>
      <c r="GF23" s="1131">
        <v>1238.0999999999999</v>
      </c>
      <c r="GG23" s="1131">
        <v>1244.8</v>
      </c>
      <c r="GH23" s="1131">
        <v>1242.5</v>
      </c>
      <c r="GI23" s="1131">
        <v>1257.5999999999999</v>
      </c>
      <c r="GJ23" s="1131">
        <v>1263.3</v>
      </c>
      <c r="GK23" s="1131">
        <v>1287.7</v>
      </c>
      <c r="GL23" s="1131">
        <v>1305.8</v>
      </c>
      <c r="GM23" s="1131">
        <v>1331.7</v>
      </c>
      <c r="GN23" s="1131">
        <v>1350.8</v>
      </c>
      <c r="GO23" s="1131">
        <v>1367.7</v>
      </c>
      <c r="GP23" s="1131">
        <v>1387</v>
      </c>
      <c r="GQ23" s="1131">
        <v>1406.9</v>
      </c>
      <c r="GR23" s="1131">
        <v>1424.1</v>
      </c>
      <c r="GS23" s="1131">
        <v>1441.7</v>
      </c>
      <c r="GT23" s="1131">
        <v>1454.7</v>
      </c>
      <c r="GU23" s="1131">
        <v>1525</v>
      </c>
      <c r="GV23" s="1131">
        <v>1515.1</v>
      </c>
      <c r="GW23" s="1131">
        <v>1512.3</v>
      </c>
      <c r="GX23" s="1131">
        <v>1568.6</v>
      </c>
      <c r="GY23" s="1131">
        <v>1563.3</v>
      </c>
    </row>
    <row r="24" spans="1:207" x14ac:dyDescent="0.35">
      <c r="A24" s="1131" t="s">
        <v>220</v>
      </c>
      <c r="B24" s="1131">
        <v>114.3</v>
      </c>
      <c r="C24" s="1131">
        <v>117.4</v>
      </c>
      <c r="D24" s="1131">
        <v>122.2</v>
      </c>
      <c r="E24" s="1131">
        <v>125.2</v>
      </c>
      <c r="F24" s="1131">
        <v>128.6</v>
      </c>
      <c r="G24" s="1131">
        <v>131.9</v>
      </c>
      <c r="H24" s="1131">
        <v>134.19999999999999</v>
      </c>
      <c r="I24" s="1131">
        <v>137.4</v>
      </c>
      <c r="J24" s="1131">
        <v>140.80000000000001</v>
      </c>
      <c r="K24" s="1131">
        <v>142.19999999999999</v>
      </c>
      <c r="L24" s="1131">
        <v>145.6</v>
      </c>
      <c r="M24" s="1131">
        <v>149.6</v>
      </c>
      <c r="N24" s="1131">
        <v>153.19999999999999</v>
      </c>
      <c r="O24" s="1131">
        <v>156.19999999999999</v>
      </c>
      <c r="P24" s="1131">
        <v>159.9</v>
      </c>
      <c r="Q24" s="1131">
        <v>165</v>
      </c>
      <c r="R24" s="1131">
        <v>171.9</v>
      </c>
      <c r="S24" s="1131">
        <v>180.1</v>
      </c>
      <c r="T24" s="1131">
        <v>186.3</v>
      </c>
      <c r="U24" s="1131">
        <v>191.9</v>
      </c>
      <c r="V24" s="1131">
        <v>201.5</v>
      </c>
      <c r="W24" s="1131">
        <v>204</v>
      </c>
      <c r="X24" s="1131">
        <v>209.3</v>
      </c>
      <c r="Y24" s="1131">
        <v>214.8</v>
      </c>
      <c r="Z24" s="1131">
        <v>219.7</v>
      </c>
      <c r="AA24" s="1131">
        <v>218.5</v>
      </c>
      <c r="AB24" s="1131">
        <v>218.6</v>
      </c>
      <c r="AC24" s="1131">
        <v>220.6</v>
      </c>
      <c r="AD24" s="1131">
        <v>227</v>
      </c>
      <c r="AE24" s="1131">
        <v>232.4</v>
      </c>
      <c r="AF24" s="1131">
        <v>236.1</v>
      </c>
      <c r="AG24" s="1131">
        <v>240.5</v>
      </c>
      <c r="AH24" s="1131">
        <v>243.8</v>
      </c>
      <c r="AI24" s="1131">
        <v>255.3</v>
      </c>
      <c r="AJ24" s="1131">
        <v>262.2</v>
      </c>
      <c r="AK24" s="1131">
        <v>268.39999999999998</v>
      </c>
      <c r="AL24" s="1131">
        <v>270.10000000000002</v>
      </c>
      <c r="AM24" s="1131">
        <v>278.89999999999998</v>
      </c>
      <c r="AN24" s="1131">
        <v>289.39999999999998</v>
      </c>
      <c r="AO24" s="1131">
        <v>298.39999999999998</v>
      </c>
      <c r="AP24" s="1131">
        <v>307.7</v>
      </c>
      <c r="AQ24" s="1131">
        <v>312</v>
      </c>
      <c r="AR24" s="1131">
        <v>316.10000000000002</v>
      </c>
      <c r="AS24" s="1131">
        <v>323.10000000000002</v>
      </c>
      <c r="AT24" s="1131">
        <v>336.1</v>
      </c>
      <c r="AU24" s="1131">
        <v>336.8</v>
      </c>
      <c r="AV24" s="1131">
        <v>340.3</v>
      </c>
      <c r="AW24" s="1131">
        <v>348.4</v>
      </c>
      <c r="AX24" s="1131">
        <v>353.2</v>
      </c>
      <c r="AY24" s="1131">
        <v>360.2</v>
      </c>
      <c r="AZ24" s="1131">
        <v>365.8</v>
      </c>
      <c r="BA24" s="1131">
        <v>373.3</v>
      </c>
      <c r="BB24" s="1131">
        <v>377.4</v>
      </c>
      <c r="BC24" s="1131">
        <v>380.7</v>
      </c>
      <c r="BD24" s="1131">
        <v>387.8</v>
      </c>
      <c r="BE24" s="1131">
        <v>390.9</v>
      </c>
      <c r="BF24" s="1131">
        <v>401.6</v>
      </c>
      <c r="BG24" s="1131">
        <v>410.8</v>
      </c>
      <c r="BH24" s="1131">
        <v>421.7</v>
      </c>
      <c r="BI24" s="1131">
        <v>430.2</v>
      </c>
      <c r="BJ24" s="1131">
        <v>440.8</v>
      </c>
      <c r="BK24" s="1131">
        <v>453.2</v>
      </c>
      <c r="BL24" s="1131">
        <v>464.3</v>
      </c>
      <c r="BM24" s="1131">
        <v>472.1</v>
      </c>
      <c r="BN24" s="1131">
        <v>482.8</v>
      </c>
      <c r="BO24" s="1131">
        <v>489.7</v>
      </c>
      <c r="BP24" s="1131">
        <v>498.5</v>
      </c>
      <c r="BQ24" s="1131">
        <v>506.6</v>
      </c>
      <c r="BR24" s="1131">
        <v>516.5</v>
      </c>
      <c r="BS24" s="1131">
        <v>524</v>
      </c>
      <c r="BT24" s="1131">
        <v>532.1</v>
      </c>
      <c r="BU24" s="1131">
        <v>542.29999999999995</v>
      </c>
      <c r="BV24" s="1131">
        <v>551.1</v>
      </c>
      <c r="BW24" s="1131">
        <v>563.5</v>
      </c>
      <c r="BX24" s="1131">
        <v>570.79999999999995</v>
      </c>
      <c r="BY24" s="1131">
        <v>584.29999999999995</v>
      </c>
      <c r="BZ24" s="1131">
        <v>596.70000000000005</v>
      </c>
      <c r="CA24" s="1131">
        <v>611.5</v>
      </c>
      <c r="CB24" s="1131">
        <v>623.20000000000005</v>
      </c>
      <c r="CC24" s="1131">
        <v>639.70000000000005</v>
      </c>
      <c r="CD24" s="1131">
        <v>658.8</v>
      </c>
      <c r="CE24" s="1131">
        <v>666.8</v>
      </c>
      <c r="CF24" s="1131">
        <v>680.3</v>
      </c>
      <c r="CG24" s="1131">
        <v>698.8</v>
      </c>
      <c r="CH24" s="1131">
        <v>702.8</v>
      </c>
      <c r="CI24" s="1131">
        <v>709.9</v>
      </c>
      <c r="CJ24" s="1131">
        <v>719.9</v>
      </c>
      <c r="CK24" s="1131">
        <v>731.4</v>
      </c>
      <c r="CL24" s="1131">
        <v>746.1</v>
      </c>
      <c r="CM24" s="1131">
        <v>753.9</v>
      </c>
      <c r="CN24" s="1131">
        <v>759.8</v>
      </c>
      <c r="CO24" s="1131">
        <v>764.4</v>
      </c>
      <c r="CP24" s="1131">
        <v>771.5</v>
      </c>
      <c r="CQ24" s="1131">
        <v>782.3</v>
      </c>
      <c r="CR24" s="1131">
        <v>788.7</v>
      </c>
      <c r="CS24" s="1131">
        <v>796.5</v>
      </c>
      <c r="CT24" s="1131">
        <v>806.3</v>
      </c>
      <c r="CU24" s="1131">
        <v>820</v>
      </c>
      <c r="CV24" s="1131">
        <v>836.9</v>
      </c>
      <c r="CW24" s="1131">
        <v>847.1</v>
      </c>
      <c r="CX24" s="1131">
        <v>858.5</v>
      </c>
      <c r="CY24" s="1131">
        <v>871.9</v>
      </c>
      <c r="CZ24" s="1131">
        <v>876.3</v>
      </c>
      <c r="DA24" s="1131">
        <v>884.3</v>
      </c>
      <c r="DB24" s="1131">
        <v>891.5</v>
      </c>
      <c r="DC24" s="1131">
        <v>905.5</v>
      </c>
      <c r="DD24" s="1131">
        <v>919</v>
      </c>
      <c r="DE24" s="1131">
        <v>938.8</v>
      </c>
      <c r="DF24" s="1131">
        <v>945.3</v>
      </c>
      <c r="DG24" s="1131">
        <v>955.4</v>
      </c>
      <c r="DH24" s="1131">
        <v>969.2</v>
      </c>
      <c r="DI24" s="1131">
        <v>985.6</v>
      </c>
      <c r="DJ24" s="1131">
        <v>995.9</v>
      </c>
      <c r="DK24" s="1131">
        <v>1016.6</v>
      </c>
      <c r="DL24" s="1131">
        <v>1038.5999999999999</v>
      </c>
      <c r="DM24" s="1131">
        <v>1053.2</v>
      </c>
      <c r="DN24" s="1131">
        <v>1074</v>
      </c>
      <c r="DO24" s="1131">
        <v>1095.5</v>
      </c>
      <c r="DP24" s="1131">
        <v>1119.8</v>
      </c>
      <c r="DQ24" s="1131">
        <v>1147.4000000000001</v>
      </c>
      <c r="DR24" s="1131">
        <v>1170.5</v>
      </c>
      <c r="DS24" s="1131">
        <v>1181.3</v>
      </c>
      <c r="DT24" s="1131">
        <v>1198.5</v>
      </c>
      <c r="DU24" s="1131">
        <v>1223.0999999999999</v>
      </c>
      <c r="DV24" s="1131">
        <v>1253</v>
      </c>
      <c r="DW24" s="1131">
        <v>1281.5</v>
      </c>
      <c r="DX24" s="1131">
        <v>1279</v>
      </c>
      <c r="DY24" s="1131">
        <v>1305.9000000000001</v>
      </c>
      <c r="DZ24" s="1131">
        <v>1326</v>
      </c>
      <c r="EA24" s="1131">
        <v>1339.7</v>
      </c>
      <c r="EB24" s="1131">
        <v>1352.9</v>
      </c>
      <c r="EC24" s="1131">
        <v>1367</v>
      </c>
      <c r="ED24" s="1131">
        <v>1379.3</v>
      </c>
      <c r="EE24" s="1131">
        <v>1372.8</v>
      </c>
      <c r="EF24" s="1131">
        <v>1387.2</v>
      </c>
      <c r="EG24" s="1131">
        <v>1396</v>
      </c>
      <c r="EH24" s="1131">
        <v>1414.8</v>
      </c>
      <c r="EI24" s="1131">
        <v>1436.1</v>
      </c>
      <c r="EJ24" s="1131">
        <v>1453.9</v>
      </c>
      <c r="EK24" s="1131">
        <v>1479.2</v>
      </c>
      <c r="EL24" s="1131">
        <v>1494.3</v>
      </c>
      <c r="EM24" s="1131">
        <v>1513</v>
      </c>
      <c r="EN24" s="1131">
        <v>1538</v>
      </c>
      <c r="EO24" s="1131">
        <v>1564.8</v>
      </c>
      <c r="EP24" s="1131">
        <v>1583</v>
      </c>
      <c r="EQ24" s="1131">
        <v>1613.4</v>
      </c>
      <c r="ER24" s="1131">
        <v>1634.8</v>
      </c>
      <c r="ES24" s="1131">
        <v>1659.4</v>
      </c>
      <c r="ET24" s="1131">
        <v>1700.9</v>
      </c>
      <c r="EU24" s="1131">
        <v>1727.5</v>
      </c>
      <c r="EV24" s="1131">
        <v>1749.9</v>
      </c>
      <c r="EW24" s="1131">
        <v>1779.8</v>
      </c>
      <c r="EX24" s="1131">
        <v>1798.5</v>
      </c>
      <c r="EY24" s="1131">
        <v>1825</v>
      </c>
      <c r="EZ24" s="1131">
        <v>1858.8</v>
      </c>
      <c r="FA24" s="1131">
        <v>1842</v>
      </c>
      <c r="FB24" s="1131">
        <v>1836.8</v>
      </c>
      <c r="FC24" s="1131">
        <v>1857</v>
      </c>
      <c r="FD24" s="1131">
        <v>1863.8</v>
      </c>
      <c r="FE24" s="1131">
        <v>1864.6</v>
      </c>
      <c r="FF24" s="1131">
        <v>1855.5</v>
      </c>
      <c r="FG24" s="1131">
        <v>1860.7</v>
      </c>
      <c r="FH24" s="1131">
        <v>1854</v>
      </c>
      <c r="FI24" s="1131">
        <v>1851.4</v>
      </c>
      <c r="FJ24" s="1131">
        <v>1849.8</v>
      </c>
      <c r="FK24" s="1131">
        <v>1855.5</v>
      </c>
      <c r="FL24" s="1131">
        <v>1848.3</v>
      </c>
      <c r="FM24" s="1131">
        <v>1839.1</v>
      </c>
      <c r="FN24" s="1131">
        <v>1847.9</v>
      </c>
      <c r="FO24" s="1131">
        <v>1841.8</v>
      </c>
      <c r="FP24" s="1131">
        <v>1845.3</v>
      </c>
      <c r="FQ24" s="1131">
        <v>1862.7</v>
      </c>
      <c r="FR24" s="1131">
        <v>1884.9</v>
      </c>
      <c r="FS24" s="1131">
        <v>1899.8</v>
      </c>
      <c r="FT24" s="1131">
        <v>1915.8</v>
      </c>
      <c r="FU24" s="1131">
        <v>1923</v>
      </c>
      <c r="FV24" s="1131">
        <v>1926.4</v>
      </c>
      <c r="FW24" s="1131">
        <v>1944.1</v>
      </c>
      <c r="FX24" s="1131">
        <v>1962.5</v>
      </c>
      <c r="FY24" s="1131">
        <v>1978.3</v>
      </c>
      <c r="FZ24" s="1131">
        <v>1973.3</v>
      </c>
      <c r="GA24" s="1131">
        <v>2011.4</v>
      </c>
      <c r="GB24" s="1131">
        <v>2029.4</v>
      </c>
      <c r="GC24" s="1131">
        <v>2025.2</v>
      </c>
      <c r="GD24" s="1131">
        <v>2040.9</v>
      </c>
      <c r="GE24" s="1131">
        <v>2061.6</v>
      </c>
      <c r="GF24" s="1131">
        <v>2077.6999999999998</v>
      </c>
      <c r="GG24" s="1131">
        <v>2094</v>
      </c>
      <c r="GH24" s="1131">
        <v>2114.8000000000002</v>
      </c>
      <c r="GI24" s="1131">
        <v>2120.6</v>
      </c>
      <c r="GJ24" s="1131">
        <v>2137.5</v>
      </c>
      <c r="GK24" s="1131">
        <v>2172.1999999999998</v>
      </c>
      <c r="GL24" s="1131">
        <v>2199.6999999999998</v>
      </c>
      <c r="GM24" s="1131">
        <v>2232.6</v>
      </c>
      <c r="GN24" s="1131">
        <v>2250.1</v>
      </c>
      <c r="GO24" s="1131">
        <v>2249.6999999999998</v>
      </c>
      <c r="GP24" s="1131">
        <v>2263.5</v>
      </c>
      <c r="GQ24" s="1131">
        <v>2296</v>
      </c>
      <c r="GR24" s="1131">
        <v>2307.1999999999998</v>
      </c>
      <c r="GS24" s="1131">
        <v>2329.1999999999998</v>
      </c>
      <c r="GT24" s="1131">
        <v>2376.9</v>
      </c>
      <c r="GU24" s="1131">
        <v>2334.6</v>
      </c>
      <c r="GV24" s="1131">
        <v>2346.5</v>
      </c>
      <c r="GW24" s="1131">
        <v>2373</v>
      </c>
      <c r="GX24" s="1131">
        <v>2408.6999999999998</v>
      </c>
      <c r="GY24" s="1131">
        <v>2452.6</v>
      </c>
    </row>
    <row r="25" spans="1:207" x14ac:dyDescent="0.35">
      <c r="A25" s="1131" t="s">
        <v>221</v>
      </c>
      <c r="B25" s="1131">
        <v>714</v>
      </c>
      <c r="C25" s="1131">
        <v>695.2</v>
      </c>
      <c r="D25" s="1131">
        <v>686.7</v>
      </c>
      <c r="E25" s="1131">
        <v>684.1</v>
      </c>
      <c r="F25" s="1131">
        <v>662.1</v>
      </c>
      <c r="G25" s="1131">
        <v>654.4</v>
      </c>
      <c r="H25" s="1131">
        <v>651.5</v>
      </c>
      <c r="I25" s="1131">
        <v>634.4</v>
      </c>
      <c r="J25" s="1131">
        <v>639.70000000000005</v>
      </c>
      <c r="K25" s="1131">
        <v>645.9</v>
      </c>
      <c r="L25" s="1131">
        <v>616.29999999999995</v>
      </c>
      <c r="M25" s="1131">
        <v>617.9</v>
      </c>
      <c r="N25" s="1131">
        <v>625.9</v>
      </c>
      <c r="O25" s="1131">
        <v>615.79999999999995</v>
      </c>
      <c r="P25" s="1131">
        <v>594</v>
      </c>
      <c r="Q25" s="1131">
        <v>595.4</v>
      </c>
      <c r="R25" s="1131">
        <v>609.70000000000005</v>
      </c>
      <c r="S25" s="1131">
        <v>607.6</v>
      </c>
      <c r="T25" s="1131">
        <v>611.5</v>
      </c>
      <c r="U25" s="1131">
        <v>617.6</v>
      </c>
      <c r="V25" s="1131">
        <v>611.1</v>
      </c>
      <c r="W25" s="1131">
        <v>605</v>
      </c>
      <c r="X25" s="1131">
        <v>620.6</v>
      </c>
      <c r="Y25" s="1131">
        <v>622.70000000000005</v>
      </c>
      <c r="Z25" s="1131">
        <v>616.5</v>
      </c>
      <c r="AA25" s="1131">
        <v>614.4</v>
      </c>
      <c r="AB25" s="1131">
        <v>615.29999999999995</v>
      </c>
      <c r="AC25" s="1131">
        <v>616.70000000000005</v>
      </c>
      <c r="AD25" s="1131">
        <v>620.9</v>
      </c>
      <c r="AE25" s="1131">
        <v>628.79999999999995</v>
      </c>
      <c r="AF25" s="1131">
        <v>635.1</v>
      </c>
      <c r="AG25" s="1131">
        <v>630.70000000000005</v>
      </c>
      <c r="AH25" s="1131">
        <v>631.1</v>
      </c>
      <c r="AI25" s="1131">
        <v>643.29999999999995</v>
      </c>
      <c r="AJ25" s="1131">
        <v>647.5</v>
      </c>
      <c r="AK25" s="1131">
        <v>653</v>
      </c>
      <c r="AL25" s="1131">
        <v>652</v>
      </c>
      <c r="AM25" s="1131">
        <v>658.6</v>
      </c>
      <c r="AN25" s="1131">
        <v>660.2</v>
      </c>
      <c r="AO25" s="1131">
        <v>660.9</v>
      </c>
      <c r="AP25" s="1131">
        <v>678.5</v>
      </c>
      <c r="AQ25" s="1131">
        <v>691.9</v>
      </c>
      <c r="AR25" s="1131">
        <v>684</v>
      </c>
      <c r="AS25" s="1131">
        <v>687.4</v>
      </c>
      <c r="AT25" s="1131">
        <v>700.9</v>
      </c>
      <c r="AU25" s="1131">
        <v>718.9</v>
      </c>
      <c r="AV25" s="1131">
        <v>715.9</v>
      </c>
      <c r="AW25" s="1131">
        <v>728.8</v>
      </c>
      <c r="AX25" s="1131">
        <v>729.3</v>
      </c>
      <c r="AY25" s="1131">
        <v>732.3</v>
      </c>
      <c r="AZ25" s="1131">
        <v>744.3</v>
      </c>
      <c r="BA25" s="1131">
        <v>761.9</v>
      </c>
      <c r="BB25" s="1131">
        <v>773.9</v>
      </c>
      <c r="BC25" s="1131">
        <v>788.3</v>
      </c>
      <c r="BD25" s="1131">
        <v>808.7</v>
      </c>
      <c r="BE25" s="1131">
        <v>782.5</v>
      </c>
      <c r="BF25" s="1131">
        <v>789.2</v>
      </c>
      <c r="BG25" s="1131">
        <v>813.1</v>
      </c>
      <c r="BH25" s="1131">
        <v>812.3</v>
      </c>
      <c r="BI25" s="1131">
        <v>838.4</v>
      </c>
      <c r="BJ25" s="1131">
        <v>846</v>
      </c>
      <c r="BK25" s="1131">
        <v>868.3</v>
      </c>
      <c r="BL25" s="1131">
        <v>894.2</v>
      </c>
      <c r="BM25" s="1131">
        <v>894.7</v>
      </c>
      <c r="BN25" s="1131">
        <v>892.2</v>
      </c>
      <c r="BO25" s="1131">
        <v>921.1</v>
      </c>
      <c r="BP25" s="1131">
        <v>953</v>
      </c>
      <c r="BQ25" s="1131">
        <v>941.8</v>
      </c>
      <c r="BR25" s="1131">
        <v>947.9</v>
      </c>
      <c r="BS25" s="1131">
        <v>960.8</v>
      </c>
      <c r="BT25" s="1131">
        <v>959.5</v>
      </c>
      <c r="BU25" s="1131">
        <v>975.7</v>
      </c>
      <c r="BV25" s="1131">
        <v>947.7</v>
      </c>
      <c r="BW25" s="1131">
        <v>940.6</v>
      </c>
      <c r="BX25" s="1131">
        <v>936.1</v>
      </c>
      <c r="BY25" s="1131">
        <v>962.1</v>
      </c>
      <c r="BZ25" s="1131">
        <v>944.5</v>
      </c>
      <c r="CA25" s="1131">
        <v>963.7</v>
      </c>
      <c r="CB25" s="1131">
        <v>971.6</v>
      </c>
      <c r="CC25" s="1131">
        <v>967.1</v>
      </c>
      <c r="CD25" s="1131">
        <v>983.2</v>
      </c>
      <c r="CE25" s="1131">
        <v>984.5</v>
      </c>
      <c r="CF25" s="1131">
        <v>980.1</v>
      </c>
      <c r="CG25" s="1131">
        <v>981.3</v>
      </c>
      <c r="CH25" s="1131">
        <v>992.5</v>
      </c>
      <c r="CI25" s="1131">
        <v>996.6</v>
      </c>
      <c r="CJ25" s="1131">
        <v>983.4</v>
      </c>
      <c r="CK25" s="1131">
        <v>958.8</v>
      </c>
      <c r="CL25" s="1131">
        <v>962.4</v>
      </c>
      <c r="CM25" s="1131">
        <v>959.9</v>
      </c>
      <c r="CN25" s="1131">
        <v>973.4</v>
      </c>
      <c r="CO25" s="1131">
        <v>974.1</v>
      </c>
      <c r="CP25" s="1131">
        <v>942.2</v>
      </c>
      <c r="CQ25" s="1131">
        <v>932.3</v>
      </c>
      <c r="CR25" s="1131">
        <v>928.8</v>
      </c>
      <c r="CS25" s="1131">
        <v>930.4</v>
      </c>
      <c r="CT25" s="1131">
        <v>897.9</v>
      </c>
      <c r="CU25" s="1131">
        <v>894.1</v>
      </c>
      <c r="CV25" s="1131">
        <v>915.8</v>
      </c>
      <c r="CW25" s="1131">
        <v>891.7</v>
      </c>
      <c r="CX25" s="1131">
        <v>889.2</v>
      </c>
      <c r="CY25" s="1131">
        <v>886.2</v>
      </c>
      <c r="CZ25" s="1131">
        <v>879.1</v>
      </c>
      <c r="DA25" s="1131">
        <v>849.1</v>
      </c>
      <c r="DB25" s="1131">
        <v>865.9</v>
      </c>
      <c r="DC25" s="1131">
        <v>874.1</v>
      </c>
      <c r="DD25" s="1131">
        <v>862.5</v>
      </c>
      <c r="DE25" s="1131">
        <v>858.3</v>
      </c>
      <c r="DF25" s="1131">
        <v>846.2</v>
      </c>
      <c r="DG25" s="1131">
        <v>865</v>
      </c>
      <c r="DH25" s="1131">
        <v>861.3</v>
      </c>
      <c r="DI25" s="1131">
        <v>859.9</v>
      </c>
      <c r="DJ25" s="1131">
        <v>838.5</v>
      </c>
      <c r="DK25" s="1131">
        <v>854.9</v>
      </c>
      <c r="DL25" s="1131">
        <v>851.6</v>
      </c>
      <c r="DM25" s="1131">
        <v>857</v>
      </c>
      <c r="DN25" s="1131">
        <v>856.3</v>
      </c>
      <c r="DO25" s="1131">
        <v>855.4</v>
      </c>
      <c r="DP25" s="1131">
        <v>869</v>
      </c>
      <c r="DQ25" s="1131">
        <v>886.8</v>
      </c>
      <c r="DR25" s="1131">
        <v>857.6</v>
      </c>
      <c r="DS25" s="1131">
        <v>884.1</v>
      </c>
      <c r="DT25" s="1131">
        <v>867</v>
      </c>
      <c r="DU25" s="1131">
        <v>868.9</v>
      </c>
      <c r="DV25" s="1131">
        <v>887.5</v>
      </c>
      <c r="DW25" s="1131">
        <v>900.4</v>
      </c>
      <c r="DX25" s="1131">
        <v>905.8</v>
      </c>
      <c r="DY25" s="1131">
        <v>916.6</v>
      </c>
      <c r="DZ25" s="1131">
        <v>946.8</v>
      </c>
      <c r="EA25" s="1131">
        <v>965.2</v>
      </c>
      <c r="EB25" s="1131">
        <v>974.7</v>
      </c>
      <c r="EC25" s="1131">
        <v>991.3</v>
      </c>
      <c r="ED25" s="1131">
        <v>1002.5</v>
      </c>
      <c r="EE25" s="1131">
        <v>1037.0999999999999</v>
      </c>
      <c r="EF25" s="1131">
        <v>1036.8</v>
      </c>
      <c r="EG25" s="1131">
        <v>1056.0999999999999</v>
      </c>
      <c r="EH25" s="1131">
        <v>1067.5999999999999</v>
      </c>
      <c r="EI25" s="1131">
        <v>1073.9000000000001</v>
      </c>
      <c r="EJ25" s="1131">
        <v>1085.7</v>
      </c>
      <c r="EK25" s="1131">
        <v>1083.7</v>
      </c>
      <c r="EL25" s="1131">
        <v>1095.8</v>
      </c>
      <c r="EM25" s="1131">
        <v>1094.5999999999999</v>
      </c>
      <c r="EN25" s="1131">
        <v>1103.0999999999999</v>
      </c>
      <c r="EO25" s="1131">
        <v>1103.5</v>
      </c>
      <c r="EP25" s="1131">
        <v>1132.2</v>
      </c>
      <c r="EQ25" s="1131">
        <v>1124.4000000000001</v>
      </c>
      <c r="ER25" s="1131">
        <v>1114.3</v>
      </c>
      <c r="ES25" s="1131">
        <v>1130.4000000000001</v>
      </c>
      <c r="ET25" s="1131">
        <v>1123.7</v>
      </c>
      <c r="EU25" s="1131">
        <v>1142.0999999999999</v>
      </c>
      <c r="EV25" s="1131">
        <v>1152.0999999999999</v>
      </c>
      <c r="EW25" s="1131">
        <v>1171.3</v>
      </c>
      <c r="EX25" s="1131">
        <v>1189.0999999999999</v>
      </c>
      <c r="EY25" s="1131">
        <v>1214.5</v>
      </c>
      <c r="EZ25" s="1131">
        <v>1230.3</v>
      </c>
      <c r="FA25" s="1131">
        <v>1246.3</v>
      </c>
      <c r="FB25" s="1131">
        <v>1262.8</v>
      </c>
      <c r="FC25" s="1131">
        <v>1292.8</v>
      </c>
      <c r="FD25" s="1131">
        <v>1304.5999999999999</v>
      </c>
      <c r="FE25" s="1131">
        <v>1324</v>
      </c>
      <c r="FF25" s="1131">
        <v>1338.8</v>
      </c>
      <c r="FG25" s="1131">
        <v>1356.4</v>
      </c>
      <c r="FH25" s="1131">
        <v>1350.2</v>
      </c>
      <c r="FI25" s="1131">
        <v>1348</v>
      </c>
      <c r="FJ25" s="1131">
        <v>1329</v>
      </c>
      <c r="FK25" s="1131">
        <v>1323.9</v>
      </c>
      <c r="FL25" s="1131">
        <v>1295.0999999999999</v>
      </c>
      <c r="FM25" s="1131">
        <v>1299.9000000000001</v>
      </c>
      <c r="FN25" s="1131">
        <v>1299.9000000000001</v>
      </c>
      <c r="FO25" s="1131">
        <v>1289.5</v>
      </c>
      <c r="FP25" s="1131">
        <v>1292.2</v>
      </c>
      <c r="FQ25" s="1131">
        <v>1266.4000000000001</v>
      </c>
      <c r="FR25" s="1131">
        <v>1237.4000000000001</v>
      </c>
      <c r="FS25" s="1131">
        <v>1227.4000000000001</v>
      </c>
      <c r="FT25" s="1131">
        <v>1209.5999999999999</v>
      </c>
      <c r="FU25" s="1131">
        <v>1188.9000000000001</v>
      </c>
      <c r="FV25" s="1131">
        <v>1187.7</v>
      </c>
      <c r="FW25" s="1131">
        <v>1180.7</v>
      </c>
      <c r="FX25" s="1131">
        <v>1193.9000000000001</v>
      </c>
      <c r="FY25" s="1131">
        <v>1176.5</v>
      </c>
      <c r="FZ25" s="1131">
        <v>1181.3</v>
      </c>
      <c r="GA25" s="1131">
        <v>1183.5</v>
      </c>
      <c r="GB25" s="1131">
        <v>1182.3</v>
      </c>
      <c r="GC25" s="1131">
        <v>1191.0999999999999</v>
      </c>
      <c r="GD25" s="1131">
        <v>1194</v>
      </c>
      <c r="GE25" s="1131">
        <v>1184.3</v>
      </c>
      <c r="GF25" s="1131">
        <v>1191.5</v>
      </c>
      <c r="GG25" s="1131">
        <v>1192.3</v>
      </c>
      <c r="GH25" s="1131">
        <v>1183.8</v>
      </c>
      <c r="GI25" s="1131">
        <v>1193.7</v>
      </c>
      <c r="GJ25" s="1131">
        <v>1193.4000000000001</v>
      </c>
      <c r="GK25" s="1131">
        <v>1207.7</v>
      </c>
      <c r="GL25" s="1131">
        <v>1213</v>
      </c>
      <c r="GM25" s="1131">
        <v>1228.0999999999999</v>
      </c>
      <c r="GN25" s="1131">
        <v>1238.5</v>
      </c>
      <c r="GO25" s="1131">
        <v>1244.2</v>
      </c>
      <c r="GP25" s="1131">
        <v>1248.7</v>
      </c>
      <c r="GQ25" s="1131">
        <v>1275.5</v>
      </c>
      <c r="GR25" s="1131">
        <v>1286.8</v>
      </c>
      <c r="GS25" s="1131">
        <v>1298</v>
      </c>
      <c r="GT25" s="1131">
        <v>1305.8</v>
      </c>
      <c r="GU25" s="1131">
        <v>1368.4</v>
      </c>
      <c r="GV25" s="1131">
        <v>1349.6</v>
      </c>
      <c r="GW25" s="1131">
        <v>1338.8</v>
      </c>
      <c r="GX25" s="1131">
        <v>1375.2</v>
      </c>
      <c r="GY25" s="1131">
        <v>1356.7</v>
      </c>
    </row>
    <row r="26" spans="1:207" x14ac:dyDescent="0.35">
      <c r="A26" s="1131" t="s">
        <v>222</v>
      </c>
      <c r="B26" s="1131">
        <v>834.4</v>
      </c>
      <c r="C26" s="1131">
        <v>838.9</v>
      </c>
      <c r="D26" s="1131">
        <v>858.1</v>
      </c>
      <c r="E26" s="1131">
        <v>862.4</v>
      </c>
      <c r="F26" s="1131">
        <v>866</v>
      </c>
      <c r="G26" s="1131">
        <v>872.4</v>
      </c>
      <c r="H26" s="1131">
        <v>875.4</v>
      </c>
      <c r="I26" s="1131">
        <v>886.4</v>
      </c>
      <c r="J26" s="1131">
        <v>888.8</v>
      </c>
      <c r="K26" s="1131">
        <v>887.3</v>
      </c>
      <c r="L26" s="1131">
        <v>894.4</v>
      </c>
      <c r="M26" s="1131">
        <v>906.7</v>
      </c>
      <c r="N26" s="1131">
        <v>910.9</v>
      </c>
      <c r="O26" s="1131">
        <v>912.4</v>
      </c>
      <c r="P26" s="1131">
        <v>921.9</v>
      </c>
      <c r="Q26" s="1131">
        <v>933.1</v>
      </c>
      <c r="R26" s="1131">
        <v>944.9</v>
      </c>
      <c r="S26" s="1131">
        <v>956.6</v>
      </c>
      <c r="T26" s="1131">
        <v>954.8</v>
      </c>
      <c r="U26" s="1131">
        <v>955.2</v>
      </c>
      <c r="V26" s="1131">
        <v>983.4</v>
      </c>
      <c r="W26" s="1131">
        <v>976.4</v>
      </c>
      <c r="X26" s="1131">
        <v>988.9</v>
      </c>
      <c r="Y26" s="1131">
        <v>1002.1</v>
      </c>
      <c r="Z26" s="1131">
        <v>1013.3</v>
      </c>
      <c r="AA26" s="1131">
        <v>995.6</v>
      </c>
      <c r="AB26" s="1131">
        <v>989</v>
      </c>
      <c r="AC26" s="1131">
        <v>986</v>
      </c>
      <c r="AD26" s="1131">
        <v>995.8</v>
      </c>
      <c r="AE26" s="1131">
        <v>1001.9</v>
      </c>
      <c r="AF26" s="1131">
        <v>1000.8</v>
      </c>
      <c r="AG26" s="1131">
        <v>1002.4</v>
      </c>
      <c r="AH26" s="1131">
        <v>1002.2</v>
      </c>
      <c r="AI26" s="1131">
        <v>1032.3</v>
      </c>
      <c r="AJ26" s="1131">
        <v>1044.2</v>
      </c>
      <c r="AK26" s="1131">
        <v>1054.0999999999999</v>
      </c>
      <c r="AL26" s="1131">
        <v>1036.2</v>
      </c>
      <c r="AM26" s="1131">
        <v>1046</v>
      </c>
      <c r="AN26" s="1131">
        <v>1049.5999999999999</v>
      </c>
      <c r="AO26" s="1131">
        <v>1061.4000000000001</v>
      </c>
      <c r="AP26" s="1131">
        <v>1066.3</v>
      </c>
      <c r="AQ26" s="1131">
        <v>1052.2</v>
      </c>
      <c r="AR26" s="1131">
        <v>1035.9000000000001</v>
      </c>
      <c r="AS26" s="1131">
        <v>1030.8</v>
      </c>
      <c r="AT26" s="1131">
        <v>1038.9000000000001</v>
      </c>
      <c r="AU26" s="1131">
        <v>1019</v>
      </c>
      <c r="AV26" s="1131">
        <v>1016.1</v>
      </c>
      <c r="AW26" s="1131">
        <v>1024</v>
      </c>
      <c r="AX26" s="1131">
        <v>1021.2</v>
      </c>
      <c r="AY26" s="1131">
        <v>1024.8</v>
      </c>
      <c r="AZ26" s="1131">
        <v>1024.8</v>
      </c>
      <c r="BA26" s="1131">
        <v>1032.5</v>
      </c>
      <c r="BB26" s="1131">
        <v>1036.3</v>
      </c>
      <c r="BC26" s="1131">
        <v>1034.2</v>
      </c>
      <c r="BD26" s="1131">
        <v>1043.2</v>
      </c>
      <c r="BE26" s="1131">
        <v>1043.9000000000001</v>
      </c>
      <c r="BF26" s="1131">
        <v>1057.0999999999999</v>
      </c>
      <c r="BG26" s="1131">
        <v>1071.2</v>
      </c>
      <c r="BH26" s="1131">
        <v>1089.5</v>
      </c>
      <c r="BI26" s="1131">
        <v>1100.5</v>
      </c>
      <c r="BJ26" s="1131">
        <v>1114.4000000000001</v>
      </c>
      <c r="BK26" s="1131">
        <v>1134.5999999999999</v>
      </c>
      <c r="BL26" s="1131">
        <v>1152.7</v>
      </c>
      <c r="BM26" s="1131">
        <v>1161.5</v>
      </c>
      <c r="BN26" s="1131">
        <v>1182.9000000000001</v>
      </c>
      <c r="BO26" s="1131">
        <v>1194.4000000000001</v>
      </c>
      <c r="BP26" s="1131">
        <v>1205.5</v>
      </c>
      <c r="BQ26" s="1131">
        <v>1209.5</v>
      </c>
      <c r="BR26" s="1131">
        <v>1215.9000000000001</v>
      </c>
      <c r="BS26" s="1131">
        <v>1218.5999999999999</v>
      </c>
      <c r="BT26" s="1131">
        <v>1222.8</v>
      </c>
      <c r="BU26" s="1131">
        <v>1238.9000000000001</v>
      </c>
      <c r="BV26" s="1131">
        <v>1252.5999999999999</v>
      </c>
      <c r="BW26" s="1131">
        <v>1268.4000000000001</v>
      </c>
      <c r="BX26" s="1131">
        <v>1274.0999999999999</v>
      </c>
      <c r="BY26" s="1131">
        <v>1289.4000000000001</v>
      </c>
      <c r="BZ26" s="1131">
        <v>1299.8</v>
      </c>
      <c r="CA26" s="1131">
        <v>1314.2</v>
      </c>
      <c r="CB26" s="1131">
        <v>1326.9</v>
      </c>
      <c r="CC26" s="1131">
        <v>1344.6</v>
      </c>
      <c r="CD26" s="1131">
        <v>1365.4</v>
      </c>
      <c r="CE26" s="1131">
        <v>1367.9</v>
      </c>
      <c r="CF26" s="1131">
        <v>1377</v>
      </c>
      <c r="CG26" s="1131">
        <v>1392.4</v>
      </c>
      <c r="CH26" s="1131">
        <v>1394.5</v>
      </c>
      <c r="CI26" s="1131">
        <v>1400.1</v>
      </c>
      <c r="CJ26" s="1131">
        <v>1408.3</v>
      </c>
      <c r="CK26" s="1131">
        <v>1418.2</v>
      </c>
      <c r="CL26" s="1131">
        <v>1436.5</v>
      </c>
      <c r="CM26" s="1131">
        <v>1434.4</v>
      </c>
      <c r="CN26" s="1131">
        <v>1435</v>
      </c>
      <c r="CO26" s="1131">
        <v>1433.9</v>
      </c>
      <c r="CP26" s="1131">
        <v>1438.9</v>
      </c>
      <c r="CQ26" s="1131">
        <v>1450.6</v>
      </c>
      <c r="CR26" s="1131">
        <v>1458.2</v>
      </c>
      <c r="CS26" s="1131">
        <v>1465.3</v>
      </c>
      <c r="CT26" s="1131">
        <v>1471.3</v>
      </c>
      <c r="CU26" s="1131">
        <v>1488.1</v>
      </c>
      <c r="CV26" s="1131">
        <v>1505.6</v>
      </c>
      <c r="CW26" s="1131">
        <v>1511.1</v>
      </c>
      <c r="CX26" s="1131">
        <v>1522.9</v>
      </c>
      <c r="CY26" s="1131">
        <v>1534.9</v>
      </c>
      <c r="CZ26" s="1131">
        <v>1536.4</v>
      </c>
      <c r="DA26" s="1131">
        <v>1544.4</v>
      </c>
      <c r="DB26" s="1131">
        <v>1541.6</v>
      </c>
      <c r="DC26" s="1131">
        <v>1563.8</v>
      </c>
      <c r="DD26" s="1131">
        <v>1577.1</v>
      </c>
      <c r="DE26" s="1131">
        <v>1599.6</v>
      </c>
      <c r="DF26" s="1131">
        <v>1600.1</v>
      </c>
      <c r="DG26" s="1131">
        <v>1611.9</v>
      </c>
      <c r="DH26" s="1131">
        <v>1628.1</v>
      </c>
      <c r="DI26" s="1131">
        <v>1642.8</v>
      </c>
      <c r="DJ26" s="1131">
        <v>1657.8</v>
      </c>
      <c r="DK26" s="1131">
        <v>1684.9</v>
      </c>
      <c r="DL26" s="1131">
        <v>1708.6</v>
      </c>
      <c r="DM26" s="1131">
        <v>1718.3</v>
      </c>
      <c r="DN26" s="1131">
        <v>1737.3</v>
      </c>
      <c r="DO26" s="1131">
        <v>1748.4</v>
      </c>
      <c r="DP26" s="1131">
        <v>1766</v>
      </c>
      <c r="DQ26" s="1131">
        <v>1788.9</v>
      </c>
      <c r="DR26" s="1131">
        <v>1801.7</v>
      </c>
      <c r="DS26" s="1131">
        <v>1799.2</v>
      </c>
      <c r="DT26" s="1131">
        <v>1806.2</v>
      </c>
      <c r="DU26" s="1131">
        <v>1820.6</v>
      </c>
      <c r="DV26" s="1131">
        <v>1842.9</v>
      </c>
      <c r="DW26" s="1131">
        <v>1877.7</v>
      </c>
      <c r="DX26" s="1131">
        <v>1869</v>
      </c>
      <c r="DY26" s="1131">
        <v>1904.3</v>
      </c>
      <c r="DZ26" s="1131">
        <v>1923.7</v>
      </c>
      <c r="EA26" s="1131">
        <v>1926.3</v>
      </c>
      <c r="EB26" s="1131">
        <v>1931.3</v>
      </c>
      <c r="EC26" s="1131">
        <v>1935.3</v>
      </c>
      <c r="ED26" s="1131">
        <v>1925.3</v>
      </c>
      <c r="EE26" s="1131">
        <v>1914.9</v>
      </c>
      <c r="EF26" s="1131">
        <v>1921.9</v>
      </c>
      <c r="EG26" s="1131">
        <v>1919.2</v>
      </c>
      <c r="EH26" s="1131">
        <v>1920.6</v>
      </c>
      <c r="EI26" s="1131">
        <v>1922.1</v>
      </c>
      <c r="EJ26" s="1131">
        <v>1914.9</v>
      </c>
      <c r="EK26" s="1131">
        <v>1915.3</v>
      </c>
      <c r="EL26" s="1131">
        <v>1917.6</v>
      </c>
      <c r="EM26" s="1131">
        <v>1917</v>
      </c>
      <c r="EN26" s="1131">
        <v>1918.2</v>
      </c>
      <c r="EO26" s="1131">
        <v>1920.2</v>
      </c>
      <c r="EP26" s="1131">
        <v>1928.9</v>
      </c>
      <c r="EQ26" s="1131">
        <v>1936.2</v>
      </c>
      <c r="ER26" s="1131">
        <v>1942.4</v>
      </c>
      <c r="ES26" s="1131">
        <v>1951</v>
      </c>
      <c r="ET26" s="1131">
        <v>1962.4</v>
      </c>
      <c r="EU26" s="1131">
        <v>1971.8</v>
      </c>
      <c r="EV26" s="1131">
        <v>1975.8</v>
      </c>
      <c r="EW26" s="1131">
        <v>1980.8</v>
      </c>
      <c r="EX26" s="1131">
        <v>1970</v>
      </c>
      <c r="EY26" s="1131">
        <v>1971.6</v>
      </c>
      <c r="EZ26" s="1131">
        <v>1981.5</v>
      </c>
      <c r="FA26" s="1131">
        <v>1987.3</v>
      </c>
      <c r="FB26" s="1131">
        <v>2007.7</v>
      </c>
      <c r="FC26" s="1131">
        <v>2025.2</v>
      </c>
      <c r="FD26" s="1131">
        <v>2022.3</v>
      </c>
      <c r="FE26" s="1131">
        <v>2008.4</v>
      </c>
      <c r="FF26" s="1131">
        <v>1978.9</v>
      </c>
      <c r="FG26" s="1131">
        <v>1971.3</v>
      </c>
      <c r="FH26" s="1131">
        <v>1953.9</v>
      </c>
      <c r="FI26" s="1131">
        <v>1934.9</v>
      </c>
      <c r="FJ26" s="1131">
        <v>1913.8</v>
      </c>
      <c r="FK26" s="1131">
        <v>1896.9</v>
      </c>
      <c r="FL26" s="1131">
        <v>1879.8</v>
      </c>
      <c r="FM26" s="1131">
        <v>1872.6</v>
      </c>
      <c r="FN26" s="1131">
        <v>1859</v>
      </c>
      <c r="FO26" s="1131">
        <v>1852.9</v>
      </c>
      <c r="FP26" s="1131">
        <v>1845.5</v>
      </c>
      <c r="FQ26" s="1131">
        <v>1840.5</v>
      </c>
      <c r="FR26" s="1131">
        <v>1841.3</v>
      </c>
      <c r="FS26" s="1131">
        <v>1846</v>
      </c>
      <c r="FT26" s="1131">
        <v>1847</v>
      </c>
      <c r="FU26" s="1131">
        <v>1843.4</v>
      </c>
      <c r="FV26" s="1131">
        <v>1832.2</v>
      </c>
      <c r="FW26" s="1131">
        <v>1842.7</v>
      </c>
      <c r="FX26" s="1131">
        <v>1849.9</v>
      </c>
      <c r="FY26" s="1131">
        <v>1865.4</v>
      </c>
      <c r="FZ26" s="1131">
        <v>1876.3</v>
      </c>
      <c r="GA26" s="1131">
        <v>1900</v>
      </c>
      <c r="GB26" s="1131">
        <v>1915.1</v>
      </c>
      <c r="GC26" s="1131">
        <v>1917.5</v>
      </c>
      <c r="GD26" s="1131">
        <v>1946.9</v>
      </c>
      <c r="GE26" s="1131">
        <v>1951.6</v>
      </c>
      <c r="GF26" s="1131">
        <v>1960.4</v>
      </c>
      <c r="GG26" s="1131">
        <v>1966.2</v>
      </c>
      <c r="GH26" s="1131">
        <v>1967.8</v>
      </c>
      <c r="GI26" s="1131">
        <v>1967.5</v>
      </c>
      <c r="GJ26" s="1131">
        <v>1965.3</v>
      </c>
      <c r="GK26" s="1131">
        <v>1973.4</v>
      </c>
      <c r="GL26" s="1131">
        <v>1974.9</v>
      </c>
      <c r="GM26" s="1131">
        <v>1982.5</v>
      </c>
      <c r="GN26" s="1131">
        <v>1980.2</v>
      </c>
      <c r="GO26" s="1131">
        <v>1968.1</v>
      </c>
      <c r="GP26" s="1131">
        <v>1985.4</v>
      </c>
      <c r="GQ26" s="1131">
        <v>1998.7</v>
      </c>
      <c r="GR26" s="1131">
        <v>2004.3</v>
      </c>
      <c r="GS26" s="1131">
        <v>2017.6</v>
      </c>
      <c r="GT26" s="1131">
        <v>2039.7</v>
      </c>
      <c r="GU26" s="1131">
        <v>2011</v>
      </c>
      <c r="GV26" s="1131">
        <v>2011.4</v>
      </c>
      <c r="GW26" s="1131">
        <v>2017.6</v>
      </c>
      <c r="GX26" s="1131">
        <v>2017.1</v>
      </c>
      <c r="GY26" s="1131">
        <v>2017.9</v>
      </c>
    </row>
    <row r="27" spans="1:207" x14ac:dyDescent="0.35">
      <c r="A27" s="1131" t="s">
        <v>223</v>
      </c>
      <c r="B27" s="1131">
        <v>90.6</v>
      </c>
      <c r="C27" s="1131">
        <v>91.4</v>
      </c>
      <c r="D27" s="1131">
        <v>86.3</v>
      </c>
      <c r="E27" s="1131">
        <v>87.2</v>
      </c>
      <c r="F27" s="1131">
        <v>83.6</v>
      </c>
      <c r="G27" s="1131">
        <v>85.1</v>
      </c>
      <c r="H27" s="1131">
        <v>86.3</v>
      </c>
      <c r="I27" s="1131">
        <v>88.2</v>
      </c>
      <c r="J27" s="1131">
        <v>100.3</v>
      </c>
      <c r="K27" s="1131">
        <v>102.4</v>
      </c>
      <c r="L27" s="1131">
        <v>103.1</v>
      </c>
      <c r="M27" s="1131">
        <v>105.3</v>
      </c>
      <c r="N27" s="1131">
        <v>104.5</v>
      </c>
      <c r="O27" s="1131">
        <v>106.9</v>
      </c>
      <c r="P27" s="1131">
        <v>111</v>
      </c>
      <c r="Q27" s="1131">
        <v>116</v>
      </c>
      <c r="R27" s="1131">
        <v>119.5</v>
      </c>
      <c r="S27" s="1131">
        <v>124.8</v>
      </c>
      <c r="T27" s="1131">
        <v>129.69999999999999</v>
      </c>
      <c r="U27" s="1131">
        <v>132</v>
      </c>
      <c r="V27" s="1131">
        <v>132.30000000000001</v>
      </c>
      <c r="W27" s="1131">
        <v>94.6</v>
      </c>
      <c r="X27" s="1131">
        <v>125.7</v>
      </c>
      <c r="Y27" s="1131">
        <v>130.4</v>
      </c>
      <c r="Z27" s="1131">
        <v>133</v>
      </c>
      <c r="AA27" s="1131">
        <v>138.69999999999999</v>
      </c>
      <c r="AB27" s="1131">
        <v>144.5</v>
      </c>
      <c r="AC27" s="1131">
        <v>150.1</v>
      </c>
      <c r="AD27" s="1131">
        <v>155.30000000000001</v>
      </c>
      <c r="AE27" s="1131">
        <v>161</v>
      </c>
      <c r="AF27" s="1131">
        <v>162.6</v>
      </c>
      <c r="AG27" s="1131">
        <v>171.2</v>
      </c>
      <c r="AH27" s="1131">
        <v>173.4</v>
      </c>
      <c r="AI27" s="1131">
        <v>182.9</v>
      </c>
      <c r="AJ27" s="1131">
        <v>195.4</v>
      </c>
      <c r="AK27" s="1131">
        <v>205.1</v>
      </c>
      <c r="AL27" s="1131">
        <v>211.6</v>
      </c>
      <c r="AM27" s="1131">
        <v>219.9</v>
      </c>
      <c r="AN27" s="1131">
        <v>229.4</v>
      </c>
      <c r="AO27" s="1131">
        <v>238.6</v>
      </c>
      <c r="AP27" s="1131">
        <v>238.3</v>
      </c>
      <c r="AQ27" s="1131">
        <v>244.2</v>
      </c>
      <c r="AR27" s="1131">
        <v>252.8</v>
      </c>
      <c r="AS27" s="1131">
        <v>267.2</v>
      </c>
      <c r="AT27" s="1131">
        <v>278.39999999999998</v>
      </c>
      <c r="AU27" s="1131">
        <v>289</v>
      </c>
      <c r="AV27" s="1131">
        <v>301.39999999999998</v>
      </c>
      <c r="AW27" s="1131">
        <v>295.89999999999998</v>
      </c>
      <c r="AX27" s="1131">
        <v>295.2</v>
      </c>
      <c r="AY27" s="1131">
        <v>301.7</v>
      </c>
      <c r="AZ27" s="1131">
        <v>289.7</v>
      </c>
      <c r="BA27" s="1131">
        <v>295.8</v>
      </c>
      <c r="BB27" s="1131">
        <v>289.5</v>
      </c>
      <c r="BC27" s="1131">
        <v>295.3</v>
      </c>
      <c r="BD27" s="1131">
        <v>277.3</v>
      </c>
      <c r="BE27" s="1131">
        <v>284.89999999999998</v>
      </c>
      <c r="BF27" s="1131">
        <v>287.89999999999998</v>
      </c>
      <c r="BG27" s="1131">
        <v>294.60000000000002</v>
      </c>
      <c r="BH27" s="1131">
        <v>307.3</v>
      </c>
      <c r="BI27" s="1131">
        <v>317.7</v>
      </c>
      <c r="BJ27" s="1131">
        <v>353</v>
      </c>
      <c r="BK27" s="1131">
        <v>307.60000000000002</v>
      </c>
      <c r="BL27" s="1131">
        <v>340</v>
      </c>
      <c r="BM27" s="1131">
        <v>345.2</v>
      </c>
      <c r="BN27" s="1131">
        <v>341.8</v>
      </c>
      <c r="BO27" s="1131">
        <v>344.4</v>
      </c>
      <c r="BP27" s="1131">
        <v>352</v>
      </c>
      <c r="BQ27" s="1131">
        <v>364.2</v>
      </c>
      <c r="BR27" s="1131">
        <v>358.3</v>
      </c>
      <c r="BS27" s="1131">
        <v>410.2</v>
      </c>
      <c r="BT27" s="1131">
        <v>394.9</v>
      </c>
      <c r="BU27" s="1131">
        <v>408.5</v>
      </c>
      <c r="BV27" s="1131">
        <v>402.6</v>
      </c>
      <c r="BW27" s="1131">
        <v>400.6</v>
      </c>
      <c r="BX27" s="1131">
        <v>402.5</v>
      </c>
      <c r="BY27" s="1131">
        <v>409.6</v>
      </c>
      <c r="BZ27" s="1131">
        <v>439.5</v>
      </c>
      <c r="CA27" s="1131">
        <v>448.4</v>
      </c>
      <c r="CB27" s="1131">
        <v>457.1</v>
      </c>
      <c r="CC27" s="1131">
        <v>467.4</v>
      </c>
      <c r="CD27" s="1131">
        <v>463.2</v>
      </c>
      <c r="CE27" s="1131">
        <v>472</v>
      </c>
      <c r="CF27" s="1131">
        <v>477</v>
      </c>
      <c r="CG27" s="1131">
        <v>476.2</v>
      </c>
      <c r="CH27" s="1131">
        <v>459.6</v>
      </c>
      <c r="CI27" s="1131">
        <v>461.4</v>
      </c>
      <c r="CJ27" s="1131">
        <v>464.1</v>
      </c>
      <c r="CK27" s="1131">
        <v>469.2</v>
      </c>
      <c r="CL27" s="1131">
        <v>461.3</v>
      </c>
      <c r="CM27" s="1131">
        <v>470.2</v>
      </c>
      <c r="CN27" s="1131">
        <v>479.4</v>
      </c>
      <c r="CO27" s="1131">
        <v>499</v>
      </c>
      <c r="CP27" s="1131">
        <v>480.3</v>
      </c>
      <c r="CQ27" s="1131">
        <v>505.3</v>
      </c>
      <c r="CR27" s="1131">
        <v>515.6</v>
      </c>
      <c r="CS27" s="1131">
        <v>529.5</v>
      </c>
      <c r="CT27" s="1131">
        <v>526.70000000000005</v>
      </c>
      <c r="CU27" s="1131">
        <v>555.9</v>
      </c>
      <c r="CV27" s="1131">
        <v>544.20000000000005</v>
      </c>
      <c r="CW27" s="1131">
        <v>553.4</v>
      </c>
      <c r="CX27" s="1131">
        <v>567.70000000000005</v>
      </c>
      <c r="CY27" s="1131">
        <v>594.4</v>
      </c>
      <c r="CZ27" s="1131">
        <v>591.5</v>
      </c>
      <c r="DA27" s="1131">
        <v>607.6</v>
      </c>
      <c r="DB27" s="1131">
        <v>636.4</v>
      </c>
      <c r="DC27" s="1131">
        <v>673.6</v>
      </c>
      <c r="DD27" s="1131">
        <v>674.2</v>
      </c>
      <c r="DE27" s="1131">
        <v>689.4</v>
      </c>
      <c r="DF27" s="1131">
        <v>724.3</v>
      </c>
      <c r="DG27" s="1131">
        <v>739.3</v>
      </c>
      <c r="DH27" s="1131">
        <v>757</v>
      </c>
      <c r="DI27" s="1131">
        <v>778.6</v>
      </c>
      <c r="DJ27" s="1131">
        <v>800.6</v>
      </c>
      <c r="DK27" s="1131">
        <v>820.9</v>
      </c>
      <c r="DL27" s="1131">
        <v>841.6</v>
      </c>
      <c r="DM27" s="1131">
        <v>861.7</v>
      </c>
      <c r="DN27" s="1131">
        <v>869.8</v>
      </c>
      <c r="DO27" s="1131">
        <v>885.8</v>
      </c>
      <c r="DP27" s="1131">
        <v>904.2</v>
      </c>
      <c r="DQ27" s="1131">
        <v>930</v>
      </c>
      <c r="DR27" s="1131">
        <v>976.6</v>
      </c>
      <c r="DS27" s="1131">
        <v>986.9</v>
      </c>
      <c r="DT27" s="1131">
        <v>1011.1</v>
      </c>
      <c r="DU27" s="1131">
        <v>1023.9</v>
      </c>
      <c r="DV27" s="1131">
        <v>1051</v>
      </c>
      <c r="DW27" s="1131">
        <v>1049</v>
      </c>
      <c r="DX27" s="1131">
        <v>881.7</v>
      </c>
      <c r="DY27" s="1131">
        <v>1002.4</v>
      </c>
      <c r="DZ27" s="1131">
        <v>847.8</v>
      </c>
      <c r="EA27" s="1131">
        <v>836.7</v>
      </c>
      <c r="EB27" s="1131">
        <v>825.3</v>
      </c>
      <c r="EC27" s="1131">
        <v>819.6</v>
      </c>
      <c r="ED27" s="1131">
        <v>803.5</v>
      </c>
      <c r="EE27" s="1131">
        <v>812.9</v>
      </c>
      <c r="EF27" s="1131">
        <v>716.5</v>
      </c>
      <c r="EG27" s="1131">
        <v>781.6</v>
      </c>
      <c r="EH27" s="1131">
        <v>773.2</v>
      </c>
      <c r="EI27" s="1131">
        <v>792.4</v>
      </c>
      <c r="EJ27" s="1131">
        <v>816.7</v>
      </c>
      <c r="EK27" s="1131">
        <v>829.8</v>
      </c>
      <c r="EL27" s="1131">
        <v>902.9</v>
      </c>
      <c r="EM27" s="1131">
        <v>925.8</v>
      </c>
      <c r="EN27" s="1131">
        <v>949.5</v>
      </c>
      <c r="EO27" s="1131">
        <v>970.6</v>
      </c>
      <c r="EP27" s="1131">
        <v>1025.5</v>
      </c>
      <c r="EQ27" s="1131">
        <v>1041.2</v>
      </c>
      <c r="ER27" s="1131">
        <v>1060.9000000000001</v>
      </c>
      <c r="ES27" s="1131">
        <v>1095.8</v>
      </c>
      <c r="ET27" s="1131">
        <v>1146</v>
      </c>
      <c r="EU27" s="1131">
        <v>1163.9000000000001</v>
      </c>
      <c r="EV27" s="1131">
        <v>1179.3</v>
      </c>
      <c r="EW27" s="1131">
        <v>1194.4000000000001</v>
      </c>
      <c r="EX27" s="1131">
        <v>1201.7</v>
      </c>
      <c r="EY27" s="1131">
        <v>1191.3</v>
      </c>
      <c r="EZ27" s="1131">
        <v>1173.7</v>
      </c>
      <c r="FA27" s="1131">
        <v>1139.8</v>
      </c>
      <c r="FB27" s="1131">
        <v>921.2</v>
      </c>
      <c r="FC27" s="1131">
        <v>855.5</v>
      </c>
      <c r="FD27" s="1131">
        <v>842</v>
      </c>
      <c r="FE27" s="1131">
        <v>847.5</v>
      </c>
      <c r="FF27" s="1131">
        <v>903.4</v>
      </c>
      <c r="FG27" s="1131">
        <v>935.2</v>
      </c>
      <c r="FH27" s="1131">
        <v>958.5</v>
      </c>
      <c r="FI27" s="1131">
        <v>977.2</v>
      </c>
      <c r="FJ27" s="1131">
        <v>1111.4000000000001</v>
      </c>
      <c r="FK27" s="1131">
        <v>1126.5</v>
      </c>
      <c r="FL27" s="1131">
        <v>1144.2</v>
      </c>
      <c r="FM27" s="1131">
        <v>1141</v>
      </c>
      <c r="FN27" s="1131">
        <v>1138.3</v>
      </c>
      <c r="FO27" s="1131">
        <v>1150.5999999999999</v>
      </c>
      <c r="FP27" s="1131">
        <v>1163.8</v>
      </c>
      <c r="FQ27" s="1131">
        <v>1212.9000000000001</v>
      </c>
      <c r="FR27" s="1131">
        <v>1273.5</v>
      </c>
      <c r="FS27" s="1131">
        <v>1296.4000000000001</v>
      </c>
      <c r="FT27" s="1131">
        <v>1308.3</v>
      </c>
      <c r="FU27" s="1131">
        <v>1333.2</v>
      </c>
      <c r="FV27" s="1131">
        <v>1369.1</v>
      </c>
      <c r="FW27" s="1131">
        <v>1389</v>
      </c>
      <c r="FX27" s="1131">
        <v>1413.3</v>
      </c>
      <c r="FY27" s="1131">
        <v>1443.5</v>
      </c>
      <c r="FZ27" s="1131">
        <v>1509.1</v>
      </c>
      <c r="GA27" s="1131">
        <v>1527.7</v>
      </c>
      <c r="GB27" s="1131">
        <v>1540.9</v>
      </c>
      <c r="GC27" s="1131">
        <v>1552.6</v>
      </c>
      <c r="GD27" s="1131">
        <v>1526.8</v>
      </c>
      <c r="GE27" s="1131">
        <v>1536.7</v>
      </c>
      <c r="GF27" s="1131">
        <v>1553.8</v>
      </c>
      <c r="GG27" s="1131">
        <v>1574.5</v>
      </c>
      <c r="GH27" s="1131">
        <v>1580.3</v>
      </c>
      <c r="GI27" s="1131">
        <v>1600.7</v>
      </c>
      <c r="GJ27" s="1131">
        <v>1623.8</v>
      </c>
      <c r="GK27" s="1131">
        <v>1649.4</v>
      </c>
      <c r="GL27" s="1131">
        <v>1597.2</v>
      </c>
      <c r="GM27" s="1131">
        <v>1607.4</v>
      </c>
      <c r="GN27" s="1131">
        <v>1627.1</v>
      </c>
      <c r="GO27" s="1131">
        <v>1634.1</v>
      </c>
      <c r="GP27" s="1131">
        <v>1696.4</v>
      </c>
      <c r="GQ27" s="1131">
        <v>1701.9</v>
      </c>
      <c r="GR27" s="1131">
        <v>1707.8</v>
      </c>
      <c r="GS27" s="1131">
        <v>1728.6</v>
      </c>
      <c r="GT27" s="1131">
        <v>1737.9</v>
      </c>
      <c r="GU27" s="1131">
        <v>1581.5</v>
      </c>
      <c r="GV27" s="1131">
        <v>1662.2</v>
      </c>
      <c r="GW27" s="1131">
        <v>1736.9</v>
      </c>
      <c r="GX27" s="1131">
        <v>1851.9</v>
      </c>
      <c r="GY27" s="1131">
        <v>1928.3</v>
      </c>
    </row>
    <row r="28" spans="1:207" x14ac:dyDescent="0.35">
      <c r="A28" s="1131" t="s">
        <v>224</v>
      </c>
      <c r="B28" s="1131">
        <v>17.899999999999999</v>
      </c>
      <c r="C28" s="1131">
        <v>18.100000000000001</v>
      </c>
      <c r="D28" s="1131">
        <v>18.2</v>
      </c>
      <c r="E28" s="1131">
        <v>18.2</v>
      </c>
      <c r="F28" s="1131">
        <v>19.399999999999999</v>
      </c>
      <c r="G28" s="1131">
        <v>18.7</v>
      </c>
      <c r="H28" s="1131">
        <v>18.899999999999999</v>
      </c>
      <c r="I28" s="1131">
        <v>19</v>
      </c>
      <c r="J28" s="1131">
        <v>18.2</v>
      </c>
      <c r="K28" s="1131">
        <v>18.3</v>
      </c>
      <c r="L28" s="1131">
        <v>18.5</v>
      </c>
      <c r="M28" s="1131">
        <v>19</v>
      </c>
      <c r="N28" s="1131">
        <v>19.5</v>
      </c>
      <c r="O28" s="1131">
        <v>19.899999999999999</v>
      </c>
      <c r="P28" s="1131">
        <v>19.7</v>
      </c>
      <c r="Q28" s="1131">
        <v>20.100000000000001</v>
      </c>
      <c r="R28" s="1131">
        <v>19.8</v>
      </c>
      <c r="S28" s="1131">
        <v>20.100000000000001</v>
      </c>
      <c r="T28" s="1131">
        <v>20.2</v>
      </c>
      <c r="U28" s="1131">
        <v>20.2</v>
      </c>
      <c r="V28" s="1131">
        <v>19.8</v>
      </c>
      <c r="W28" s="1131">
        <v>21.3</v>
      </c>
      <c r="X28" s="1131">
        <v>23.3</v>
      </c>
      <c r="Y28" s="1131">
        <v>23.9</v>
      </c>
      <c r="Z28" s="1131">
        <v>20.8</v>
      </c>
      <c r="AA28" s="1131">
        <v>21.3</v>
      </c>
      <c r="AB28" s="1131">
        <v>21.7</v>
      </c>
      <c r="AC28" s="1131">
        <v>21.7</v>
      </c>
      <c r="AD28" s="1131">
        <v>22</v>
      </c>
      <c r="AE28" s="1131">
        <v>22.5</v>
      </c>
      <c r="AF28" s="1131">
        <v>23.2</v>
      </c>
      <c r="AG28" s="1131">
        <v>23.2</v>
      </c>
      <c r="AH28" s="1131">
        <v>24</v>
      </c>
      <c r="AI28" s="1131">
        <v>25.4</v>
      </c>
      <c r="AJ28" s="1131">
        <v>25.5</v>
      </c>
      <c r="AK28" s="1131">
        <v>26.3</v>
      </c>
      <c r="AL28" s="1131">
        <v>25.9</v>
      </c>
      <c r="AM28" s="1131">
        <v>25.9</v>
      </c>
      <c r="AN28" s="1131">
        <v>25.3</v>
      </c>
      <c r="AO28" s="1131">
        <v>25.6</v>
      </c>
      <c r="AP28" s="1131">
        <v>27.6</v>
      </c>
      <c r="AQ28" s="1131">
        <v>33.6</v>
      </c>
      <c r="AR28" s="1131">
        <v>36.1</v>
      </c>
      <c r="AS28" s="1131">
        <v>37.299999999999997</v>
      </c>
      <c r="AT28" s="1131">
        <v>50.7</v>
      </c>
      <c r="AU28" s="1131">
        <v>51.8</v>
      </c>
      <c r="AV28" s="1131">
        <v>49.1</v>
      </c>
      <c r="AW28" s="1131">
        <v>48.1</v>
      </c>
      <c r="AX28" s="1131">
        <v>43.5</v>
      </c>
      <c r="AY28" s="1131">
        <v>40</v>
      </c>
      <c r="AZ28" s="1131">
        <v>40.1</v>
      </c>
      <c r="BA28" s="1131">
        <v>40.299999999999997</v>
      </c>
      <c r="BB28" s="1131">
        <v>41.1</v>
      </c>
      <c r="BC28" s="1131">
        <v>45.3</v>
      </c>
      <c r="BD28" s="1131">
        <v>45.5</v>
      </c>
      <c r="BE28" s="1131">
        <v>45.8</v>
      </c>
      <c r="BF28" s="1131">
        <v>47</v>
      </c>
      <c r="BG28" s="1131">
        <v>47.5</v>
      </c>
      <c r="BH28" s="1131">
        <v>47.4</v>
      </c>
      <c r="BI28" s="1131">
        <v>47.3</v>
      </c>
      <c r="BJ28" s="1131">
        <v>46.4</v>
      </c>
      <c r="BK28" s="1131">
        <v>45.7</v>
      </c>
      <c r="BL28" s="1131">
        <v>46.8</v>
      </c>
      <c r="BM28" s="1131">
        <v>45.4</v>
      </c>
      <c r="BN28" s="1131">
        <v>44.5</v>
      </c>
      <c r="BO28" s="1131">
        <v>42.9</v>
      </c>
      <c r="BP28" s="1131">
        <v>43.8</v>
      </c>
      <c r="BQ28" s="1131">
        <v>43.6</v>
      </c>
      <c r="BR28" s="1131">
        <v>44.1</v>
      </c>
      <c r="BS28" s="1131">
        <v>45.8</v>
      </c>
      <c r="BT28" s="1131">
        <v>46.4</v>
      </c>
      <c r="BU28" s="1131">
        <v>47.4</v>
      </c>
      <c r="BV28" s="1131">
        <v>49.6</v>
      </c>
      <c r="BW28" s="1131">
        <v>49.3</v>
      </c>
      <c r="BX28" s="1131">
        <v>50.2</v>
      </c>
      <c r="BY28" s="1131">
        <v>50.2</v>
      </c>
      <c r="BZ28" s="1131">
        <v>50.8</v>
      </c>
      <c r="CA28" s="1131">
        <v>49.2</v>
      </c>
      <c r="CB28" s="1131">
        <v>50</v>
      </c>
      <c r="CC28" s="1131">
        <v>48.9</v>
      </c>
      <c r="CD28" s="1131">
        <v>50.3</v>
      </c>
      <c r="CE28" s="1131">
        <v>50.8</v>
      </c>
      <c r="CF28" s="1131">
        <v>51.1</v>
      </c>
      <c r="CG28" s="1131">
        <v>51.5</v>
      </c>
      <c r="CH28" s="1131">
        <v>59.7</v>
      </c>
      <c r="CI28" s="1131">
        <v>61.3</v>
      </c>
      <c r="CJ28" s="1131">
        <v>61.8</v>
      </c>
      <c r="CK28" s="1131">
        <v>64.2</v>
      </c>
      <c r="CL28" s="1131">
        <v>63.6</v>
      </c>
      <c r="CM28" s="1131">
        <v>63.1</v>
      </c>
      <c r="CN28" s="1131">
        <v>61.9</v>
      </c>
      <c r="CO28" s="1131">
        <v>64.599999999999994</v>
      </c>
      <c r="CP28" s="1131">
        <v>62.2</v>
      </c>
      <c r="CQ28" s="1131">
        <v>64.8</v>
      </c>
      <c r="CR28" s="1131">
        <v>65.400000000000006</v>
      </c>
      <c r="CS28" s="1131">
        <v>73.099999999999994</v>
      </c>
      <c r="CT28" s="1131">
        <v>75.5</v>
      </c>
      <c r="CU28" s="1131">
        <v>78.599999999999994</v>
      </c>
      <c r="CV28" s="1131">
        <v>80.5</v>
      </c>
      <c r="CW28" s="1131">
        <v>81.400000000000006</v>
      </c>
      <c r="CX28" s="1131">
        <v>76.599999999999994</v>
      </c>
      <c r="CY28" s="1131">
        <v>75.7</v>
      </c>
      <c r="CZ28" s="1131">
        <v>75.400000000000006</v>
      </c>
      <c r="DA28" s="1131">
        <v>74.5</v>
      </c>
      <c r="DB28" s="1131">
        <v>72.599999999999994</v>
      </c>
      <c r="DC28" s="1131">
        <v>71.2</v>
      </c>
      <c r="DD28" s="1131">
        <v>71.7</v>
      </c>
      <c r="DE28" s="1131">
        <v>75.900000000000006</v>
      </c>
      <c r="DF28" s="1131">
        <v>72</v>
      </c>
      <c r="DG28" s="1131">
        <v>79.7</v>
      </c>
      <c r="DH28" s="1131">
        <v>79.900000000000006</v>
      </c>
      <c r="DI28" s="1131">
        <v>79.7</v>
      </c>
      <c r="DJ28" s="1131">
        <v>79.5</v>
      </c>
      <c r="DK28" s="1131">
        <v>80.099999999999994</v>
      </c>
      <c r="DL28" s="1131">
        <v>81.5</v>
      </c>
      <c r="DM28" s="1131">
        <v>81.7</v>
      </c>
      <c r="DN28" s="1131">
        <v>81.3</v>
      </c>
      <c r="DO28" s="1131">
        <v>81.599999999999994</v>
      </c>
      <c r="DP28" s="1131">
        <v>83.8</v>
      </c>
      <c r="DQ28" s="1131">
        <v>87</v>
      </c>
      <c r="DR28" s="1131">
        <v>86.1</v>
      </c>
      <c r="DS28" s="1131">
        <v>88.4</v>
      </c>
      <c r="DT28" s="1131">
        <v>87.5</v>
      </c>
      <c r="DU28" s="1131">
        <v>87</v>
      </c>
      <c r="DV28" s="1131">
        <v>87.1</v>
      </c>
      <c r="DW28" s="1131">
        <v>86.3</v>
      </c>
      <c r="DX28" s="1131">
        <v>83.6</v>
      </c>
      <c r="DY28" s="1131">
        <v>84.1</v>
      </c>
      <c r="DZ28" s="1131">
        <v>84.7</v>
      </c>
      <c r="EA28" s="1131">
        <v>87.3</v>
      </c>
      <c r="EB28" s="1131">
        <v>88</v>
      </c>
      <c r="EC28" s="1131">
        <v>87.3</v>
      </c>
      <c r="ED28" s="1131">
        <v>90.1</v>
      </c>
      <c r="EE28" s="1131">
        <v>90</v>
      </c>
      <c r="EF28" s="1131">
        <v>89.6</v>
      </c>
      <c r="EG28" s="1131">
        <v>91.1</v>
      </c>
      <c r="EH28" s="1131">
        <v>94.1</v>
      </c>
      <c r="EI28" s="1131">
        <v>94.8</v>
      </c>
      <c r="EJ28" s="1131">
        <v>95.9</v>
      </c>
      <c r="EK28" s="1131">
        <v>96.2</v>
      </c>
      <c r="EL28" s="1131">
        <v>97.2</v>
      </c>
      <c r="EM28" s="1131">
        <v>101.4</v>
      </c>
      <c r="EN28" s="1131">
        <v>100.3</v>
      </c>
      <c r="EO28" s="1131">
        <v>98.7</v>
      </c>
      <c r="EP28" s="1131">
        <v>99.1</v>
      </c>
      <c r="EQ28" s="1131">
        <v>99.5</v>
      </c>
      <c r="ER28" s="1131">
        <v>100.2</v>
      </c>
      <c r="ES28" s="1131">
        <v>98.1</v>
      </c>
      <c r="ET28" s="1131">
        <v>93.9</v>
      </c>
      <c r="EU28" s="1131">
        <v>93.7</v>
      </c>
      <c r="EV28" s="1131">
        <v>95.4</v>
      </c>
      <c r="EW28" s="1131">
        <v>95.5</v>
      </c>
      <c r="EX28" s="1131">
        <v>93.2</v>
      </c>
      <c r="EY28" s="1131">
        <v>95.3</v>
      </c>
      <c r="EZ28" s="1131">
        <v>93.7</v>
      </c>
      <c r="FA28" s="1131">
        <v>93.7</v>
      </c>
      <c r="FB28" s="1131">
        <v>86.7</v>
      </c>
      <c r="FC28" s="1131">
        <v>94.3</v>
      </c>
      <c r="FD28" s="1131">
        <v>91.4</v>
      </c>
      <c r="FE28" s="1131">
        <v>93.2</v>
      </c>
      <c r="FF28" s="1131">
        <v>93.1</v>
      </c>
      <c r="FG28" s="1131">
        <v>96.4</v>
      </c>
      <c r="FH28" s="1131">
        <v>98.9</v>
      </c>
      <c r="FI28" s="1131">
        <v>98.7</v>
      </c>
      <c r="FJ28" s="1131">
        <v>104.7</v>
      </c>
      <c r="FK28" s="1131">
        <v>109.1</v>
      </c>
      <c r="FL28" s="1131">
        <v>109.4</v>
      </c>
      <c r="FM28" s="1131">
        <v>111.4</v>
      </c>
      <c r="FN28" s="1131">
        <v>113.9</v>
      </c>
      <c r="FO28" s="1131">
        <v>114.4</v>
      </c>
      <c r="FP28" s="1131">
        <v>114.7</v>
      </c>
      <c r="FQ28" s="1131">
        <v>117.6</v>
      </c>
      <c r="FR28" s="1131">
        <v>122.3</v>
      </c>
      <c r="FS28" s="1131">
        <v>124.4</v>
      </c>
      <c r="FT28" s="1131">
        <v>126.4</v>
      </c>
      <c r="FU28" s="1131">
        <v>128.80000000000001</v>
      </c>
      <c r="FV28" s="1131">
        <v>136.6</v>
      </c>
      <c r="FW28" s="1131">
        <v>135.30000000000001</v>
      </c>
      <c r="FX28" s="1131">
        <v>136.9</v>
      </c>
      <c r="FY28" s="1131">
        <v>136.4</v>
      </c>
      <c r="FZ28" s="1131">
        <v>139.9</v>
      </c>
      <c r="GA28" s="1131">
        <v>143.5</v>
      </c>
      <c r="GB28" s="1131">
        <v>136.1</v>
      </c>
      <c r="GC28" s="1131">
        <v>141.69999999999999</v>
      </c>
      <c r="GD28" s="1131">
        <v>138.19999999999999</v>
      </c>
      <c r="GE28" s="1131">
        <v>135.69999999999999</v>
      </c>
      <c r="GF28" s="1131">
        <v>136</v>
      </c>
      <c r="GG28" s="1131">
        <v>136.1</v>
      </c>
      <c r="GH28" s="1131">
        <v>127.7</v>
      </c>
      <c r="GI28" s="1131">
        <v>132.30000000000001</v>
      </c>
      <c r="GJ28" s="1131">
        <v>131.9</v>
      </c>
      <c r="GK28" s="1131">
        <v>134.5</v>
      </c>
      <c r="GL28" s="1131">
        <v>150.9</v>
      </c>
      <c r="GM28" s="1131">
        <v>157.4</v>
      </c>
      <c r="GN28" s="1131">
        <v>162.5</v>
      </c>
      <c r="GO28" s="1131">
        <v>183.7</v>
      </c>
      <c r="GP28" s="1131">
        <v>173.4</v>
      </c>
      <c r="GQ28" s="1131">
        <v>172.2</v>
      </c>
      <c r="GR28" s="1131">
        <v>175.3</v>
      </c>
      <c r="GS28" s="1131">
        <v>177.9</v>
      </c>
      <c r="GT28" s="1131">
        <v>185.8</v>
      </c>
      <c r="GU28" s="1131">
        <v>138.30000000000001</v>
      </c>
      <c r="GV28" s="1131">
        <v>151.30000000000001</v>
      </c>
      <c r="GW28" s="1131">
        <v>156.6</v>
      </c>
      <c r="GX28" s="1131">
        <v>166.2</v>
      </c>
      <c r="GY28" s="1131">
        <v>177.8</v>
      </c>
    </row>
    <row r="29" spans="1:207" x14ac:dyDescent="0.35">
      <c r="A29" s="1131" t="s">
        <v>225</v>
      </c>
      <c r="B29" s="1131">
        <v>27</v>
      </c>
      <c r="C29" s="1131">
        <v>27</v>
      </c>
      <c r="D29" s="1131">
        <v>27.9</v>
      </c>
      <c r="E29" s="1131">
        <v>26.6</v>
      </c>
      <c r="F29" s="1131">
        <v>29.9</v>
      </c>
      <c r="G29" s="1131">
        <v>30.7</v>
      </c>
      <c r="H29" s="1131">
        <v>29.8</v>
      </c>
      <c r="I29" s="1131">
        <v>30.1</v>
      </c>
      <c r="J29" s="1131">
        <v>31.8</v>
      </c>
      <c r="K29" s="1131">
        <v>32</v>
      </c>
      <c r="L29" s="1131">
        <v>33.1</v>
      </c>
      <c r="M29" s="1131">
        <v>36.6</v>
      </c>
      <c r="N29" s="1131">
        <v>39.299999999999997</v>
      </c>
      <c r="O29" s="1131">
        <v>39.4</v>
      </c>
      <c r="P29" s="1131">
        <v>37.6</v>
      </c>
      <c r="Q29" s="1131">
        <v>39.4</v>
      </c>
      <c r="R29" s="1131">
        <v>37.4</v>
      </c>
      <c r="S29" s="1131">
        <v>39.299999999999997</v>
      </c>
      <c r="T29" s="1131">
        <v>43.5</v>
      </c>
      <c r="U29" s="1131">
        <v>38.1</v>
      </c>
      <c r="V29" s="1131">
        <v>31.5</v>
      </c>
      <c r="W29" s="1131">
        <v>34.200000000000003</v>
      </c>
      <c r="X29" s="1131">
        <v>43.2</v>
      </c>
      <c r="Y29" s="1131">
        <v>43.9</v>
      </c>
      <c r="Z29" s="1131">
        <v>49.9</v>
      </c>
      <c r="AA29" s="1131">
        <v>49</v>
      </c>
      <c r="AB29" s="1131">
        <v>48.5</v>
      </c>
      <c r="AC29" s="1131">
        <v>47.5</v>
      </c>
      <c r="AD29" s="1131">
        <v>51</v>
      </c>
      <c r="AE29" s="1131">
        <v>55.7</v>
      </c>
      <c r="AF29" s="1131">
        <v>57.9</v>
      </c>
      <c r="AG29" s="1131">
        <v>58.1</v>
      </c>
      <c r="AH29" s="1131">
        <v>54.4</v>
      </c>
      <c r="AI29" s="1131">
        <v>66.2</v>
      </c>
      <c r="AJ29" s="1131">
        <v>66.7</v>
      </c>
      <c r="AK29" s="1131">
        <v>70.3</v>
      </c>
      <c r="AL29" s="1131">
        <v>66.599999999999994</v>
      </c>
      <c r="AM29" s="1131">
        <v>66.5</v>
      </c>
      <c r="AN29" s="1131">
        <v>65.3</v>
      </c>
      <c r="AO29" s="1131">
        <v>62.1</v>
      </c>
      <c r="AP29" s="1131">
        <v>67</v>
      </c>
      <c r="AQ29" s="1131">
        <v>49.8</v>
      </c>
      <c r="AR29" s="1131">
        <v>56</v>
      </c>
      <c r="AS29" s="1131">
        <v>61.7</v>
      </c>
      <c r="AT29" s="1131">
        <v>58.5</v>
      </c>
      <c r="AU29" s="1131">
        <v>50.7</v>
      </c>
      <c r="AV29" s="1131">
        <v>52.7</v>
      </c>
      <c r="AW29" s="1131">
        <v>44.8</v>
      </c>
      <c r="AX29" s="1131">
        <v>33.5</v>
      </c>
      <c r="AY29" s="1131">
        <v>34.700000000000003</v>
      </c>
      <c r="AZ29" s="1131">
        <v>35.4</v>
      </c>
      <c r="BA29" s="1131">
        <v>31.7</v>
      </c>
      <c r="BB29" s="1131">
        <v>34.299999999999997</v>
      </c>
      <c r="BC29" s="1131">
        <v>46.3</v>
      </c>
      <c r="BD29" s="1131">
        <v>53.3</v>
      </c>
      <c r="BE29" s="1131">
        <v>54.6</v>
      </c>
      <c r="BF29" s="1131">
        <v>64.8</v>
      </c>
      <c r="BG29" s="1131">
        <v>63.8</v>
      </c>
      <c r="BH29" s="1131">
        <v>53.8</v>
      </c>
      <c r="BI29" s="1131">
        <v>54.3</v>
      </c>
      <c r="BJ29" s="1131">
        <v>57.7</v>
      </c>
      <c r="BK29" s="1131">
        <v>56.3</v>
      </c>
      <c r="BL29" s="1131">
        <v>60.8</v>
      </c>
      <c r="BM29" s="1131">
        <v>59</v>
      </c>
      <c r="BN29" s="1131">
        <v>63</v>
      </c>
      <c r="BO29" s="1131">
        <v>63.4</v>
      </c>
      <c r="BP29" s="1131">
        <v>64.599999999999994</v>
      </c>
      <c r="BQ29" s="1131">
        <v>73.099999999999994</v>
      </c>
      <c r="BR29" s="1131">
        <v>76</v>
      </c>
      <c r="BS29" s="1131">
        <v>87.3</v>
      </c>
      <c r="BT29" s="1131">
        <v>91.3</v>
      </c>
      <c r="BU29" s="1131">
        <v>87.1</v>
      </c>
      <c r="BV29" s="1131">
        <v>84.5</v>
      </c>
      <c r="BW29" s="1131">
        <v>90</v>
      </c>
      <c r="BX29" s="1131">
        <v>97.8</v>
      </c>
      <c r="BY29" s="1131">
        <v>102.7</v>
      </c>
      <c r="BZ29" s="1131">
        <v>104.9</v>
      </c>
      <c r="CA29" s="1131">
        <v>94.4</v>
      </c>
      <c r="CB29" s="1131">
        <v>91.6</v>
      </c>
      <c r="CC29" s="1131">
        <v>91.4</v>
      </c>
      <c r="CD29" s="1131">
        <v>91.1</v>
      </c>
      <c r="CE29" s="1131">
        <v>94.7</v>
      </c>
      <c r="CF29" s="1131">
        <v>97</v>
      </c>
      <c r="CG29" s="1131">
        <v>95.4</v>
      </c>
      <c r="CH29" s="1131">
        <v>91.5</v>
      </c>
      <c r="CI29" s="1131">
        <v>87.5</v>
      </c>
      <c r="CJ29" s="1131">
        <v>88.2</v>
      </c>
      <c r="CK29" s="1131">
        <v>89.5</v>
      </c>
      <c r="CL29" s="1131">
        <v>99.8</v>
      </c>
      <c r="CM29" s="1131">
        <v>102</v>
      </c>
      <c r="CN29" s="1131">
        <v>98.9</v>
      </c>
      <c r="CO29" s="1131">
        <v>107.2</v>
      </c>
      <c r="CP29" s="1131">
        <v>111.5</v>
      </c>
      <c r="CQ29" s="1131">
        <v>121.9</v>
      </c>
      <c r="CR29" s="1131">
        <v>115.5</v>
      </c>
      <c r="CS29" s="1131">
        <v>141</v>
      </c>
      <c r="CT29" s="1131">
        <v>122.4</v>
      </c>
      <c r="CU29" s="1131">
        <v>129.30000000000001</v>
      </c>
      <c r="CV29" s="1131">
        <v>142.4</v>
      </c>
      <c r="CW29" s="1131">
        <v>150.9</v>
      </c>
      <c r="CX29" s="1131">
        <v>155.30000000000001</v>
      </c>
      <c r="CY29" s="1131">
        <v>153.1</v>
      </c>
      <c r="CZ29" s="1131">
        <v>159.1</v>
      </c>
      <c r="DA29" s="1131">
        <v>156.19999999999999</v>
      </c>
      <c r="DB29" s="1131">
        <v>162.4</v>
      </c>
      <c r="DC29" s="1131">
        <v>171.9</v>
      </c>
      <c r="DD29" s="1131">
        <v>172.6</v>
      </c>
      <c r="DE29" s="1131">
        <v>175.3</v>
      </c>
      <c r="DF29" s="1131">
        <v>176.9</v>
      </c>
      <c r="DG29" s="1131">
        <v>180.5</v>
      </c>
      <c r="DH29" s="1131">
        <v>190.5</v>
      </c>
      <c r="DI29" s="1131">
        <v>181.5</v>
      </c>
      <c r="DJ29" s="1131">
        <v>178.8</v>
      </c>
      <c r="DK29" s="1131">
        <v>175.4</v>
      </c>
      <c r="DL29" s="1131">
        <v>180.1</v>
      </c>
      <c r="DM29" s="1131">
        <v>176.4</v>
      </c>
      <c r="DN29" s="1131">
        <v>186</v>
      </c>
      <c r="DO29" s="1131">
        <v>184.4</v>
      </c>
      <c r="DP29" s="1131">
        <v>187.7</v>
      </c>
      <c r="DQ29" s="1131">
        <v>192.1</v>
      </c>
      <c r="DR29" s="1131">
        <v>202.2</v>
      </c>
      <c r="DS29" s="1131">
        <v>201.1</v>
      </c>
      <c r="DT29" s="1131">
        <v>185.6</v>
      </c>
      <c r="DU29" s="1131">
        <v>187.6</v>
      </c>
      <c r="DV29" s="1131">
        <v>154.9</v>
      </c>
      <c r="DW29" s="1131">
        <v>148.69999999999999</v>
      </c>
      <c r="DX29" s="1131">
        <v>130.9</v>
      </c>
      <c r="DY29" s="1131">
        <v>115.8</v>
      </c>
      <c r="DZ29" s="1131">
        <v>115.5</v>
      </c>
      <c r="EA29" s="1131">
        <v>119.9</v>
      </c>
      <c r="EB29" s="1131">
        <v>126.5</v>
      </c>
      <c r="EC29" s="1131">
        <v>142</v>
      </c>
      <c r="ED29" s="1131">
        <v>161.5</v>
      </c>
      <c r="EE29" s="1131">
        <v>160.9</v>
      </c>
      <c r="EF29" s="1131">
        <v>180.3</v>
      </c>
      <c r="EG29" s="1131">
        <v>200.4</v>
      </c>
      <c r="EH29" s="1131">
        <v>209.2</v>
      </c>
      <c r="EI29" s="1131">
        <v>226</v>
      </c>
      <c r="EJ29" s="1131">
        <v>244.5</v>
      </c>
      <c r="EK29" s="1131">
        <v>249.2</v>
      </c>
      <c r="EL29" s="1131">
        <v>315.3</v>
      </c>
      <c r="EM29" s="1131">
        <v>306.10000000000002</v>
      </c>
      <c r="EN29" s="1131">
        <v>311.89999999999998</v>
      </c>
      <c r="EO29" s="1131">
        <v>344.7</v>
      </c>
      <c r="EP29" s="1131">
        <v>357.2</v>
      </c>
      <c r="EQ29" s="1131">
        <v>367.3</v>
      </c>
      <c r="ER29" s="1131">
        <v>384.8</v>
      </c>
      <c r="ES29" s="1131">
        <v>354.6</v>
      </c>
      <c r="ET29" s="1131">
        <v>354.5</v>
      </c>
      <c r="EU29" s="1131">
        <v>347.7</v>
      </c>
      <c r="EV29" s="1131">
        <v>314.60000000000002</v>
      </c>
      <c r="EW29" s="1131">
        <v>296.2</v>
      </c>
      <c r="EX29" s="1131">
        <v>241.7</v>
      </c>
      <c r="EY29" s="1131">
        <v>227.1</v>
      </c>
      <c r="EZ29" s="1131">
        <v>211.5</v>
      </c>
      <c r="FA29" s="1131">
        <v>127.5</v>
      </c>
      <c r="FB29" s="1131">
        <v>122.7</v>
      </c>
      <c r="FC29" s="1131">
        <v>138.9</v>
      </c>
      <c r="FD29" s="1131">
        <v>159.4</v>
      </c>
      <c r="FE29" s="1131">
        <v>190.8</v>
      </c>
      <c r="FF29" s="1131">
        <v>204.7</v>
      </c>
      <c r="FG29" s="1131">
        <v>212.2</v>
      </c>
      <c r="FH29" s="1131">
        <v>227.1</v>
      </c>
      <c r="FI29" s="1131">
        <v>233.6</v>
      </c>
      <c r="FJ29" s="1131">
        <v>228.9</v>
      </c>
      <c r="FK29" s="1131">
        <v>227.2</v>
      </c>
      <c r="FL29" s="1131">
        <v>201.7</v>
      </c>
      <c r="FM29" s="1131">
        <v>238</v>
      </c>
      <c r="FN29" s="1131">
        <v>261.5</v>
      </c>
      <c r="FO29" s="1131">
        <v>275.5</v>
      </c>
      <c r="FP29" s="1131">
        <v>280.8</v>
      </c>
      <c r="FQ29" s="1131">
        <v>280.89999999999998</v>
      </c>
      <c r="FR29" s="1131">
        <v>297</v>
      </c>
      <c r="FS29" s="1131">
        <v>293.2</v>
      </c>
      <c r="FT29" s="1131">
        <v>301.2</v>
      </c>
      <c r="FU29" s="1131">
        <v>302.3</v>
      </c>
      <c r="FV29" s="1131">
        <v>336.4</v>
      </c>
      <c r="FW29" s="1131">
        <v>360</v>
      </c>
      <c r="FX29" s="1131">
        <v>330.1</v>
      </c>
      <c r="FY29" s="1131">
        <v>332.1</v>
      </c>
      <c r="FZ29" s="1131">
        <v>345.9</v>
      </c>
      <c r="GA29" s="1131">
        <v>351</v>
      </c>
      <c r="GB29" s="1131">
        <v>323.8</v>
      </c>
      <c r="GC29" s="1131">
        <v>295.60000000000002</v>
      </c>
      <c r="GD29" s="1131">
        <v>310.60000000000002</v>
      </c>
      <c r="GE29" s="1131">
        <v>315.2</v>
      </c>
      <c r="GF29" s="1131">
        <v>322</v>
      </c>
      <c r="GG29" s="1131">
        <v>299.60000000000002</v>
      </c>
      <c r="GH29" s="1131">
        <v>233.3</v>
      </c>
      <c r="GI29" s="1131">
        <v>241.6</v>
      </c>
      <c r="GJ29" s="1131">
        <v>255.4</v>
      </c>
      <c r="GK29" s="1131">
        <v>251.3</v>
      </c>
      <c r="GL29" s="1131">
        <v>189.2</v>
      </c>
      <c r="GM29" s="1131">
        <v>210.3</v>
      </c>
      <c r="GN29" s="1131">
        <v>213.3</v>
      </c>
      <c r="GO29" s="1131">
        <v>222.5</v>
      </c>
      <c r="GP29" s="1131">
        <v>211.3</v>
      </c>
      <c r="GQ29" s="1131">
        <v>218.9</v>
      </c>
      <c r="GR29" s="1131">
        <v>206.5</v>
      </c>
      <c r="GS29" s="1131">
        <v>231.4</v>
      </c>
      <c r="GT29" s="1131">
        <v>166.7</v>
      </c>
      <c r="GU29" s="1131">
        <v>167.4</v>
      </c>
      <c r="GV29" s="1131">
        <v>211.7</v>
      </c>
      <c r="GW29" s="1131">
        <v>225.1</v>
      </c>
      <c r="GX29" s="1131">
        <v>246.4</v>
      </c>
      <c r="GY29" s="1131">
        <v>275.10000000000002</v>
      </c>
    </row>
    <row r="30" spans="1:207" x14ac:dyDescent="0.35">
      <c r="A30" s="1131" t="s">
        <v>226</v>
      </c>
      <c r="B30" s="1131">
        <v>45.1</v>
      </c>
      <c r="C30" s="1131">
        <v>45.4</v>
      </c>
      <c r="D30" s="1131">
        <v>45.9</v>
      </c>
      <c r="E30" s="1131">
        <v>45.6</v>
      </c>
      <c r="F30" s="1131">
        <v>49.6</v>
      </c>
      <c r="G30" s="1131">
        <v>50.2</v>
      </c>
      <c r="H30" s="1131">
        <v>50.5</v>
      </c>
      <c r="I30" s="1131">
        <v>51</v>
      </c>
      <c r="J30" s="1131">
        <v>57.3</v>
      </c>
      <c r="K30" s="1131">
        <v>57.9</v>
      </c>
      <c r="L30" s="1131">
        <v>58.5</v>
      </c>
      <c r="M30" s="1131">
        <v>59.4</v>
      </c>
      <c r="N30" s="1131">
        <v>72.7</v>
      </c>
      <c r="O30" s="1131">
        <v>73.8</v>
      </c>
      <c r="P30" s="1131">
        <v>75.099999999999994</v>
      </c>
      <c r="Q30" s="1131">
        <v>76.599999999999994</v>
      </c>
      <c r="R30" s="1131">
        <v>82.1</v>
      </c>
      <c r="S30" s="1131">
        <v>83.6</v>
      </c>
      <c r="T30" s="1131">
        <v>85.2</v>
      </c>
      <c r="U30" s="1131">
        <v>85.4</v>
      </c>
      <c r="V30" s="1131">
        <v>86.5</v>
      </c>
      <c r="W30" s="1131">
        <v>86.8</v>
      </c>
      <c r="X30" s="1131">
        <v>88.5</v>
      </c>
      <c r="Y30" s="1131">
        <v>90.5</v>
      </c>
      <c r="Z30" s="1131">
        <v>97.5</v>
      </c>
      <c r="AA30" s="1131">
        <v>98.9</v>
      </c>
      <c r="AB30" s="1131">
        <v>100.6</v>
      </c>
      <c r="AC30" s="1131">
        <v>102.1</v>
      </c>
      <c r="AD30" s="1131">
        <v>107.5</v>
      </c>
      <c r="AE30" s="1131">
        <v>110.1</v>
      </c>
      <c r="AF30" s="1131">
        <v>112.2</v>
      </c>
      <c r="AG30" s="1131">
        <v>114.4</v>
      </c>
      <c r="AH30" s="1131">
        <v>121.6</v>
      </c>
      <c r="AI30" s="1131">
        <v>126.5</v>
      </c>
      <c r="AJ30" s="1131">
        <v>130.80000000000001</v>
      </c>
      <c r="AK30" s="1131">
        <v>136</v>
      </c>
      <c r="AL30" s="1131">
        <v>143.1</v>
      </c>
      <c r="AM30" s="1131">
        <v>147.4</v>
      </c>
      <c r="AN30" s="1131">
        <v>152.4</v>
      </c>
      <c r="AO30" s="1131">
        <v>156.30000000000001</v>
      </c>
      <c r="AP30" s="1131">
        <v>159.30000000000001</v>
      </c>
      <c r="AQ30" s="1131">
        <v>161</v>
      </c>
      <c r="AR30" s="1131">
        <v>164.2</v>
      </c>
      <c r="AS30" s="1131">
        <v>170.1</v>
      </c>
      <c r="AT30" s="1131">
        <v>187.3</v>
      </c>
      <c r="AU30" s="1131">
        <v>190.9</v>
      </c>
      <c r="AV30" s="1131">
        <v>195.6</v>
      </c>
      <c r="AW30" s="1131">
        <v>198.2</v>
      </c>
      <c r="AX30" s="1131">
        <v>203.2</v>
      </c>
      <c r="AY30" s="1131">
        <v>205.2</v>
      </c>
      <c r="AZ30" s="1131">
        <v>207.5</v>
      </c>
      <c r="BA30" s="1131">
        <v>208.3</v>
      </c>
      <c r="BB30" s="1131">
        <v>216.1</v>
      </c>
      <c r="BC30" s="1131">
        <v>220.2</v>
      </c>
      <c r="BD30" s="1131">
        <v>224.8</v>
      </c>
      <c r="BE30" s="1131">
        <v>231.2</v>
      </c>
      <c r="BF30" s="1131">
        <v>246.3</v>
      </c>
      <c r="BG30" s="1131">
        <v>252.1</v>
      </c>
      <c r="BH30" s="1131">
        <v>257.10000000000002</v>
      </c>
      <c r="BI30" s="1131">
        <v>261.10000000000002</v>
      </c>
      <c r="BJ30" s="1131">
        <v>271</v>
      </c>
      <c r="BK30" s="1131">
        <v>275</v>
      </c>
      <c r="BL30" s="1131">
        <v>279.7</v>
      </c>
      <c r="BM30" s="1131">
        <v>285.89999999999998</v>
      </c>
      <c r="BN30" s="1131">
        <v>292.7</v>
      </c>
      <c r="BO30" s="1131">
        <v>296.10000000000002</v>
      </c>
      <c r="BP30" s="1131">
        <v>300.8</v>
      </c>
      <c r="BQ30" s="1131">
        <v>306.2</v>
      </c>
      <c r="BR30" s="1131">
        <v>310.7</v>
      </c>
      <c r="BS30" s="1131">
        <v>314.5</v>
      </c>
      <c r="BT30" s="1131">
        <v>319</v>
      </c>
      <c r="BU30" s="1131">
        <v>325.60000000000002</v>
      </c>
      <c r="BV30" s="1131">
        <v>344.7</v>
      </c>
      <c r="BW30" s="1131">
        <v>351.7</v>
      </c>
      <c r="BX30" s="1131">
        <v>357.7</v>
      </c>
      <c r="BY30" s="1131">
        <v>365</v>
      </c>
      <c r="BZ30" s="1131">
        <v>370.9</v>
      </c>
      <c r="CA30" s="1131">
        <v>375.4</v>
      </c>
      <c r="CB30" s="1131">
        <v>379.8</v>
      </c>
      <c r="CC30" s="1131">
        <v>385.6</v>
      </c>
      <c r="CD30" s="1131">
        <v>394</v>
      </c>
      <c r="CE30" s="1131">
        <v>399</v>
      </c>
      <c r="CF30" s="1131">
        <v>406.4</v>
      </c>
      <c r="CG30" s="1131">
        <v>408.9</v>
      </c>
      <c r="CH30" s="1131">
        <v>412</v>
      </c>
      <c r="CI30" s="1131">
        <v>418.3</v>
      </c>
      <c r="CJ30" s="1131">
        <v>423.7</v>
      </c>
      <c r="CK30" s="1131">
        <v>428.4</v>
      </c>
      <c r="CL30" s="1131">
        <v>439.9</v>
      </c>
      <c r="CM30" s="1131">
        <v>445.1</v>
      </c>
      <c r="CN30" s="1131">
        <v>447.9</v>
      </c>
      <c r="CO30" s="1131">
        <v>442.9</v>
      </c>
      <c r="CP30" s="1131">
        <v>462.1</v>
      </c>
      <c r="CQ30" s="1131">
        <v>462.4</v>
      </c>
      <c r="CR30" s="1131">
        <v>466.8</v>
      </c>
      <c r="CS30" s="1131">
        <v>470.8</v>
      </c>
      <c r="CT30" s="1131">
        <v>485.8</v>
      </c>
      <c r="CU30" s="1131">
        <v>493</v>
      </c>
      <c r="CV30" s="1131">
        <v>499</v>
      </c>
      <c r="CW30" s="1131">
        <v>506.8</v>
      </c>
      <c r="CX30" s="1131">
        <v>514.20000000000005</v>
      </c>
      <c r="CY30" s="1131">
        <v>519</v>
      </c>
      <c r="CZ30" s="1131">
        <v>524.6</v>
      </c>
      <c r="DA30" s="1131">
        <v>529.9</v>
      </c>
      <c r="DB30" s="1131">
        <v>532.9</v>
      </c>
      <c r="DC30" s="1131">
        <v>541.70000000000005</v>
      </c>
      <c r="DD30" s="1131">
        <v>549.5</v>
      </c>
      <c r="DE30" s="1131">
        <v>557.5</v>
      </c>
      <c r="DF30" s="1131">
        <v>566</v>
      </c>
      <c r="DG30" s="1131">
        <v>574</v>
      </c>
      <c r="DH30" s="1131">
        <v>582.9</v>
      </c>
      <c r="DI30" s="1131">
        <v>594.79999999999995</v>
      </c>
      <c r="DJ30" s="1131">
        <v>602.79999999999995</v>
      </c>
      <c r="DK30" s="1131">
        <v>612.29999999999995</v>
      </c>
      <c r="DL30" s="1131">
        <v>622.20000000000005</v>
      </c>
      <c r="DM30" s="1131">
        <v>632.20000000000005</v>
      </c>
      <c r="DN30" s="1131">
        <v>643.5</v>
      </c>
      <c r="DO30" s="1131">
        <v>649.29999999999995</v>
      </c>
      <c r="DP30" s="1131">
        <v>656.7</v>
      </c>
      <c r="DQ30" s="1131">
        <v>669.8</v>
      </c>
      <c r="DR30" s="1131">
        <v>689.4</v>
      </c>
      <c r="DS30" s="1131">
        <v>691.5</v>
      </c>
      <c r="DT30" s="1131">
        <v>704.2</v>
      </c>
      <c r="DU30" s="1131">
        <v>709.2</v>
      </c>
      <c r="DV30" s="1131">
        <v>723.4</v>
      </c>
      <c r="DW30" s="1131">
        <v>723.4</v>
      </c>
      <c r="DX30" s="1131">
        <v>722</v>
      </c>
      <c r="DY30" s="1131">
        <v>724.2</v>
      </c>
      <c r="DZ30" s="1131">
        <v>732</v>
      </c>
      <c r="EA30" s="1131">
        <v>739.9</v>
      </c>
      <c r="EB30" s="1131">
        <v>742</v>
      </c>
      <c r="EC30" s="1131">
        <v>743.8</v>
      </c>
      <c r="ED30" s="1131">
        <v>749.1</v>
      </c>
      <c r="EE30" s="1131">
        <v>758.6</v>
      </c>
      <c r="EF30" s="1131">
        <v>767.2</v>
      </c>
      <c r="EG30" s="1131">
        <v>778.2</v>
      </c>
      <c r="EH30" s="1131">
        <v>790</v>
      </c>
      <c r="EI30" s="1131">
        <v>803.5</v>
      </c>
      <c r="EJ30" s="1131">
        <v>818.4</v>
      </c>
      <c r="EK30" s="1131">
        <v>824</v>
      </c>
      <c r="EL30" s="1131">
        <v>837.4</v>
      </c>
      <c r="EM30" s="1131">
        <v>846</v>
      </c>
      <c r="EN30" s="1131">
        <v>859.8</v>
      </c>
      <c r="EO30" s="1131">
        <v>870.4</v>
      </c>
      <c r="EP30" s="1131">
        <v>895.1</v>
      </c>
      <c r="EQ30" s="1131">
        <v>900.8</v>
      </c>
      <c r="ER30" s="1131">
        <v>906.2</v>
      </c>
      <c r="ES30" s="1131">
        <v>920.6</v>
      </c>
      <c r="ET30" s="1131">
        <v>940.9</v>
      </c>
      <c r="EU30" s="1131">
        <v>943.1</v>
      </c>
      <c r="EV30" s="1131">
        <v>946.7</v>
      </c>
      <c r="EW30" s="1131">
        <v>958.4</v>
      </c>
      <c r="EX30" s="1131">
        <v>970.2</v>
      </c>
      <c r="EY30" s="1131">
        <v>972.3</v>
      </c>
      <c r="EZ30" s="1131">
        <v>977.6</v>
      </c>
      <c r="FA30" s="1131">
        <v>977.8</v>
      </c>
      <c r="FB30" s="1131">
        <v>946</v>
      </c>
      <c r="FC30" s="1131">
        <v>952.6</v>
      </c>
      <c r="FD30" s="1131">
        <v>950.3</v>
      </c>
      <c r="FE30" s="1131">
        <v>953.9</v>
      </c>
      <c r="FF30" s="1131">
        <v>960.6</v>
      </c>
      <c r="FG30" s="1131">
        <v>971.7</v>
      </c>
      <c r="FH30" s="1131">
        <v>974.6</v>
      </c>
      <c r="FI30" s="1131">
        <v>976.6</v>
      </c>
      <c r="FJ30" s="1131">
        <v>898.3</v>
      </c>
      <c r="FK30" s="1131">
        <v>900.9</v>
      </c>
      <c r="FL30" s="1131">
        <v>909.4</v>
      </c>
      <c r="FM30" s="1131">
        <v>904.2</v>
      </c>
      <c r="FN30" s="1131">
        <v>927.5</v>
      </c>
      <c r="FO30" s="1131">
        <v>932.2</v>
      </c>
      <c r="FP30" s="1131">
        <v>935.2</v>
      </c>
      <c r="FQ30" s="1131">
        <v>957</v>
      </c>
      <c r="FR30" s="1131">
        <v>1078.5999999999999</v>
      </c>
      <c r="FS30" s="1131">
        <v>1090.7</v>
      </c>
      <c r="FT30" s="1131">
        <v>1093.5999999999999</v>
      </c>
      <c r="FU30" s="1131">
        <v>1104.2</v>
      </c>
      <c r="FV30" s="1131">
        <v>1126.5999999999999</v>
      </c>
      <c r="FW30" s="1131">
        <v>1131</v>
      </c>
      <c r="FX30" s="1131">
        <v>1142.5</v>
      </c>
      <c r="FY30" s="1131">
        <v>1160.0999999999999</v>
      </c>
      <c r="FZ30" s="1131">
        <v>1175.2</v>
      </c>
      <c r="GA30" s="1131">
        <v>1187</v>
      </c>
      <c r="GB30" s="1131">
        <v>1196.8</v>
      </c>
      <c r="GC30" s="1131">
        <v>1204.0999999999999</v>
      </c>
      <c r="GD30" s="1131">
        <v>1211</v>
      </c>
      <c r="GE30" s="1131">
        <v>1217</v>
      </c>
      <c r="GF30" s="1131">
        <v>1228</v>
      </c>
      <c r="GG30" s="1131">
        <v>1241.5</v>
      </c>
      <c r="GH30" s="1131">
        <v>1262.5</v>
      </c>
      <c r="GI30" s="1131">
        <v>1275.0999999999999</v>
      </c>
      <c r="GJ30" s="1131">
        <v>1290.2</v>
      </c>
      <c r="GK30" s="1131">
        <v>1308.9000000000001</v>
      </c>
      <c r="GL30" s="1131">
        <v>1328.5</v>
      </c>
      <c r="GM30" s="1131">
        <v>1338</v>
      </c>
      <c r="GN30" s="1131">
        <v>1353.9</v>
      </c>
      <c r="GO30" s="1131">
        <v>1361.4</v>
      </c>
      <c r="GP30" s="1131">
        <v>1392.4</v>
      </c>
      <c r="GQ30" s="1131">
        <v>1399.3</v>
      </c>
      <c r="GR30" s="1131">
        <v>1406.9</v>
      </c>
      <c r="GS30" s="1131">
        <v>1426.4</v>
      </c>
      <c r="GT30" s="1131">
        <v>1457.1</v>
      </c>
      <c r="GU30" s="1131">
        <v>1391.6</v>
      </c>
      <c r="GV30" s="1131">
        <v>1443.8</v>
      </c>
      <c r="GW30" s="1131">
        <v>1486</v>
      </c>
      <c r="GX30" s="1131">
        <v>1517.9</v>
      </c>
      <c r="GY30" s="1131">
        <v>1542.2</v>
      </c>
    </row>
    <row r="31" spans="1:207" x14ac:dyDescent="0.35">
      <c r="A31" s="1131" t="s">
        <v>227</v>
      </c>
      <c r="B31" s="1131">
        <v>48.3</v>
      </c>
      <c r="C31" s="1131">
        <v>57.5</v>
      </c>
      <c r="D31" s="1131">
        <v>56.9</v>
      </c>
      <c r="E31" s="1131">
        <v>59.8</v>
      </c>
      <c r="F31" s="1131">
        <v>61</v>
      </c>
      <c r="G31" s="1131">
        <v>67.900000000000006</v>
      </c>
      <c r="H31" s="1131">
        <v>67.2</v>
      </c>
      <c r="I31" s="1131">
        <v>68.2</v>
      </c>
      <c r="J31" s="1131">
        <v>70.2</v>
      </c>
      <c r="K31" s="1131">
        <v>70.2</v>
      </c>
      <c r="L31" s="1131">
        <v>70.3</v>
      </c>
      <c r="M31" s="1131">
        <v>80.599999999999994</v>
      </c>
      <c r="N31" s="1131">
        <v>82.2</v>
      </c>
      <c r="O31" s="1131">
        <v>83.6</v>
      </c>
      <c r="P31" s="1131">
        <v>85.1</v>
      </c>
      <c r="Q31" s="1131">
        <v>87.3</v>
      </c>
      <c r="R31" s="1131">
        <v>94.1</v>
      </c>
      <c r="S31" s="1131">
        <v>100.7</v>
      </c>
      <c r="T31" s="1131">
        <v>106.4</v>
      </c>
      <c r="U31" s="1131">
        <v>112</v>
      </c>
      <c r="V31" s="1131">
        <v>120.5</v>
      </c>
      <c r="W31" s="1131">
        <v>134.19999999999999</v>
      </c>
      <c r="X31" s="1131">
        <v>136.80000000000001</v>
      </c>
      <c r="Y31" s="1131">
        <v>137.80000000000001</v>
      </c>
      <c r="Z31" s="1131">
        <v>141.30000000000001</v>
      </c>
      <c r="AA31" s="1131">
        <v>139.6</v>
      </c>
      <c r="AB31" s="1131">
        <v>145.4</v>
      </c>
      <c r="AC31" s="1131">
        <v>147.69999999999999</v>
      </c>
      <c r="AD31" s="1131">
        <v>149.80000000000001</v>
      </c>
      <c r="AE31" s="1131">
        <v>148.9</v>
      </c>
      <c r="AF31" s="1131">
        <v>154.4</v>
      </c>
      <c r="AG31" s="1131">
        <v>156.6</v>
      </c>
      <c r="AH31" s="1131">
        <v>158.5</v>
      </c>
      <c r="AI31" s="1131">
        <v>158</v>
      </c>
      <c r="AJ31" s="1131">
        <v>165.9</v>
      </c>
      <c r="AK31" s="1131">
        <v>168.3</v>
      </c>
      <c r="AL31" s="1131">
        <v>172.5</v>
      </c>
      <c r="AM31" s="1131">
        <v>175.7</v>
      </c>
      <c r="AN31" s="1131">
        <v>190.1</v>
      </c>
      <c r="AO31" s="1131">
        <v>193.8</v>
      </c>
      <c r="AP31" s="1131">
        <v>202.1</v>
      </c>
      <c r="AQ31" s="1131">
        <v>207.3</v>
      </c>
      <c r="AR31" s="1131">
        <v>235.4</v>
      </c>
      <c r="AS31" s="1131">
        <v>236.4</v>
      </c>
      <c r="AT31" s="1131">
        <v>240.5</v>
      </c>
      <c r="AU31" s="1131">
        <v>241.6</v>
      </c>
      <c r="AV31" s="1131">
        <v>259.3</v>
      </c>
      <c r="AW31" s="1131">
        <v>261.5</v>
      </c>
      <c r="AX31" s="1131">
        <v>265.2</v>
      </c>
      <c r="AY31" s="1131">
        <v>272.2</v>
      </c>
      <c r="AZ31" s="1131">
        <v>287.5</v>
      </c>
      <c r="BA31" s="1131">
        <v>302.60000000000002</v>
      </c>
      <c r="BB31" s="1131">
        <v>302.2</v>
      </c>
      <c r="BC31" s="1131">
        <v>307.39999999999998</v>
      </c>
      <c r="BD31" s="1131">
        <v>301.3</v>
      </c>
      <c r="BE31" s="1131">
        <v>303.5</v>
      </c>
      <c r="BF31" s="1131">
        <v>306.39999999999998</v>
      </c>
      <c r="BG31" s="1131">
        <v>308.39999999999998</v>
      </c>
      <c r="BH31" s="1131">
        <v>309.10000000000002</v>
      </c>
      <c r="BI31" s="1131">
        <v>315.10000000000002</v>
      </c>
      <c r="BJ31" s="1131">
        <v>323.2</v>
      </c>
      <c r="BK31" s="1131">
        <v>324.2</v>
      </c>
      <c r="BL31" s="1131">
        <v>327.5</v>
      </c>
      <c r="BM31" s="1131">
        <v>328.5</v>
      </c>
      <c r="BN31" s="1131">
        <v>338.3</v>
      </c>
      <c r="BO31" s="1131">
        <v>342</v>
      </c>
      <c r="BP31" s="1131">
        <v>347.8</v>
      </c>
      <c r="BQ31" s="1131">
        <v>348.9</v>
      </c>
      <c r="BR31" s="1131">
        <v>353.6</v>
      </c>
      <c r="BS31" s="1131">
        <v>357.6</v>
      </c>
      <c r="BT31" s="1131">
        <v>357.9</v>
      </c>
      <c r="BU31" s="1131">
        <v>359.7</v>
      </c>
      <c r="BV31" s="1131">
        <v>375</v>
      </c>
      <c r="BW31" s="1131">
        <v>376.1</v>
      </c>
      <c r="BX31" s="1131">
        <v>379.3</v>
      </c>
      <c r="BY31" s="1131">
        <v>383</v>
      </c>
      <c r="BZ31" s="1131">
        <v>403.9</v>
      </c>
      <c r="CA31" s="1131">
        <v>408.3</v>
      </c>
      <c r="CB31" s="1131">
        <v>413.7</v>
      </c>
      <c r="CC31" s="1131">
        <v>420.9</v>
      </c>
      <c r="CD31" s="1131">
        <v>437.5</v>
      </c>
      <c r="CE31" s="1131">
        <v>443.4</v>
      </c>
      <c r="CF31" s="1131">
        <v>447.9</v>
      </c>
      <c r="CG31" s="1131">
        <v>459.4</v>
      </c>
      <c r="CH31" s="1131">
        <v>481</v>
      </c>
      <c r="CI31" s="1131">
        <v>491.3</v>
      </c>
      <c r="CJ31" s="1131">
        <v>495.1</v>
      </c>
      <c r="CK31" s="1131">
        <v>508.5</v>
      </c>
      <c r="CL31" s="1131">
        <v>540</v>
      </c>
      <c r="CM31" s="1131">
        <v>550.5</v>
      </c>
      <c r="CN31" s="1131">
        <v>555.5</v>
      </c>
      <c r="CO31" s="1131">
        <v>561.1</v>
      </c>
      <c r="CP31" s="1131">
        <v>577.6</v>
      </c>
      <c r="CQ31" s="1131">
        <v>582</v>
      </c>
      <c r="CR31" s="1131">
        <v>585.70000000000005</v>
      </c>
      <c r="CS31" s="1131">
        <v>589.6</v>
      </c>
      <c r="CT31" s="1131">
        <v>601.79999999999995</v>
      </c>
      <c r="CU31" s="1131">
        <v>606.20000000000005</v>
      </c>
      <c r="CV31" s="1131">
        <v>610</v>
      </c>
      <c r="CW31" s="1131">
        <v>618.1</v>
      </c>
      <c r="CX31" s="1131">
        <v>637.6</v>
      </c>
      <c r="CY31" s="1131">
        <v>644.9</v>
      </c>
      <c r="CZ31" s="1131">
        <v>650</v>
      </c>
      <c r="DA31" s="1131">
        <v>655.8</v>
      </c>
      <c r="DB31" s="1131">
        <v>675</v>
      </c>
      <c r="DC31" s="1131">
        <v>680.7</v>
      </c>
      <c r="DD31" s="1131">
        <v>683.7</v>
      </c>
      <c r="DE31" s="1131">
        <v>688.9</v>
      </c>
      <c r="DF31" s="1131">
        <v>704.5</v>
      </c>
      <c r="DG31" s="1131">
        <v>707.5</v>
      </c>
      <c r="DH31" s="1131">
        <v>709.2</v>
      </c>
      <c r="DI31" s="1131">
        <v>710.2</v>
      </c>
      <c r="DJ31" s="1131">
        <v>719.7</v>
      </c>
      <c r="DK31" s="1131">
        <v>720.7</v>
      </c>
      <c r="DL31" s="1131">
        <v>723.5</v>
      </c>
      <c r="DM31" s="1131">
        <v>724.7</v>
      </c>
      <c r="DN31" s="1131">
        <v>735.5</v>
      </c>
      <c r="DO31" s="1131">
        <v>738.6</v>
      </c>
      <c r="DP31" s="1131">
        <v>741.1</v>
      </c>
      <c r="DQ31" s="1131">
        <v>744.2</v>
      </c>
      <c r="DR31" s="1131">
        <v>756.8</v>
      </c>
      <c r="DS31" s="1131">
        <v>772.9</v>
      </c>
      <c r="DT31" s="1131">
        <v>777.5</v>
      </c>
      <c r="DU31" s="1131">
        <v>786.5</v>
      </c>
      <c r="DV31" s="1131">
        <v>817.3</v>
      </c>
      <c r="DW31" s="1131">
        <v>831</v>
      </c>
      <c r="DX31" s="1131">
        <v>849.4</v>
      </c>
      <c r="DY31" s="1131">
        <v>865.2</v>
      </c>
      <c r="DZ31" s="1131">
        <v>895</v>
      </c>
      <c r="EA31" s="1131">
        <v>921</v>
      </c>
      <c r="EB31" s="1131">
        <v>925.2</v>
      </c>
      <c r="EC31" s="1131">
        <v>930.8</v>
      </c>
      <c r="ED31" s="1131">
        <v>947.7</v>
      </c>
      <c r="EE31" s="1131">
        <v>964.3</v>
      </c>
      <c r="EF31" s="1131">
        <v>973.7</v>
      </c>
      <c r="EG31" s="1131">
        <v>984.3</v>
      </c>
      <c r="EH31" s="1131">
        <v>1003.6</v>
      </c>
      <c r="EI31" s="1131">
        <v>1013.5</v>
      </c>
      <c r="EJ31" s="1131">
        <v>1024.0999999999999</v>
      </c>
      <c r="EK31" s="1131">
        <v>1036.9000000000001</v>
      </c>
      <c r="EL31" s="1131">
        <v>1065.3</v>
      </c>
      <c r="EM31" s="1131">
        <v>1076</v>
      </c>
      <c r="EN31" s="1131">
        <v>1091.8</v>
      </c>
      <c r="EO31" s="1131">
        <v>1104.4000000000001</v>
      </c>
      <c r="EP31" s="1131">
        <v>1172.7</v>
      </c>
      <c r="EQ31" s="1131">
        <v>1184</v>
      </c>
      <c r="ER31" s="1131">
        <v>1194.0999999999999</v>
      </c>
      <c r="ES31" s="1131">
        <v>1205.5999999999999</v>
      </c>
      <c r="ET31" s="1131">
        <v>1240.0999999999999</v>
      </c>
      <c r="EU31" s="1131">
        <v>1256.7</v>
      </c>
      <c r="EV31" s="1131">
        <v>1270.2</v>
      </c>
      <c r="EW31" s="1131">
        <v>1286.3</v>
      </c>
      <c r="EX31" s="1131">
        <v>1321.9</v>
      </c>
      <c r="EY31" s="1131">
        <v>1657</v>
      </c>
      <c r="EZ31" s="1131">
        <v>1445.3</v>
      </c>
      <c r="FA31" s="1131">
        <v>1428.7</v>
      </c>
      <c r="FB31" s="1131">
        <v>1521.8</v>
      </c>
      <c r="FC31" s="1131">
        <v>1648</v>
      </c>
      <c r="FD31" s="1131">
        <v>1634.5</v>
      </c>
      <c r="FE31" s="1131">
        <v>1653.9</v>
      </c>
      <c r="FF31" s="1131">
        <v>1753.5</v>
      </c>
      <c r="FG31" s="1131">
        <v>1755.7</v>
      </c>
      <c r="FH31" s="1131">
        <v>1758.8</v>
      </c>
      <c r="FI31" s="1131">
        <v>1761.9</v>
      </c>
      <c r="FJ31" s="1131">
        <v>1768.6</v>
      </c>
      <c r="FK31" s="1131">
        <v>1777.4</v>
      </c>
      <c r="FL31" s="1131">
        <v>1782.4</v>
      </c>
      <c r="FM31" s="1131">
        <v>1789.3</v>
      </c>
      <c r="FN31" s="1131">
        <v>1772.9</v>
      </c>
      <c r="FO31" s="1131">
        <v>1777.5</v>
      </c>
      <c r="FP31" s="1131">
        <v>1783.6</v>
      </c>
      <c r="FQ31" s="1131">
        <v>1793.4</v>
      </c>
      <c r="FR31" s="1131">
        <v>1817.3</v>
      </c>
      <c r="FS31" s="1131">
        <v>1815.5</v>
      </c>
      <c r="FT31" s="1131">
        <v>1823.2</v>
      </c>
      <c r="FU31" s="1131">
        <v>1830.1</v>
      </c>
      <c r="FV31" s="1131">
        <v>1848.1</v>
      </c>
      <c r="FW31" s="1131">
        <v>1876.8</v>
      </c>
      <c r="FX31" s="1131">
        <v>1890.5</v>
      </c>
      <c r="FY31" s="1131">
        <v>1909</v>
      </c>
      <c r="FZ31" s="1131">
        <v>1945.5</v>
      </c>
      <c r="GA31" s="1131">
        <v>1966.6</v>
      </c>
      <c r="GB31" s="1131">
        <v>1977.6</v>
      </c>
      <c r="GC31" s="1131">
        <v>1989.7</v>
      </c>
      <c r="GD31" s="1131">
        <v>2006.2</v>
      </c>
      <c r="GE31" s="1131">
        <v>2018</v>
      </c>
      <c r="GF31" s="1131">
        <v>2029.1</v>
      </c>
      <c r="GG31" s="1131">
        <v>2043.5</v>
      </c>
      <c r="GH31" s="1131">
        <v>2074.9</v>
      </c>
      <c r="GI31" s="1131">
        <v>2088.5</v>
      </c>
      <c r="GJ31" s="1131">
        <v>2106.8000000000002</v>
      </c>
      <c r="GK31" s="1131">
        <v>2124.9</v>
      </c>
      <c r="GL31" s="1131">
        <v>2172.9</v>
      </c>
      <c r="GM31" s="1131">
        <v>2186.8000000000002</v>
      </c>
      <c r="GN31" s="1131">
        <v>2203.5</v>
      </c>
      <c r="GO31" s="1131">
        <v>2222.3000000000002</v>
      </c>
      <c r="GP31" s="1131">
        <v>2298.1</v>
      </c>
      <c r="GQ31" s="1131">
        <v>2315.5</v>
      </c>
      <c r="GR31" s="1131">
        <v>2333.1999999999998</v>
      </c>
      <c r="GS31" s="1131">
        <v>2350.8000000000002</v>
      </c>
      <c r="GT31" s="1131">
        <v>2417.9</v>
      </c>
      <c r="GU31" s="1131">
        <v>4766.7</v>
      </c>
      <c r="GV31" s="1131">
        <v>3468.3</v>
      </c>
      <c r="GW31" s="1131">
        <v>2839.1</v>
      </c>
      <c r="GX31" s="1131">
        <v>5070.6000000000004</v>
      </c>
      <c r="GY31" s="1131">
        <v>3372.3</v>
      </c>
    </row>
    <row r="32" spans="1:207" x14ac:dyDescent="0.35">
      <c r="A32" s="1131" t="s">
        <v>228</v>
      </c>
      <c r="B32" s="1131">
        <v>16.600000000000001</v>
      </c>
      <c r="C32" s="1131">
        <v>17.899999999999999</v>
      </c>
      <c r="D32" s="1131">
        <v>19.2</v>
      </c>
      <c r="E32" s="1131">
        <v>19.8</v>
      </c>
      <c r="F32" s="1131">
        <v>20.5</v>
      </c>
      <c r="G32" s="1131">
        <v>22.1</v>
      </c>
      <c r="H32" s="1131">
        <v>22.4</v>
      </c>
      <c r="I32" s="1131">
        <v>23.7</v>
      </c>
      <c r="J32" s="1131">
        <v>24.4</v>
      </c>
      <c r="K32" s="1131">
        <v>32.700000000000003</v>
      </c>
      <c r="L32" s="1131">
        <v>25.6</v>
      </c>
      <c r="M32" s="1131">
        <v>39.299999999999997</v>
      </c>
      <c r="N32" s="1131">
        <v>34.299999999999997</v>
      </c>
      <c r="O32" s="1131">
        <v>33.4</v>
      </c>
      <c r="P32" s="1131">
        <v>32.6</v>
      </c>
      <c r="Q32" s="1131">
        <v>33.6</v>
      </c>
      <c r="R32" s="1131">
        <v>33.299999999999997</v>
      </c>
      <c r="S32" s="1131">
        <v>34.1</v>
      </c>
      <c r="T32" s="1131">
        <v>35.4</v>
      </c>
      <c r="U32" s="1131">
        <v>36.799999999999997</v>
      </c>
      <c r="V32" s="1131">
        <v>39.299999999999997</v>
      </c>
      <c r="W32" s="1131">
        <v>44.3</v>
      </c>
      <c r="X32" s="1131">
        <v>45</v>
      </c>
      <c r="Y32" s="1131">
        <v>45.9</v>
      </c>
      <c r="Z32" s="1131">
        <v>47</v>
      </c>
      <c r="AA32" s="1131">
        <v>47.8</v>
      </c>
      <c r="AB32" s="1131">
        <v>48.7</v>
      </c>
      <c r="AC32" s="1131">
        <v>52.7</v>
      </c>
      <c r="AD32" s="1131">
        <v>50.7</v>
      </c>
      <c r="AE32" s="1131">
        <v>53.7</v>
      </c>
      <c r="AF32" s="1131">
        <v>57.3</v>
      </c>
      <c r="AG32" s="1131">
        <v>57.3</v>
      </c>
      <c r="AH32" s="1131">
        <v>61.5</v>
      </c>
      <c r="AI32" s="1131">
        <v>64.099999999999994</v>
      </c>
      <c r="AJ32" s="1131">
        <v>63.4</v>
      </c>
      <c r="AK32" s="1131">
        <v>64.900000000000006</v>
      </c>
      <c r="AL32" s="1131">
        <v>62.1</v>
      </c>
      <c r="AM32" s="1131">
        <v>62.6</v>
      </c>
      <c r="AN32" s="1131">
        <v>65.2</v>
      </c>
      <c r="AO32" s="1131">
        <v>65.900000000000006</v>
      </c>
      <c r="AP32" s="1131">
        <v>66.7</v>
      </c>
      <c r="AQ32" s="1131">
        <v>68.2</v>
      </c>
      <c r="AR32" s="1131">
        <v>70.7</v>
      </c>
      <c r="AS32" s="1131">
        <v>73.099999999999994</v>
      </c>
      <c r="AT32" s="1131">
        <v>71.5</v>
      </c>
      <c r="AU32" s="1131">
        <v>71.400000000000006</v>
      </c>
      <c r="AV32" s="1131">
        <v>68.8</v>
      </c>
      <c r="AW32" s="1131">
        <v>66</v>
      </c>
      <c r="AX32" s="1131">
        <v>65.8</v>
      </c>
      <c r="AY32" s="1131">
        <v>67.3</v>
      </c>
      <c r="AZ32" s="1131">
        <v>65.599999999999994</v>
      </c>
      <c r="BA32" s="1131">
        <v>66.3</v>
      </c>
      <c r="BB32" s="1131">
        <v>67.2</v>
      </c>
      <c r="BC32" s="1131">
        <v>69.2</v>
      </c>
      <c r="BD32" s="1131">
        <v>68.400000000000006</v>
      </c>
      <c r="BE32" s="1131">
        <v>67</v>
      </c>
      <c r="BF32" s="1131">
        <v>71.3</v>
      </c>
      <c r="BG32" s="1131">
        <v>73.099999999999994</v>
      </c>
      <c r="BH32" s="1131">
        <v>70.7</v>
      </c>
      <c r="BI32" s="1131">
        <v>74.3</v>
      </c>
      <c r="BJ32" s="1131">
        <v>74.8</v>
      </c>
      <c r="BK32" s="1131">
        <v>75.3</v>
      </c>
      <c r="BL32" s="1131">
        <v>76.400000000000006</v>
      </c>
      <c r="BM32" s="1131">
        <v>78.099999999999994</v>
      </c>
      <c r="BN32" s="1131">
        <v>79.7</v>
      </c>
      <c r="BO32" s="1131">
        <v>83.8</v>
      </c>
      <c r="BP32" s="1131">
        <v>86.7</v>
      </c>
      <c r="BQ32" s="1131">
        <v>79.5</v>
      </c>
      <c r="BR32" s="1131">
        <v>76.900000000000006</v>
      </c>
      <c r="BS32" s="1131">
        <v>80.2</v>
      </c>
      <c r="BT32" s="1131">
        <v>78.2</v>
      </c>
      <c r="BU32" s="1131">
        <v>78.2</v>
      </c>
      <c r="BV32" s="1131">
        <v>84.1</v>
      </c>
      <c r="BW32" s="1131">
        <v>84.1</v>
      </c>
      <c r="BX32" s="1131">
        <v>87</v>
      </c>
      <c r="BY32" s="1131">
        <v>87.7</v>
      </c>
      <c r="BZ32" s="1131">
        <v>88.7</v>
      </c>
      <c r="CA32" s="1131">
        <v>89.1</v>
      </c>
      <c r="CB32" s="1131">
        <v>95</v>
      </c>
      <c r="CC32" s="1131">
        <v>94.5</v>
      </c>
      <c r="CD32" s="1131">
        <v>99.9</v>
      </c>
      <c r="CE32" s="1131">
        <v>103.2</v>
      </c>
      <c r="CF32" s="1131">
        <v>105.5</v>
      </c>
      <c r="CG32" s="1131">
        <v>108.8</v>
      </c>
      <c r="CH32" s="1131">
        <v>115.6</v>
      </c>
      <c r="CI32" s="1131">
        <v>120.5</v>
      </c>
      <c r="CJ32" s="1131">
        <v>127</v>
      </c>
      <c r="CK32" s="1131">
        <v>132.9</v>
      </c>
      <c r="CL32" s="1131">
        <v>136.19999999999999</v>
      </c>
      <c r="CM32" s="1131">
        <v>139</v>
      </c>
      <c r="CN32" s="1131">
        <v>145</v>
      </c>
      <c r="CO32" s="1131">
        <v>146.5</v>
      </c>
      <c r="CP32" s="1131">
        <v>148.80000000000001</v>
      </c>
      <c r="CQ32" s="1131">
        <v>151.4</v>
      </c>
      <c r="CR32" s="1131">
        <v>157.19999999999999</v>
      </c>
      <c r="CS32" s="1131">
        <v>165.5</v>
      </c>
      <c r="CT32" s="1131">
        <v>162.4</v>
      </c>
      <c r="CU32" s="1131">
        <v>164.9</v>
      </c>
      <c r="CV32" s="1131">
        <v>167.3</v>
      </c>
      <c r="CW32" s="1131">
        <v>172.8</v>
      </c>
      <c r="CX32" s="1131">
        <v>175.6</v>
      </c>
      <c r="CY32" s="1131">
        <v>174.8</v>
      </c>
      <c r="CZ32" s="1131">
        <v>175.8</v>
      </c>
      <c r="DA32" s="1131">
        <v>171.7</v>
      </c>
      <c r="DB32" s="1131">
        <v>177.1</v>
      </c>
      <c r="DC32" s="1131">
        <v>185.5</v>
      </c>
      <c r="DD32" s="1131">
        <v>182.9</v>
      </c>
      <c r="DE32" s="1131">
        <v>180.3</v>
      </c>
      <c r="DF32" s="1131">
        <v>184.6</v>
      </c>
      <c r="DG32" s="1131">
        <v>184.2</v>
      </c>
      <c r="DH32" s="1131">
        <v>187.5</v>
      </c>
      <c r="DI32" s="1131">
        <v>196.3</v>
      </c>
      <c r="DJ32" s="1131">
        <v>197.3</v>
      </c>
      <c r="DK32" s="1131">
        <v>197</v>
      </c>
      <c r="DL32" s="1131">
        <v>201.8</v>
      </c>
      <c r="DM32" s="1131">
        <v>207</v>
      </c>
      <c r="DN32" s="1131">
        <v>214.7</v>
      </c>
      <c r="DO32" s="1131">
        <v>211.8</v>
      </c>
      <c r="DP32" s="1131">
        <v>223.1</v>
      </c>
      <c r="DQ32" s="1131">
        <v>227</v>
      </c>
      <c r="DR32" s="1131">
        <v>224.5</v>
      </c>
      <c r="DS32" s="1131">
        <v>227.4</v>
      </c>
      <c r="DT32" s="1131">
        <v>239.5</v>
      </c>
      <c r="DU32" s="1131">
        <v>241.1</v>
      </c>
      <c r="DV32" s="1131">
        <v>254</v>
      </c>
      <c r="DW32" s="1131">
        <v>262.2</v>
      </c>
      <c r="DX32" s="1131">
        <v>258.5</v>
      </c>
      <c r="DY32" s="1131">
        <v>270.39999999999998</v>
      </c>
      <c r="DZ32" s="1131">
        <v>277.3</v>
      </c>
      <c r="EA32" s="1131">
        <v>285.7</v>
      </c>
      <c r="EB32" s="1131">
        <v>294.3</v>
      </c>
      <c r="EC32" s="1131">
        <v>297.39999999999998</v>
      </c>
      <c r="ED32" s="1131">
        <v>299.60000000000002</v>
      </c>
      <c r="EE32" s="1131">
        <v>323.3</v>
      </c>
      <c r="EF32" s="1131">
        <v>329.6</v>
      </c>
      <c r="EG32" s="1131">
        <v>334.3</v>
      </c>
      <c r="EH32" s="1131">
        <v>328</v>
      </c>
      <c r="EI32" s="1131">
        <v>332.8</v>
      </c>
      <c r="EJ32" s="1131">
        <v>328.4</v>
      </c>
      <c r="EK32" s="1131">
        <v>340</v>
      </c>
      <c r="EL32" s="1131">
        <v>341.6</v>
      </c>
      <c r="EM32" s="1131">
        <v>344.8</v>
      </c>
      <c r="EN32" s="1131">
        <v>342.5</v>
      </c>
      <c r="EO32" s="1131">
        <v>345.1</v>
      </c>
      <c r="EP32" s="1131">
        <v>340</v>
      </c>
      <c r="EQ32" s="1131">
        <v>341.5</v>
      </c>
      <c r="ER32" s="1131">
        <v>347.9</v>
      </c>
      <c r="ES32" s="1131">
        <v>334.7</v>
      </c>
      <c r="ET32" s="1131">
        <v>358.4</v>
      </c>
      <c r="EU32" s="1131">
        <v>359.4</v>
      </c>
      <c r="EV32" s="1131">
        <v>359.8</v>
      </c>
      <c r="EW32" s="1131">
        <v>358.9</v>
      </c>
      <c r="EX32" s="1131">
        <v>365.7</v>
      </c>
      <c r="EY32" s="1131">
        <v>371.5</v>
      </c>
      <c r="EZ32" s="1131">
        <v>368.8</v>
      </c>
      <c r="FA32" s="1131">
        <v>378.6</v>
      </c>
      <c r="FB32" s="1131">
        <v>421.1</v>
      </c>
      <c r="FC32" s="1131">
        <v>473.9</v>
      </c>
      <c r="FD32" s="1131">
        <v>465.4</v>
      </c>
      <c r="FE32" s="1131">
        <v>472.1</v>
      </c>
      <c r="FF32" s="1131">
        <v>496.2</v>
      </c>
      <c r="FG32" s="1131">
        <v>492.6</v>
      </c>
      <c r="FH32" s="1131">
        <v>517.79999999999995</v>
      </c>
      <c r="FI32" s="1131">
        <v>514.4</v>
      </c>
      <c r="FJ32" s="1131">
        <v>500.5</v>
      </c>
      <c r="FK32" s="1131">
        <v>503.4</v>
      </c>
      <c r="FL32" s="1131">
        <v>448.3</v>
      </c>
      <c r="FM32" s="1131">
        <v>437.7</v>
      </c>
      <c r="FN32" s="1131">
        <v>441.7</v>
      </c>
      <c r="FO32" s="1131">
        <v>447.9</v>
      </c>
      <c r="FP32" s="1131">
        <v>440</v>
      </c>
      <c r="FQ32" s="1131">
        <v>448.2</v>
      </c>
      <c r="FR32" s="1131">
        <v>440</v>
      </c>
      <c r="FS32" s="1131">
        <v>459.2</v>
      </c>
      <c r="FT32" s="1131">
        <v>454</v>
      </c>
      <c r="FU32" s="1131">
        <v>447.3</v>
      </c>
      <c r="FV32" s="1131">
        <v>467.8</v>
      </c>
      <c r="FW32" s="1131">
        <v>492.5</v>
      </c>
      <c r="FX32" s="1131">
        <v>511.1</v>
      </c>
      <c r="FY32" s="1131">
        <v>508.8</v>
      </c>
      <c r="FZ32" s="1131">
        <v>524.79999999999995</v>
      </c>
      <c r="GA32" s="1131">
        <v>528.9</v>
      </c>
      <c r="GB32" s="1131">
        <v>530.4</v>
      </c>
      <c r="GC32" s="1131">
        <v>548.20000000000005</v>
      </c>
      <c r="GD32" s="1131">
        <v>544.4</v>
      </c>
      <c r="GE32" s="1131">
        <v>546.6</v>
      </c>
      <c r="GF32" s="1131">
        <v>562.79999999999995</v>
      </c>
      <c r="GG32" s="1131">
        <v>573.1</v>
      </c>
      <c r="GH32" s="1131">
        <v>563.29999999999995</v>
      </c>
      <c r="GI32" s="1131">
        <v>539.70000000000005</v>
      </c>
      <c r="GJ32" s="1131">
        <v>563</v>
      </c>
      <c r="GK32" s="1131">
        <v>575.79999999999995</v>
      </c>
      <c r="GL32" s="1131">
        <v>582.70000000000005</v>
      </c>
      <c r="GM32" s="1131">
        <v>575.70000000000005</v>
      </c>
      <c r="GN32" s="1131">
        <v>582.70000000000005</v>
      </c>
      <c r="GO32" s="1131">
        <v>588.9</v>
      </c>
      <c r="GP32" s="1131">
        <v>593.79999999999995</v>
      </c>
      <c r="GQ32" s="1131">
        <v>610.5</v>
      </c>
      <c r="GR32" s="1131">
        <v>610.4</v>
      </c>
      <c r="GS32" s="1131">
        <v>622.4</v>
      </c>
      <c r="GT32" s="1131">
        <v>640.6</v>
      </c>
      <c r="GU32" s="1131">
        <v>1400</v>
      </c>
      <c r="GV32" s="1131">
        <v>738.5</v>
      </c>
      <c r="GW32" s="1131">
        <v>743</v>
      </c>
      <c r="GX32" s="1131">
        <v>781.5</v>
      </c>
      <c r="GY32" s="1131">
        <v>1632.2</v>
      </c>
    </row>
    <row r="33" spans="1:207" x14ac:dyDescent="0.35">
      <c r="A33" s="1131" t="s">
        <v>229</v>
      </c>
      <c r="B33" s="1131">
        <v>14</v>
      </c>
      <c r="C33" s="1131">
        <v>14.1</v>
      </c>
      <c r="D33" s="1131">
        <v>14.3</v>
      </c>
      <c r="E33" s="1131">
        <v>14.4</v>
      </c>
      <c r="F33" s="1131">
        <v>14.7</v>
      </c>
      <c r="G33" s="1131">
        <v>15.6</v>
      </c>
      <c r="H33" s="1131">
        <v>16</v>
      </c>
      <c r="I33" s="1131">
        <v>17.3</v>
      </c>
      <c r="J33" s="1131">
        <v>19.5</v>
      </c>
      <c r="K33" s="1131">
        <v>21</v>
      </c>
      <c r="L33" s="1131">
        <v>21.2</v>
      </c>
      <c r="M33" s="1131">
        <v>21.8</v>
      </c>
      <c r="N33" s="1131">
        <v>21.9</v>
      </c>
      <c r="O33" s="1131">
        <v>22.3</v>
      </c>
      <c r="P33" s="1131">
        <v>23.1</v>
      </c>
      <c r="Q33" s="1131">
        <v>24</v>
      </c>
      <c r="R33" s="1131">
        <v>23.3</v>
      </c>
      <c r="S33" s="1131">
        <v>24.1</v>
      </c>
      <c r="T33" s="1131">
        <v>25.2</v>
      </c>
      <c r="U33" s="1131">
        <v>25.6</v>
      </c>
      <c r="V33" s="1131">
        <v>25.7</v>
      </c>
      <c r="W33" s="1131">
        <v>26.5</v>
      </c>
      <c r="X33" s="1131">
        <v>27.2</v>
      </c>
      <c r="Y33" s="1131">
        <v>28.2</v>
      </c>
      <c r="Z33" s="1131">
        <v>29.5</v>
      </c>
      <c r="AA33" s="1131">
        <v>30.6</v>
      </c>
      <c r="AB33" s="1131">
        <v>31.6</v>
      </c>
      <c r="AC33" s="1131">
        <v>32.6</v>
      </c>
      <c r="AD33" s="1131">
        <v>33.5</v>
      </c>
      <c r="AE33" s="1131">
        <v>34.700000000000003</v>
      </c>
      <c r="AF33" s="1131">
        <v>35.9</v>
      </c>
      <c r="AG33" s="1131">
        <v>37.299999999999997</v>
      </c>
      <c r="AH33" s="1131">
        <v>38.6</v>
      </c>
      <c r="AI33" s="1131">
        <v>40.1</v>
      </c>
      <c r="AJ33" s="1131">
        <v>40.9</v>
      </c>
      <c r="AK33" s="1131">
        <v>42.1</v>
      </c>
      <c r="AL33" s="1131">
        <v>42</v>
      </c>
      <c r="AM33" s="1131">
        <v>42.1</v>
      </c>
      <c r="AN33" s="1131">
        <v>45.4</v>
      </c>
      <c r="AO33" s="1131">
        <v>46.6</v>
      </c>
      <c r="AP33" s="1131">
        <v>46.6</v>
      </c>
      <c r="AQ33" s="1131">
        <v>48</v>
      </c>
      <c r="AR33" s="1131">
        <v>49.4</v>
      </c>
      <c r="AS33" s="1131">
        <v>51.6</v>
      </c>
      <c r="AT33" s="1131">
        <v>52.5</v>
      </c>
      <c r="AU33" s="1131">
        <v>53.7</v>
      </c>
      <c r="AV33" s="1131">
        <v>55.5</v>
      </c>
      <c r="AW33" s="1131">
        <v>56.8</v>
      </c>
      <c r="AX33" s="1131">
        <v>57.3</v>
      </c>
      <c r="AY33" s="1131">
        <v>58.1</v>
      </c>
      <c r="AZ33" s="1131">
        <v>60.4</v>
      </c>
      <c r="BA33" s="1131">
        <v>60.8</v>
      </c>
      <c r="BB33" s="1131">
        <v>61.3</v>
      </c>
      <c r="BC33" s="1131">
        <v>64.3</v>
      </c>
      <c r="BD33" s="1131">
        <v>68.099999999999994</v>
      </c>
      <c r="BE33" s="1131">
        <v>70.7</v>
      </c>
      <c r="BF33" s="1131">
        <v>73.3</v>
      </c>
      <c r="BG33" s="1131">
        <v>75.8</v>
      </c>
      <c r="BH33" s="1131">
        <v>76.8</v>
      </c>
      <c r="BI33" s="1131">
        <v>78.2</v>
      </c>
      <c r="BJ33" s="1131">
        <v>79.3</v>
      </c>
      <c r="BK33" s="1131">
        <v>80.900000000000006</v>
      </c>
      <c r="BL33" s="1131">
        <v>81.5</v>
      </c>
      <c r="BM33" s="1131">
        <v>83.7</v>
      </c>
      <c r="BN33" s="1131">
        <v>84.5</v>
      </c>
      <c r="BO33" s="1131">
        <v>85</v>
      </c>
      <c r="BP33" s="1131">
        <v>87.5</v>
      </c>
      <c r="BQ33" s="1131">
        <v>91.8</v>
      </c>
      <c r="BR33" s="1131">
        <v>92.4</v>
      </c>
      <c r="BS33" s="1131">
        <v>101.5</v>
      </c>
      <c r="BT33" s="1131">
        <v>94.1</v>
      </c>
      <c r="BU33" s="1131">
        <v>98.4</v>
      </c>
      <c r="BV33" s="1131">
        <v>99.4</v>
      </c>
      <c r="BW33" s="1131">
        <v>97.2</v>
      </c>
      <c r="BX33" s="1131">
        <v>104.1</v>
      </c>
      <c r="BY33" s="1131">
        <v>107.6</v>
      </c>
      <c r="BZ33" s="1131">
        <v>113.4</v>
      </c>
      <c r="CA33" s="1131">
        <v>118.3</v>
      </c>
      <c r="CB33" s="1131">
        <v>114.5</v>
      </c>
      <c r="CC33" s="1131">
        <v>112.4</v>
      </c>
      <c r="CD33" s="1131">
        <v>119.4</v>
      </c>
      <c r="CE33" s="1131">
        <v>122.6</v>
      </c>
      <c r="CF33" s="1131">
        <v>123.7</v>
      </c>
      <c r="CG33" s="1131">
        <v>124.6</v>
      </c>
      <c r="CH33" s="1131">
        <v>121.2</v>
      </c>
      <c r="CI33" s="1131">
        <v>124.5</v>
      </c>
      <c r="CJ33" s="1131">
        <v>126.1</v>
      </c>
      <c r="CK33" s="1131">
        <v>129.5</v>
      </c>
      <c r="CL33" s="1131">
        <v>127.6</v>
      </c>
      <c r="CM33" s="1131">
        <v>136.9</v>
      </c>
      <c r="CN33" s="1131">
        <v>136.80000000000001</v>
      </c>
      <c r="CO33" s="1131">
        <v>140</v>
      </c>
      <c r="CP33" s="1131">
        <v>136.69999999999999</v>
      </c>
      <c r="CQ33" s="1131">
        <v>138.30000000000001</v>
      </c>
      <c r="CR33" s="1131">
        <v>143.6</v>
      </c>
      <c r="CS33" s="1131">
        <v>145.80000000000001</v>
      </c>
      <c r="CT33" s="1131">
        <v>146.9</v>
      </c>
      <c r="CU33" s="1131">
        <v>141.9</v>
      </c>
      <c r="CV33" s="1131">
        <v>151.19999999999999</v>
      </c>
      <c r="CW33" s="1131">
        <v>152</v>
      </c>
      <c r="CX33" s="1131">
        <v>156.9</v>
      </c>
      <c r="CY33" s="1131">
        <v>152.4</v>
      </c>
      <c r="CZ33" s="1131">
        <v>160.69999999999999</v>
      </c>
      <c r="DA33" s="1131">
        <v>162.4</v>
      </c>
      <c r="DB33" s="1131">
        <v>165.3</v>
      </c>
      <c r="DC33" s="1131">
        <v>165.9</v>
      </c>
      <c r="DD33" s="1131">
        <v>169.3</v>
      </c>
      <c r="DE33" s="1131">
        <v>174.1</v>
      </c>
      <c r="DF33" s="1131">
        <v>177.8</v>
      </c>
      <c r="DG33" s="1131">
        <v>176.9</v>
      </c>
      <c r="DH33" s="1131">
        <v>184.1</v>
      </c>
      <c r="DI33" s="1131">
        <v>189.2</v>
      </c>
      <c r="DJ33" s="1131">
        <v>195.6</v>
      </c>
      <c r="DK33" s="1131">
        <v>201.4</v>
      </c>
      <c r="DL33" s="1131">
        <v>201.6</v>
      </c>
      <c r="DM33" s="1131">
        <v>206.3</v>
      </c>
      <c r="DN33" s="1131">
        <v>208.2</v>
      </c>
      <c r="DO33" s="1131">
        <v>209.4</v>
      </c>
      <c r="DP33" s="1131">
        <v>216.4</v>
      </c>
      <c r="DQ33" s="1131">
        <v>224</v>
      </c>
      <c r="DR33" s="1131">
        <v>232.2</v>
      </c>
      <c r="DS33" s="1131">
        <v>243.3</v>
      </c>
      <c r="DT33" s="1131">
        <v>236.6</v>
      </c>
      <c r="DU33" s="1131">
        <v>234.8</v>
      </c>
      <c r="DV33" s="1131">
        <v>250.9</v>
      </c>
      <c r="DW33" s="1131">
        <v>259.89999999999998</v>
      </c>
      <c r="DX33" s="1131">
        <v>231.9</v>
      </c>
      <c r="DY33" s="1131">
        <v>229.3</v>
      </c>
      <c r="DZ33" s="1131">
        <v>227.4</v>
      </c>
      <c r="EA33" s="1131">
        <v>214.3</v>
      </c>
      <c r="EB33" s="1131">
        <v>218.8</v>
      </c>
      <c r="EC33" s="1131">
        <v>218.9</v>
      </c>
      <c r="ED33" s="1131">
        <v>217.9</v>
      </c>
      <c r="EE33" s="1131">
        <v>207.9</v>
      </c>
      <c r="EF33" s="1131">
        <v>234.2</v>
      </c>
      <c r="EG33" s="1131">
        <v>239.7</v>
      </c>
      <c r="EH33" s="1131">
        <v>239</v>
      </c>
      <c r="EI33" s="1131">
        <v>234.3</v>
      </c>
      <c r="EJ33" s="1131">
        <v>247.7</v>
      </c>
      <c r="EK33" s="1131">
        <v>261.8</v>
      </c>
      <c r="EL33" s="1131">
        <v>269.39999999999998</v>
      </c>
      <c r="EM33" s="1131">
        <v>270.39999999999998</v>
      </c>
      <c r="EN33" s="1131">
        <v>276</v>
      </c>
      <c r="EO33" s="1131">
        <v>285.2</v>
      </c>
      <c r="EP33" s="1131">
        <v>294.89999999999998</v>
      </c>
      <c r="EQ33" s="1131">
        <v>310.10000000000002</v>
      </c>
      <c r="ER33" s="1131">
        <v>297.7</v>
      </c>
      <c r="ES33" s="1131">
        <v>301.7</v>
      </c>
      <c r="ET33" s="1131">
        <v>320.5</v>
      </c>
      <c r="EU33" s="1131">
        <v>332</v>
      </c>
      <c r="EV33" s="1131">
        <v>319.60000000000002</v>
      </c>
      <c r="EW33" s="1131">
        <v>314.2</v>
      </c>
      <c r="EX33" s="1131">
        <v>333.4</v>
      </c>
      <c r="EY33" s="1131">
        <v>361.1</v>
      </c>
      <c r="EZ33" s="1131">
        <v>323.8</v>
      </c>
      <c r="FA33" s="1131">
        <v>305.10000000000002</v>
      </c>
      <c r="FB33" s="1131">
        <v>281.10000000000002</v>
      </c>
      <c r="FC33" s="1131">
        <v>275.60000000000002</v>
      </c>
      <c r="FD33" s="1131">
        <v>293.3</v>
      </c>
      <c r="FE33" s="1131">
        <v>293.3</v>
      </c>
      <c r="FF33" s="1131">
        <v>288.39999999999998</v>
      </c>
      <c r="FG33" s="1131">
        <v>278</v>
      </c>
      <c r="FH33" s="1131">
        <v>297.8</v>
      </c>
      <c r="FI33" s="1131">
        <v>311.89999999999998</v>
      </c>
      <c r="FJ33" s="1131">
        <v>315.2</v>
      </c>
      <c r="FK33" s="1131">
        <v>319.39999999999998</v>
      </c>
      <c r="FL33" s="1131">
        <v>327.2</v>
      </c>
      <c r="FM33" s="1131">
        <v>329.9</v>
      </c>
      <c r="FN33" s="1131">
        <v>330.1</v>
      </c>
      <c r="FO33" s="1131">
        <v>337</v>
      </c>
      <c r="FP33" s="1131">
        <v>346.2</v>
      </c>
      <c r="FQ33" s="1131">
        <v>359.2</v>
      </c>
      <c r="FR33" s="1131">
        <v>376.5</v>
      </c>
      <c r="FS33" s="1131">
        <v>386.1</v>
      </c>
      <c r="FT33" s="1131">
        <v>366.6</v>
      </c>
      <c r="FU33" s="1131">
        <v>364.9</v>
      </c>
      <c r="FV33" s="1131">
        <v>375.7</v>
      </c>
      <c r="FW33" s="1131">
        <v>369.4</v>
      </c>
      <c r="FX33" s="1131">
        <v>385.3</v>
      </c>
      <c r="FY33" s="1131">
        <v>393</v>
      </c>
      <c r="FZ33" s="1131">
        <v>395.4</v>
      </c>
      <c r="GA33" s="1131">
        <v>415.3</v>
      </c>
      <c r="GB33" s="1131">
        <v>406.5</v>
      </c>
      <c r="GC33" s="1131">
        <v>412.3</v>
      </c>
      <c r="GD33" s="1131">
        <v>397.8</v>
      </c>
      <c r="GE33" s="1131">
        <v>406.6</v>
      </c>
      <c r="GF33" s="1131">
        <v>418.2</v>
      </c>
      <c r="GG33" s="1131">
        <v>418.4</v>
      </c>
      <c r="GH33" s="1131">
        <v>424.7</v>
      </c>
      <c r="GI33" s="1131">
        <v>406.5</v>
      </c>
      <c r="GJ33" s="1131">
        <v>432.4</v>
      </c>
      <c r="GK33" s="1131">
        <v>478.2</v>
      </c>
      <c r="GL33" s="1131">
        <v>479</v>
      </c>
      <c r="GM33" s="1131">
        <v>442.4</v>
      </c>
      <c r="GN33" s="1131">
        <v>464.2</v>
      </c>
      <c r="GO33" s="1131">
        <v>453.6</v>
      </c>
      <c r="GP33" s="1131">
        <v>472.9</v>
      </c>
      <c r="GQ33" s="1131">
        <v>520.9</v>
      </c>
      <c r="GR33" s="1131">
        <v>497.4</v>
      </c>
      <c r="GS33" s="1131">
        <v>494.7</v>
      </c>
      <c r="GT33" s="1131">
        <v>503.8</v>
      </c>
      <c r="GU33" s="1131">
        <v>517.5</v>
      </c>
      <c r="GV33" s="1131">
        <v>519.6</v>
      </c>
      <c r="GW33" s="1131">
        <v>522.79999999999995</v>
      </c>
      <c r="GX33" s="1131">
        <v>560.20000000000005</v>
      </c>
      <c r="GY33" s="1131">
        <v>586.4</v>
      </c>
    </row>
    <row r="34" spans="1:207" x14ac:dyDescent="0.35">
      <c r="A34" s="1131" t="s">
        <v>230</v>
      </c>
      <c r="B34" s="1131">
        <v>70.599999999999994</v>
      </c>
      <c r="C34" s="1131">
        <v>72.400000000000006</v>
      </c>
      <c r="D34" s="1131">
        <v>74.3</v>
      </c>
      <c r="E34" s="1131">
        <v>76</v>
      </c>
      <c r="F34" s="1131">
        <v>78.3</v>
      </c>
      <c r="G34" s="1131">
        <v>80.2</v>
      </c>
      <c r="H34" s="1131">
        <v>82.8</v>
      </c>
      <c r="I34" s="1131">
        <v>84.7</v>
      </c>
      <c r="J34" s="1131">
        <v>86.4</v>
      </c>
      <c r="K34" s="1131">
        <v>88.5</v>
      </c>
      <c r="L34" s="1131">
        <v>90.4</v>
      </c>
      <c r="M34" s="1131">
        <v>92.5</v>
      </c>
      <c r="N34" s="1131">
        <v>95.1</v>
      </c>
      <c r="O34" s="1131">
        <v>96.3</v>
      </c>
      <c r="P34" s="1131">
        <v>98.7</v>
      </c>
      <c r="Q34" s="1131">
        <v>99.6</v>
      </c>
      <c r="R34" s="1131">
        <v>101</v>
      </c>
      <c r="S34" s="1131">
        <v>104</v>
      </c>
      <c r="T34" s="1131">
        <v>106.8</v>
      </c>
      <c r="U34" s="1131">
        <v>107.5</v>
      </c>
      <c r="V34" s="1131">
        <v>109</v>
      </c>
      <c r="W34" s="1131">
        <v>111.7</v>
      </c>
      <c r="X34" s="1131">
        <v>114.9</v>
      </c>
      <c r="Y34" s="1131">
        <v>117.3</v>
      </c>
      <c r="Z34" s="1131">
        <v>120.9</v>
      </c>
      <c r="AA34" s="1131">
        <v>123.5</v>
      </c>
      <c r="AB34" s="1131">
        <v>126</v>
      </c>
      <c r="AC34" s="1131">
        <v>129.6</v>
      </c>
      <c r="AD34" s="1131">
        <v>132.9</v>
      </c>
      <c r="AE34" s="1131">
        <v>135.5</v>
      </c>
      <c r="AF34" s="1131">
        <v>138.30000000000001</v>
      </c>
      <c r="AG34" s="1131">
        <v>141.1</v>
      </c>
      <c r="AH34" s="1131">
        <v>143</v>
      </c>
      <c r="AI34" s="1131">
        <v>147.69999999999999</v>
      </c>
      <c r="AJ34" s="1131">
        <v>144.19999999999999</v>
      </c>
      <c r="AK34" s="1131">
        <v>147.6</v>
      </c>
      <c r="AL34" s="1131">
        <v>150.6</v>
      </c>
      <c r="AM34" s="1131">
        <v>152.6</v>
      </c>
      <c r="AN34" s="1131">
        <v>155.6</v>
      </c>
      <c r="AO34" s="1131">
        <v>159</v>
      </c>
      <c r="AP34" s="1131">
        <v>161.9</v>
      </c>
      <c r="AQ34" s="1131">
        <v>163.30000000000001</v>
      </c>
      <c r="AR34" s="1131">
        <v>168.2</v>
      </c>
      <c r="AS34" s="1131">
        <v>173.3</v>
      </c>
      <c r="AT34" s="1131">
        <v>180.2</v>
      </c>
      <c r="AU34" s="1131">
        <v>183.7</v>
      </c>
      <c r="AV34" s="1131">
        <v>188.3</v>
      </c>
      <c r="AW34" s="1131">
        <v>190.7</v>
      </c>
      <c r="AX34" s="1131">
        <v>193.9</v>
      </c>
      <c r="AY34" s="1131">
        <v>198.3</v>
      </c>
      <c r="AZ34" s="1131">
        <v>201.7</v>
      </c>
      <c r="BA34" s="1131">
        <v>206</v>
      </c>
      <c r="BB34" s="1131">
        <v>209.6</v>
      </c>
      <c r="BC34" s="1131">
        <v>216</v>
      </c>
      <c r="BD34" s="1131">
        <v>222</v>
      </c>
      <c r="BE34" s="1131">
        <v>228</v>
      </c>
      <c r="BF34" s="1131">
        <v>234.7</v>
      </c>
      <c r="BG34" s="1131">
        <v>240.3</v>
      </c>
      <c r="BH34" s="1131">
        <v>244.7</v>
      </c>
      <c r="BI34" s="1131">
        <v>250.2</v>
      </c>
      <c r="BJ34" s="1131">
        <v>254.7</v>
      </c>
      <c r="BK34" s="1131">
        <v>260</v>
      </c>
      <c r="BL34" s="1131">
        <v>265.10000000000002</v>
      </c>
      <c r="BM34" s="1131">
        <v>268.5</v>
      </c>
      <c r="BN34" s="1131">
        <v>273</v>
      </c>
      <c r="BO34" s="1131">
        <v>276.60000000000002</v>
      </c>
      <c r="BP34" s="1131">
        <v>282.3</v>
      </c>
      <c r="BQ34" s="1131">
        <v>286.8</v>
      </c>
      <c r="BR34" s="1131">
        <v>291.89999999999998</v>
      </c>
      <c r="BS34" s="1131">
        <v>298.5</v>
      </c>
      <c r="BT34" s="1131">
        <v>306</v>
      </c>
      <c r="BU34" s="1131">
        <v>310</v>
      </c>
      <c r="BV34" s="1131">
        <v>315.7</v>
      </c>
      <c r="BW34" s="1131">
        <v>323.2</v>
      </c>
      <c r="BX34" s="1131">
        <v>327.3</v>
      </c>
      <c r="BY34" s="1131">
        <v>332.4</v>
      </c>
      <c r="BZ34" s="1131">
        <v>340.2</v>
      </c>
      <c r="CA34" s="1131">
        <v>348.2</v>
      </c>
      <c r="CB34" s="1131">
        <v>353.9</v>
      </c>
      <c r="CC34" s="1131">
        <v>354.2</v>
      </c>
      <c r="CD34" s="1131">
        <v>369.3</v>
      </c>
      <c r="CE34" s="1131">
        <v>368.7</v>
      </c>
      <c r="CF34" s="1131">
        <v>375.6</v>
      </c>
      <c r="CG34" s="1131">
        <v>382.7</v>
      </c>
      <c r="CH34" s="1131">
        <v>384.3</v>
      </c>
      <c r="CI34" s="1131">
        <v>390.2</v>
      </c>
      <c r="CJ34" s="1131">
        <v>399.4</v>
      </c>
      <c r="CK34" s="1131">
        <v>407.3</v>
      </c>
      <c r="CL34" s="1131">
        <v>412.8</v>
      </c>
      <c r="CM34" s="1131">
        <v>418.2</v>
      </c>
      <c r="CN34" s="1131">
        <v>424.1</v>
      </c>
      <c r="CO34" s="1131">
        <v>425.3</v>
      </c>
      <c r="CP34" s="1131">
        <v>427.5</v>
      </c>
      <c r="CQ34" s="1131">
        <v>432.8</v>
      </c>
      <c r="CR34" s="1131">
        <v>439.5</v>
      </c>
      <c r="CS34" s="1131">
        <v>447.2</v>
      </c>
      <c r="CT34" s="1131">
        <v>456</v>
      </c>
      <c r="CU34" s="1131">
        <v>465.8</v>
      </c>
      <c r="CV34" s="1131">
        <v>470</v>
      </c>
      <c r="CW34" s="1131">
        <v>473.3</v>
      </c>
      <c r="CX34" s="1131">
        <v>478.8</v>
      </c>
      <c r="CY34" s="1131">
        <v>477.9</v>
      </c>
      <c r="CZ34" s="1131">
        <v>483.5</v>
      </c>
      <c r="DA34" s="1131">
        <v>489.3</v>
      </c>
      <c r="DB34" s="1131">
        <v>497.8</v>
      </c>
      <c r="DC34" s="1131">
        <v>506.5</v>
      </c>
      <c r="DD34" s="1131">
        <v>510.1</v>
      </c>
      <c r="DE34" s="1131">
        <v>517.29999999999995</v>
      </c>
      <c r="DF34" s="1131">
        <v>523.79999999999995</v>
      </c>
      <c r="DG34" s="1131">
        <v>530.70000000000005</v>
      </c>
      <c r="DH34" s="1131">
        <v>536.6</v>
      </c>
      <c r="DI34" s="1131">
        <v>544</v>
      </c>
      <c r="DJ34" s="1131">
        <v>549.6</v>
      </c>
      <c r="DK34" s="1131">
        <v>555.4</v>
      </c>
      <c r="DL34" s="1131">
        <v>561.6</v>
      </c>
      <c r="DM34" s="1131">
        <v>568.6</v>
      </c>
      <c r="DN34" s="1131">
        <v>576.20000000000005</v>
      </c>
      <c r="DO34" s="1131">
        <v>585.4</v>
      </c>
      <c r="DP34" s="1131">
        <v>595.20000000000005</v>
      </c>
      <c r="DQ34" s="1131">
        <v>603.70000000000005</v>
      </c>
      <c r="DR34" s="1131">
        <v>612.4</v>
      </c>
      <c r="DS34" s="1131">
        <v>618.9</v>
      </c>
      <c r="DT34" s="1131">
        <v>623.70000000000005</v>
      </c>
      <c r="DU34" s="1131">
        <v>630.1</v>
      </c>
      <c r="DV34" s="1131">
        <v>637.1</v>
      </c>
      <c r="DW34" s="1131">
        <v>637.79999999999995</v>
      </c>
      <c r="DX34" s="1131">
        <v>641.70000000000005</v>
      </c>
      <c r="DY34" s="1131">
        <v>653</v>
      </c>
      <c r="DZ34" s="1131">
        <v>659.3</v>
      </c>
      <c r="EA34" s="1131">
        <v>664</v>
      </c>
      <c r="EB34" s="1131">
        <v>680.5</v>
      </c>
      <c r="EC34" s="1131">
        <v>689</v>
      </c>
      <c r="ED34" s="1131">
        <v>698.5</v>
      </c>
      <c r="EE34" s="1131">
        <v>709.9</v>
      </c>
      <c r="EF34" s="1131">
        <v>723.4</v>
      </c>
      <c r="EG34" s="1131">
        <v>729.8</v>
      </c>
      <c r="EH34" s="1131">
        <v>753.2</v>
      </c>
      <c r="EI34" s="1131">
        <v>765.1</v>
      </c>
      <c r="EJ34" s="1131">
        <v>775.4</v>
      </c>
      <c r="EK34" s="1131">
        <v>797.6</v>
      </c>
      <c r="EL34" s="1131">
        <v>817.9</v>
      </c>
      <c r="EM34" s="1131">
        <v>835.9</v>
      </c>
      <c r="EN34" s="1131">
        <v>851.8</v>
      </c>
      <c r="EO34" s="1131">
        <v>866.6</v>
      </c>
      <c r="EP34" s="1131">
        <v>882.7</v>
      </c>
      <c r="EQ34" s="1131">
        <v>892.2</v>
      </c>
      <c r="ER34" s="1131">
        <v>903.9</v>
      </c>
      <c r="ES34" s="1131">
        <v>912.4</v>
      </c>
      <c r="ET34" s="1131">
        <v>931.9</v>
      </c>
      <c r="EU34" s="1131">
        <v>939.4</v>
      </c>
      <c r="EV34" s="1131">
        <v>940.4</v>
      </c>
      <c r="EW34" s="1131">
        <v>957.1</v>
      </c>
      <c r="EX34" s="1131">
        <v>952.5</v>
      </c>
      <c r="EY34" s="1131">
        <v>959.4</v>
      </c>
      <c r="EZ34" s="1131">
        <v>964.8</v>
      </c>
      <c r="FA34" s="1131">
        <v>946.3</v>
      </c>
      <c r="FB34" s="1131">
        <v>929.2</v>
      </c>
      <c r="FC34" s="1131">
        <v>923</v>
      </c>
      <c r="FD34" s="1131">
        <v>937.4</v>
      </c>
      <c r="FE34" s="1131">
        <v>952.1</v>
      </c>
      <c r="FF34" s="1131">
        <v>951.6</v>
      </c>
      <c r="FG34" s="1131">
        <v>965.7</v>
      </c>
      <c r="FH34" s="1131">
        <v>970.1</v>
      </c>
      <c r="FI34" s="1131">
        <v>977.7</v>
      </c>
      <c r="FJ34" s="1131">
        <v>986.8</v>
      </c>
      <c r="FK34" s="1131">
        <v>996.4</v>
      </c>
      <c r="FL34" s="1131">
        <v>994.5</v>
      </c>
      <c r="FM34" s="1131">
        <v>1002.7</v>
      </c>
      <c r="FN34" s="1131">
        <v>1016.9</v>
      </c>
      <c r="FO34" s="1131">
        <v>1019.5</v>
      </c>
      <c r="FP34" s="1131">
        <v>1016.6</v>
      </c>
      <c r="FQ34" s="1131">
        <v>1030.8</v>
      </c>
      <c r="FR34" s="1131">
        <v>1052.3</v>
      </c>
      <c r="FS34" s="1131">
        <v>1056.4000000000001</v>
      </c>
      <c r="FT34" s="1131">
        <v>1068.7</v>
      </c>
      <c r="FU34" s="1131">
        <v>1075.3</v>
      </c>
      <c r="FV34" s="1131">
        <v>1083.9000000000001</v>
      </c>
      <c r="FW34" s="1131">
        <v>1102.2</v>
      </c>
      <c r="FX34" s="1131">
        <v>1111.4000000000001</v>
      </c>
      <c r="FY34" s="1131">
        <v>1120.5999999999999</v>
      </c>
      <c r="FZ34" s="1131">
        <v>1122.3</v>
      </c>
      <c r="GA34" s="1131">
        <v>1129.5999999999999</v>
      </c>
      <c r="GB34" s="1131">
        <v>1139.4000000000001</v>
      </c>
      <c r="GC34" s="1131">
        <v>1148.2</v>
      </c>
      <c r="GD34" s="1131">
        <v>1157.7</v>
      </c>
      <c r="GE34" s="1131">
        <v>1165.3</v>
      </c>
      <c r="GF34" s="1131">
        <v>1184.8</v>
      </c>
      <c r="GG34" s="1131">
        <v>1192.8</v>
      </c>
      <c r="GH34" s="1131">
        <v>1211.7</v>
      </c>
      <c r="GI34" s="1131">
        <v>1227.0999999999999</v>
      </c>
      <c r="GJ34" s="1131">
        <v>1240.2</v>
      </c>
      <c r="GK34" s="1131">
        <v>1259.8</v>
      </c>
      <c r="GL34" s="1131">
        <v>1276.3</v>
      </c>
      <c r="GM34" s="1131">
        <v>1291.2</v>
      </c>
      <c r="GN34" s="1131">
        <v>1306.4000000000001</v>
      </c>
      <c r="GO34" s="1131">
        <v>1318.5</v>
      </c>
      <c r="GP34" s="1131">
        <v>1331.4</v>
      </c>
      <c r="GQ34" s="1131">
        <v>1348.7</v>
      </c>
      <c r="GR34" s="1131">
        <v>1372.1</v>
      </c>
      <c r="GS34" s="1131">
        <v>1378.4</v>
      </c>
      <c r="GT34" s="1131">
        <v>1391.3</v>
      </c>
      <c r="GU34" s="1131">
        <v>1322.2</v>
      </c>
      <c r="GV34" s="1131">
        <v>1392.7</v>
      </c>
      <c r="GW34" s="1131">
        <v>1400.4</v>
      </c>
      <c r="GX34" s="1131">
        <v>1413.9</v>
      </c>
      <c r="GY34" s="1131">
        <v>1458.5</v>
      </c>
    </row>
    <row r="35" spans="1:207" x14ac:dyDescent="0.35">
      <c r="A35" s="1131" t="s">
        <v>231</v>
      </c>
      <c r="B35" s="1131">
        <v>3.8</v>
      </c>
      <c r="C35" s="1131">
        <v>3.7</v>
      </c>
      <c r="D35" s="1131">
        <v>3.8</v>
      </c>
      <c r="E35" s="1131">
        <v>3.6</v>
      </c>
      <c r="F35" s="1131">
        <v>4.0999999999999996</v>
      </c>
      <c r="G35" s="1131">
        <v>4.2</v>
      </c>
      <c r="H35" s="1131">
        <v>4.4000000000000004</v>
      </c>
      <c r="I35" s="1131">
        <v>4.5</v>
      </c>
      <c r="J35" s="1131">
        <v>5</v>
      </c>
      <c r="K35" s="1131">
        <v>5</v>
      </c>
      <c r="L35" s="1131">
        <v>5.2</v>
      </c>
      <c r="M35" s="1131">
        <v>5.7</v>
      </c>
      <c r="N35" s="1131">
        <v>6</v>
      </c>
      <c r="O35" s="1131">
        <v>6.1</v>
      </c>
      <c r="P35" s="1131">
        <v>5.9</v>
      </c>
      <c r="Q35" s="1131">
        <v>6.1</v>
      </c>
      <c r="R35" s="1131">
        <v>6.3</v>
      </c>
      <c r="S35" s="1131">
        <v>6.6</v>
      </c>
      <c r="T35" s="1131">
        <v>7.3</v>
      </c>
      <c r="U35" s="1131">
        <v>6.5</v>
      </c>
      <c r="V35" s="1131">
        <v>6.1</v>
      </c>
      <c r="W35" s="1131">
        <v>6.6</v>
      </c>
      <c r="X35" s="1131">
        <v>8.1999999999999993</v>
      </c>
      <c r="Y35" s="1131">
        <v>8.4</v>
      </c>
      <c r="Z35" s="1131">
        <v>9.6999999999999993</v>
      </c>
      <c r="AA35" s="1131">
        <v>9.6</v>
      </c>
      <c r="AB35" s="1131">
        <v>9.6999999999999993</v>
      </c>
      <c r="AC35" s="1131">
        <v>9.6</v>
      </c>
      <c r="AD35" s="1131">
        <v>10.5</v>
      </c>
      <c r="AE35" s="1131">
        <v>11.4</v>
      </c>
      <c r="AF35" s="1131">
        <v>11.8</v>
      </c>
      <c r="AG35" s="1131">
        <v>12</v>
      </c>
      <c r="AH35" s="1131">
        <v>10.5</v>
      </c>
      <c r="AI35" s="1131">
        <v>12.4</v>
      </c>
      <c r="AJ35" s="1131">
        <v>12.5</v>
      </c>
      <c r="AK35" s="1131">
        <v>13.1</v>
      </c>
      <c r="AL35" s="1131">
        <v>13.7</v>
      </c>
      <c r="AM35" s="1131">
        <v>13.8</v>
      </c>
      <c r="AN35" s="1131">
        <v>13.6</v>
      </c>
      <c r="AO35" s="1131">
        <v>13.2</v>
      </c>
      <c r="AP35" s="1131">
        <v>16.100000000000001</v>
      </c>
      <c r="AQ35" s="1131">
        <v>12.8</v>
      </c>
      <c r="AR35" s="1131">
        <v>14</v>
      </c>
      <c r="AS35" s="1131">
        <v>15.1</v>
      </c>
      <c r="AT35" s="1131">
        <v>16.8</v>
      </c>
      <c r="AU35" s="1131">
        <v>15.2</v>
      </c>
      <c r="AV35" s="1131">
        <v>15.7</v>
      </c>
      <c r="AW35" s="1131">
        <v>14.1</v>
      </c>
      <c r="AX35" s="1131">
        <v>14.1</v>
      </c>
      <c r="AY35" s="1131">
        <v>14.3</v>
      </c>
      <c r="AZ35" s="1131">
        <v>14.4</v>
      </c>
      <c r="BA35" s="1131">
        <v>13.3</v>
      </c>
      <c r="BB35" s="1131">
        <v>12.8</v>
      </c>
      <c r="BC35" s="1131">
        <v>15.7</v>
      </c>
      <c r="BD35" s="1131">
        <v>17.399999999999999</v>
      </c>
      <c r="BE35" s="1131">
        <v>17.7</v>
      </c>
      <c r="BF35" s="1131">
        <v>20.100000000000001</v>
      </c>
      <c r="BG35" s="1131">
        <v>19.899999999999999</v>
      </c>
      <c r="BH35" s="1131">
        <v>17.5</v>
      </c>
      <c r="BI35" s="1131">
        <v>17.7</v>
      </c>
      <c r="BJ35" s="1131">
        <v>20</v>
      </c>
      <c r="BK35" s="1131">
        <v>19.600000000000001</v>
      </c>
      <c r="BL35" s="1131">
        <v>20.9</v>
      </c>
      <c r="BM35" s="1131">
        <v>20.5</v>
      </c>
      <c r="BN35" s="1131">
        <v>21.4</v>
      </c>
      <c r="BO35" s="1131">
        <v>22</v>
      </c>
      <c r="BP35" s="1131">
        <v>22.4</v>
      </c>
      <c r="BQ35" s="1131">
        <v>24.8</v>
      </c>
      <c r="BR35" s="1131">
        <v>22.7</v>
      </c>
      <c r="BS35" s="1131">
        <v>24.5</v>
      </c>
      <c r="BT35" s="1131">
        <v>24.8</v>
      </c>
      <c r="BU35" s="1131">
        <v>23.6</v>
      </c>
      <c r="BV35" s="1131">
        <v>23.4</v>
      </c>
      <c r="BW35" s="1131">
        <v>25.2</v>
      </c>
      <c r="BX35" s="1131">
        <v>27.3</v>
      </c>
      <c r="BY35" s="1131">
        <v>28.2</v>
      </c>
      <c r="BZ35" s="1131">
        <v>27.8</v>
      </c>
      <c r="CA35" s="1131">
        <v>24.2</v>
      </c>
      <c r="CB35" s="1131">
        <v>22.8</v>
      </c>
      <c r="CC35" s="1131">
        <v>22.1</v>
      </c>
      <c r="CD35" s="1131">
        <v>21.4</v>
      </c>
      <c r="CE35" s="1131">
        <v>22.1</v>
      </c>
      <c r="CF35" s="1131">
        <v>23</v>
      </c>
      <c r="CG35" s="1131">
        <v>23.4</v>
      </c>
      <c r="CH35" s="1131">
        <v>23.8</v>
      </c>
      <c r="CI35" s="1131">
        <v>23.4</v>
      </c>
      <c r="CJ35" s="1131">
        <v>23.7</v>
      </c>
      <c r="CK35" s="1131">
        <v>23.6</v>
      </c>
      <c r="CL35" s="1131">
        <v>25.2</v>
      </c>
      <c r="CM35" s="1131">
        <v>24.7</v>
      </c>
      <c r="CN35" s="1131">
        <v>23.2</v>
      </c>
      <c r="CO35" s="1131">
        <v>24.4</v>
      </c>
      <c r="CP35" s="1131">
        <v>24.8</v>
      </c>
      <c r="CQ35" s="1131">
        <v>26.8</v>
      </c>
      <c r="CR35" s="1131">
        <v>25.2</v>
      </c>
      <c r="CS35" s="1131">
        <v>30.8</v>
      </c>
      <c r="CT35" s="1131">
        <v>27.1</v>
      </c>
      <c r="CU35" s="1131">
        <v>28.7</v>
      </c>
      <c r="CV35" s="1131">
        <v>31.4</v>
      </c>
      <c r="CW35" s="1131">
        <v>32.700000000000003</v>
      </c>
      <c r="CX35" s="1131">
        <v>32.5</v>
      </c>
      <c r="CY35" s="1131">
        <v>31.3</v>
      </c>
      <c r="CZ35" s="1131">
        <v>31.9</v>
      </c>
      <c r="DA35" s="1131">
        <v>30.9</v>
      </c>
      <c r="DB35" s="1131">
        <v>31.9</v>
      </c>
      <c r="DC35" s="1131">
        <v>33.5</v>
      </c>
      <c r="DD35" s="1131">
        <v>33.299999999999997</v>
      </c>
      <c r="DE35" s="1131">
        <v>33.4</v>
      </c>
      <c r="DF35" s="1131">
        <v>33.1</v>
      </c>
      <c r="DG35" s="1131">
        <v>33.6</v>
      </c>
      <c r="DH35" s="1131">
        <v>35.5</v>
      </c>
      <c r="DI35" s="1131">
        <v>34.4</v>
      </c>
      <c r="DJ35" s="1131">
        <v>34.700000000000003</v>
      </c>
      <c r="DK35" s="1131">
        <v>34.5</v>
      </c>
      <c r="DL35" s="1131">
        <v>35.700000000000003</v>
      </c>
      <c r="DM35" s="1131">
        <v>34.799999999999997</v>
      </c>
      <c r="DN35" s="1131">
        <v>36.299999999999997</v>
      </c>
      <c r="DO35" s="1131">
        <v>35.5</v>
      </c>
      <c r="DP35" s="1131">
        <v>35.6</v>
      </c>
      <c r="DQ35" s="1131">
        <v>35.9</v>
      </c>
      <c r="DR35" s="1131">
        <v>37.200000000000003</v>
      </c>
      <c r="DS35" s="1131">
        <v>36.5</v>
      </c>
      <c r="DT35" s="1131">
        <v>33.5</v>
      </c>
      <c r="DU35" s="1131">
        <v>33.700000000000003</v>
      </c>
      <c r="DV35" s="1131">
        <v>30.1</v>
      </c>
      <c r="DW35" s="1131">
        <v>30.4</v>
      </c>
      <c r="DX35" s="1131">
        <v>28.3</v>
      </c>
      <c r="DY35" s="1131">
        <v>26.6</v>
      </c>
      <c r="DZ35" s="1131">
        <v>28.3</v>
      </c>
      <c r="EA35" s="1131">
        <v>30.2</v>
      </c>
      <c r="EB35" s="1131">
        <v>31.5</v>
      </c>
      <c r="EC35" s="1131">
        <v>33.5</v>
      </c>
      <c r="ED35" s="1131">
        <v>34.5</v>
      </c>
      <c r="EE35" s="1131">
        <v>31.7</v>
      </c>
      <c r="EF35" s="1131">
        <v>33.6</v>
      </c>
      <c r="EG35" s="1131">
        <v>36.200000000000003</v>
      </c>
      <c r="EH35" s="1131">
        <v>37.799999999999997</v>
      </c>
      <c r="EI35" s="1131">
        <v>40.799999999999997</v>
      </c>
      <c r="EJ35" s="1131">
        <v>43.9</v>
      </c>
      <c r="EK35" s="1131">
        <v>44.3</v>
      </c>
      <c r="EL35" s="1131">
        <v>55.3</v>
      </c>
      <c r="EM35" s="1131">
        <v>53</v>
      </c>
      <c r="EN35" s="1131">
        <v>53.3</v>
      </c>
      <c r="EO35" s="1131">
        <v>58.2</v>
      </c>
      <c r="EP35" s="1131">
        <v>59.6</v>
      </c>
      <c r="EQ35" s="1131">
        <v>60.3</v>
      </c>
      <c r="ER35" s="1131">
        <v>61.8</v>
      </c>
      <c r="ES35" s="1131">
        <v>55.2</v>
      </c>
      <c r="ET35" s="1131">
        <v>59.2</v>
      </c>
      <c r="EU35" s="1131">
        <v>59.4</v>
      </c>
      <c r="EV35" s="1131">
        <v>56.3</v>
      </c>
      <c r="EW35" s="1131">
        <v>56.6</v>
      </c>
      <c r="EX35" s="1131">
        <v>50.2</v>
      </c>
      <c r="EY35" s="1131">
        <v>51.6</v>
      </c>
      <c r="EZ35" s="1131">
        <v>52.8</v>
      </c>
      <c r="FA35" s="1131">
        <v>35.1</v>
      </c>
      <c r="FB35" s="1131">
        <v>43.7</v>
      </c>
      <c r="FC35" s="1131">
        <v>49.6</v>
      </c>
      <c r="FD35" s="1131">
        <v>41.3</v>
      </c>
      <c r="FE35" s="1131">
        <v>43.4</v>
      </c>
      <c r="FF35" s="1131">
        <v>45.1</v>
      </c>
      <c r="FG35" s="1131">
        <v>43.4</v>
      </c>
      <c r="FH35" s="1131">
        <v>45.5</v>
      </c>
      <c r="FI35" s="1131">
        <v>50.4</v>
      </c>
      <c r="FJ35" s="1131">
        <v>48.4</v>
      </c>
      <c r="FK35" s="1131">
        <v>49.8</v>
      </c>
      <c r="FL35" s="1131">
        <v>46.4</v>
      </c>
      <c r="FM35" s="1131">
        <v>49</v>
      </c>
      <c r="FN35" s="1131">
        <v>49.2</v>
      </c>
      <c r="FO35" s="1131">
        <v>49.5</v>
      </c>
      <c r="FP35" s="1131">
        <v>52.1</v>
      </c>
      <c r="FQ35" s="1131">
        <v>51.9</v>
      </c>
      <c r="FR35" s="1131">
        <v>53.8</v>
      </c>
      <c r="FS35" s="1131">
        <v>54.1</v>
      </c>
      <c r="FT35" s="1131">
        <v>53.1</v>
      </c>
      <c r="FU35" s="1131">
        <v>54.6</v>
      </c>
      <c r="FV35" s="1131">
        <v>56.4</v>
      </c>
      <c r="FW35" s="1131">
        <v>55.1</v>
      </c>
      <c r="FX35" s="1131">
        <v>57</v>
      </c>
      <c r="FY35" s="1131">
        <v>57.7</v>
      </c>
      <c r="FZ35" s="1131">
        <v>57.6</v>
      </c>
      <c r="GA35" s="1131">
        <v>57.5</v>
      </c>
      <c r="GB35" s="1131">
        <v>55.8</v>
      </c>
      <c r="GC35" s="1131">
        <v>54.1</v>
      </c>
      <c r="GD35" s="1131">
        <v>54</v>
      </c>
      <c r="GE35" s="1131">
        <v>52.4</v>
      </c>
      <c r="GF35" s="1131">
        <v>52.8</v>
      </c>
      <c r="GG35" s="1131">
        <v>54.2</v>
      </c>
      <c r="GH35" s="1131">
        <v>55.3</v>
      </c>
      <c r="GI35" s="1131">
        <v>53.6</v>
      </c>
      <c r="GJ35" s="1131">
        <v>54.3</v>
      </c>
      <c r="GK35" s="1131">
        <v>55.1</v>
      </c>
      <c r="GL35" s="1131">
        <v>55.6</v>
      </c>
      <c r="GM35" s="1131">
        <v>60.3</v>
      </c>
      <c r="GN35" s="1131">
        <v>61.7</v>
      </c>
      <c r="GO35" s="1131">
        <v>64.3</v>
      </c>
      <c r="GP35" s="1131">
        <v>73.2</v>
      </c>
      <c r="GQ35" s="1131">
        <v>72.8</v>
      </c>
      <c r="GR35" s="1131">
        <v>73.099999999999994</v>
      </c>
      <c r="GS35" s="1131">
        <v>72.400000000000006</v>
      </c>
      <c r="GT35" s="1131">
        <v>66.5</v>
      </c>
      <c r="GU35" s="1131">
        <v>61.9</v>
      </c>
      <c r="GV35" s="1131">
        <v>76.8</v>
      </c>
      <c r="GW35" s="1131">
        <v>78.8</v>
      </c>
      <c r="GX35" s="1131">
        <v>85.5</v>
      </c>
      <c r="GY35" s="1131">
        <v>91.9</v>
      </c>
    </row>
    <row r="36" spans="1:207" x14ac:dyDescent="0.35">
      <c r="A36" s="1131" t="s">
        <v>232</v>
      </c>
      <c r="B36" s="1131">
        <v>1.1000000000000001</v>
      </c>
      <c r="C36" s="1131">
        <v>1.1000000000000001</v>
      </c>
      <c r="D36" s="1131">
        <v>1.1000000000000001</v>
      </c>
      <c r="E36" s="1131">
        <v>1.1000000000000001</v>
      </c>
      <c r="F36" s="1131">
        <v>1.1000000000000001</v>
      </c>
      <c r="G36" s="1131">
        <v>1.2</v>
      </c>
      <c r="H36" s="1131">
        <v>1.2</v>
      </c>
      <c r="I36" s="1131">
        <v>1.2</v>
      </c>
      <c r="J36" s="1131">
        <v>1.3</v>
      </c>
      <c r="K36" s="1131">
        <v>1.3</v>
      </c>
      <c r="L36" s="1131">
        <v>1.3</v>
      </c>
      <c r="M36" s="1131">
        <v>1.4</v>
      </c>
      <c r="N36" s="1131">
        <v>1.4</v>
      </c>
      <c r="O36" s="1131">
        <v>1.5</v>
      </c>
      <c r="P36" s="1131">
        <v>1.5</v>
      </c>
      <c r="Q36" s="1131">
        <v>1.6</v>
      </c>
      <c r="R36" s="1131">
        <v>1.6</v>
      </c>
      <c r="S36" s="1131">
        <v>1.6</v>
      </c>
      <c r="T36" s="1131">
        <v>1.7</v>
      </c>
      <c r="U36" s="1131">
        <v>1.7</v>
      </c>
      <c r="V36" s="1131">
        <v>1.8</v>
      </c>
      <c r="W36" s="1131">
        <v>1.8</v>
      </c>
      <c r="X36" s="1131">
        <v>1.9</v>
      </c>
      <c r="Y36" s="1131">
        <v>2</v>
      </c>
      <c r="Z36" s="1131">
        <v>2</v>
      </c>
      <c r="AA36" s="1131">
        <v>2.1</v>
      </c>
      <c r="AB36" s="1131">
        <v>2.2000000000000002</v>
      </c>
      <c r="AC36" s="1131">
        <v>2.2999999999999998</v>
      </c>
      <c r="AD36" s="1131">
        <v>2.5</v>
      </c>
      <c r="AE36" s="1131">
        <v>2.7</v>
      </c>
      <c r="AF36" s="1131">
        <v>2.9</v>
      </c>
      <c r="AG36" s="1131">
        <v>3</v>
      </c>
      <c r="AH36" s="1131">
        <v>3.2</v>
      </c>
      <c r="AI36" s="1131">
        <v>3.3</v>
      </c>
      <c r="AJ36" s="1131">
        <v>3.5</v>
      </c>
      <c r="AK36" s="1131">
        <v>3.6</v>
      </c>
      <c r="AL36" s="1131">
        <v>3.8</v>
      </c>
      <c r="AM36" s="1131">
        <v>3.9</v>
      </c>
      <c r="AN36" s="1131">
        <v>3.9</v>
      </c>
      <c r="AO36" s="1131">
        <v>4</v>
      </c>
      <c r="AP36" s="1131">
        <v>3.6</v>
      </c>
      <c r="AQ36" s="1131">
        <v>2.9</v>
      </c>
      <c r="AR36" s="1131">
        <v>3.8</v>
      </c>
      <c r="AS36" s="1131">
        <v>4</v>
      </c>
      <c r="AT36" s="1131">
        <v>3.7</v>
      </c>
      <c r="AU36" s="1131">
        <v>3.8</v>
      </c>
      <c r="AV36" s="1131">
        <v>3.9</v>
      </c>
      <c r="AW36" s="1131">
        <v>4</v>
      </c>
      <c r="AX36" s="1131">
        <v>4</v>
      </c>
      <c r="AY36" s="1131">
        <v>4</v>
      </c>
      <c r="AZ36" s="1131">
        <v>4.0999999999999996</v>
      </c>
      <c r="BA36" s="1131">
        <v>4.0999999999999996</v>
      </c>
      <c r="BB36" s="1131">
        <v>4</v>
      </c>
      <c r="BC36" s="1131">
        <v>4.0999999999999996</v>
      </c>
      <c r="BD36" s="1131">
        <v>4.0999999999999996</v>
      </c>
      <c r="BE36" s="1131">
        <v>4.3</v>
      </c>
      <c r="BF36" s="1131">
        <v>4.5</v>
      </c>
      <c r="BG36" s="1131">
        <v>4.7</v>
      </c>
      <c r="BH36" s="1131">
        <v>4.8</v>
      </c>
      <c r="BI36" s="1131">
        <v>4.8</v>
      </c>
      <c r="BJ36" s="1131">
        <v>4.7</v>
      </c>
      <c r="BK36" s="1131">
        <v>4.8</v>
      </c>
      <c r="BL36" s="1131">
        <v>4.9000000000000004</v>
      </c>
      <c r="BM36" s="1131">
        <v>5.2</v>
      </c>
      <c r="BN36" s="1131">
        <v>5.5</v>
      </c>
      <c r="BO36" s="1131">
        <v>5.8</v>
      </c>
      <c r="BP36" s="1131">
        <v>6.1</v>
      </c>
      <c r="BQ36" s="1131">
        <v>6.4</v>
      </c>
      <c r="BR36" s="1131">
        <v>6.7</v>
      </c>
      <c r="BS36" s="1131">
        <v>7</v>
      </c>
      <c r="BT36" s="1131">
        <v>7.3</v>
      </c>
      <c r="BU36" s="1131">
        <v>7.7</v>
      </c>
      <c r="BV36" s="1131">
        <v>8</v>
      </c>
      <c r="BW36" s="1131">
        <v>8.3000000000000007</v>
      </c>
      <c r="BX36" s="1131">
        <v>8.5</v>
      </c>
      <c r="BY36" s="1131">
        <v>8.6999999999999993</v>
      </c>
      <c r="BZ36" s="1131">
        <v>8.8000000000000007</v>
      </c>
      <c r="CA36" s="1131">
        <v>8.9</v>
      </c>
      <c r="CB36" s="1131">
        <v>9</v>
      </c>
      <c r="CC36" s="1131">
        <v>9.3000000000000007</v>
      </c>
      <c r="CD36" s="1131">
        <v>9.5</v>
      </c>
      <c r="CE36" s="1131">
        <v>9.9</v>
      </c>
      <c r="CF36" s="1131">
        <v>10.199999999999999</v>
      </c>
      <c r="CG36" s="1131">
        <v>10.5</v>
      </c>
      <c r="CH36" s="1131">
        <v>11</v>
      </c>
      <c r="CI36" s="1131">
        <v>11.4</v>
      </c>
      <c r="CJ36" s="1131">
        <v>11.8</v>
      </c>
      <c r="CK36" s="1131">
        <v>12.2</v>
      </c>
      <c r="CL36" s="1131">
        <v>12.6</v>
      </c>
      <c r="CM36" s="1131">
        <v>13</v>
      </c>
      <c r="CN36" s="1131">
        <v>13.3</v>
      </c>
      <c r="CO36" s="1131">
        <v>13.6</v>
      </c>
      <c r="CP36" s="1131">
        <v>13.8</v>
      </c>
      <c r="CQ36" s="1131">
        <v>14.1</v>
      </c>
      <c r="CR36" s="1131">
        <v>14.2</v>
      </c>
      <c r="CS36" s="1131">
        <v>14.4</v>
      </c>
      <c r="CT36" s="1131">
        <v>14.6</v>
      </c>
      <c r="CU36" s="1131">
        <v>14.6</v>
      </c>
      <c r="CV36" s="1131">
        <v>14.5</v>
      </c>
      <c r="CW36" s="1131">
        <v>14.4</v>
      </c>
      <c r="CX36" s="1131">
        <v>14</v>
      </c>
      <c r="CY36" s="1131">
        <v>13.7</v>
      </c>
      <c r="CZ36" s="1131">
        <v>13.5</v>
      </c>
      <c r="DA36" s="1131">
        <v>13.2</v>
      </c>
      <c r="DB36" s="1131">
        <v>13</v>
      </c>
      <c r="DC36" s="1131">
        <v>12.7</v>
      </c>
      <c r="DD36" s="1131">
        <v>12.3</v>
      </c>
      <c r="DE36" s="1131">
        <v>11.9</v>
      </c>
      <c r="DF36" s="1131">
        <v>11.3</v>
      </c>
      <c r="DG36" s="1131">
        <v>10.9</v>
      </c>
      <c r="DH36" s="1131">
        <v>10.6</v>
      </c>
      <c r="DI36" s="1131">
        <v>10.5</v>
      </c>
      <c r="DJ36" s="1131">
        <v>10.5</v>
      </c>
      <c r="DK36" s="1131">
        <v>10.5</v>
      </c>
      <c r="DL36" s="1131">
        <v>10.3</v>
      </c>
      <c r="DM36" s="1131">
        <v>10.1</v>
      </c>
      <c r="DN36" s="1131">
        <v>9.9</v>
      </c>
      <c r="DO36" s="1131">
        <v>9.6999999999999993</v>
      </c>
      <c r="DP36" s="1131">
        <v>9.6999999999999993</v>
      </c>
      <c r="DQ36" s="1131">
        <v>9.8000000000000007</v>
      </c>
      <c r="DR36" s="1131">
        <v>10</v>
      </c>
      <c r="DS36" s="1131">
        <v>10.4</v>
      </c>
      <c r="DT36" s="1131">
        <v>11</v>
      </c>
      <c r="DU36" s="1131">
        <v>11.8</v>
      </c>
      <c r="DV36" s="1131">
        <v>12.7</v>
      </c>
      <c r="DW36" s="1131">
        <v>13.5</v>
      </c>
      <c r="DX36" s="1131">
        <v>14.1</v>
      </c>
      <c r="DY36" s="1131">
        <v>14.5</v>
      </c>
      <c r="DZ36" s="1131">
        <v>14.9</v>
      </c>
      <c r="EA36" s="1131">
        <v>15.4</v>
      </c>
      <c r="EB36" s="1131">
        <v>16.100000000000001</v>
      </c>
      <c r="EC36" s="1131">
        <v>17</v>
      </c>
      <c r="ED36" s="1131">
        <v>18</v>
      </c>
      <c r="EE36" s="1131">
        <v>19.2</v>
      </c>
      <c r="EF36" s="1131">
        <v>20.5</v>
      </c>
      <c r="EG36" s="1131">
        <v>22</v>
      </c>
      <c r="EH36" s="1131">
        <v>23.4</v>
      </c>
      <c r="EI36" s="1131">
        <v>24.5</v>
      </c>
      <c r="EJ36" s="1131">
        <v>25.2</v>
      </c>
      <c r="EK36" s="1131">
        <v>25.5</v>
      </c>
      <c r="EL36" s="1131">
        <v>25.3</v>
      </c>
      <c r="EM36" s="1131">
        <v>25</v>
      </c>
      <c r="EN36" s="1131">
        <v>24.4</v>
      </c>
      <c r="EO36" s="1131">
        <v>23.7</v>
      </c>
      <c r="EP36" s="1131">
        <v>22.8</v>
      </c>
      <c r="EQ36" s="1131">
        <v>21.9</v>
      </c>
      <c r="ER36" s="1131">
        <v>21</v>
      </c>
      <c r="ES36" s="1131">
        <v>20.2</v>
      </c>
      <c r="ET36" s="1131">
        <v>19.399999999999999</v>
      </c>
      <c r="EU36" s="1131">
        <v>18.899999999999999</v>
      </c>
      <c r="EV36" s="1131">
        <v>18.5</v>
      </c>
      <c r="EW36" s="1131">
        <v>18.5</v>
      </c>
      <c r="EX36" s="1131">
        <v>18.600000000000001</v>
      </c>
      <c r="EY36" s="1131">
        <v>18.7</v>
      </c>
      <c r="EZ36" s="1131">
        <v>18.7</v>
      </c>
      <c r="FA36" s="1131">
        <v>18.8</v>
      </c>
      <c r="FB36" s="1131">
        <v>18.8</v>
      </c>
      <c r="FC36" s="1131">
        <v>18.7</v>
      </c>
      <c r="FD36" s="1131">
        <v>18.5</v>
      </c>
      <c r="FE36" s="1131">
        <v>18.3</v>
      </c>
      <c r="FF36" s="1131">
        <v>18</v>
      </c>
      <c r="FG36" s="1131">
        <v>17.7</v>
      </c>
      <c r="FH36" s="1131">
        <v>17.7</v>
      </c>
      <c r="FI36" s="1131">
        <v>17.7</v>
      </c>
      <c r="FJ36" s="1131">
        <v>17.899999999999999</v>
      </c>
      <c r="FK36" s="1131">
        <v>18</v>
      </c>
      <c r="FL36" s="1131">
        <v>17.899999999999999</v>
      </c>
      <c r="FM36" s="1131">
        <v>17.7</v>
      </c>
      <c r="FN36" s="1131">
        <v>17.399999999999999</v>
      </c>
      <c r="FO36" s="1131">
        <v>17.2</v>
      </c>
      <c r="FP36" s="1131">
        <v>17.100000000000001</v>
      </c>
      <c r="FQ36" s="1131">
        <v>17.100000000000001</v>
      </c>
      <c r="FR36" s="1131">
        <v>17.3</v>
      </c>
      <c r="FS36" s="1131">
        <v>17.5</v>
      </c>
      <c r="FT36" s="1131">
        <v>17.8</v>
      </c>
      <c r="FU36" s="1131">
        <v>18.100000000000001</v>
      </c>
      <c r="FV36" s="1131">
        <v>18.399999999999999</v>
      </c>
      <c r="FW36" s="1131">
        <v>18.7</v>
      </c>
      <c r="FX36" s="1131">
        <v>18.899999999999999</v>
      </c>
      <c r="FY36" s="1131">
        <v>19</v>
      </c>
      <c r="FZ36" s="1131">
        <v>19</v>
      </c>
      <c r="GA36" s="1131">
        <v>19.100000000000001</v>
      </c>
      <c r="GB36" s="1131">
        <v>19.3</v>
      </c>
      <c r="GC36" s="1131">
        <v>19.5</v>
      </c>
      <c r="GD36" s="1131">
        <v>19.8</v>
      </c>
      <c r="GE36" s="1131">
        <v>20</v>
      </c>
      <c r="GF36" s="1131">
        <v>20</v>
      </c>
      <c r="GG36" s="1131">
        <v>20</v>
      </c>
      <c r="GH36" s="1131">
        <v>19.8</v>
      </c>
      <c r="GI36" s="1131">
        <v>19.7</v>
      </c>
      <c r="GJ36" s="1131">
        <v>19.8</v>
      </c>
      <c r="GK36" s="1131">
        <v>20</v>
      </c>
      <c r="GL36" s="1131">
        <v>20.2</v>
      </c>
      <c r="GM36" s="1131">
        <v>20.399999999999999</v>
      </c>
      <c r="GN36" s="1131">
        <v>20.5</v>
      </c>
      <c r="GO36" s="1131">
        <v>20.5</v>
      </c>
      <c r="GP36" s="1131">
        <v>20.6</v>
      </c>
      <c r="GQ36" s="1131">
        <v>20.5</v>
      </c>
      <c r="GR36" s="1131">
        <v>20.3</v>
      </c>
      <c r="GS36" s="1131">
        <v>20.2</v>
      </c>
      <c r="GT36" s="1131">
        <v>20.100000000000001</v>
      </c>
      <c r="GU36" s="1131">
        <v>19.100000000000001</v>
      </c>
      <c r="GV36" s="1131">
        <v>19.899999999999999</v>
      </c>
      <c r="GW36" s="1131">
        <v>20.5</v>
      </c>
      <c r="GX36" s="1131">
        <v>21.2</v>
      </c>
      <c r="GY36" s="1131">
        <v>21.9</v>
      </c>
    </row>
    <row r="37" spans="1:207" x14ac:dyDescent="0.35">
      <c r="A37" s="1131" t="s">
        <v>233</v>
      </c>
      <c r="B37" s="1131">
        <v>14.7</v>
      </c>
      <c r="C37" s="1131">
        <v>15.6</v>
      </c>
      <c r="D37" s="1131">
        <v>16.600000000000001</v>
      </c>
      <c r="E37" s="1131">
        <v>17.5</v>
      </c>
      <c r="F37" s="1131">
        <v>18.3</v>
      </c>
      <c r="G37" s="1131">
        <v>19.100000000000001</v>
      </c>
      <c r="H37" s="1131">
        <v>19.600000000000001</v>
      </c>
      <c r="I37" s="1131">
        <v>20.3</v>
      </c>
      <c r="J37" s="1131">
        <v>21.2</v>
      </c>
      <c r="K37" s="1131">
        <v>21.6</v>
      </c>
      <c r="L37" s="1131">
        <v>22.5</v>
      </c>
      <c r="M37" s="1131">
        <v>22.5</v>
      </c>
      <c r="N37" s="1131">
        <v>23.2</v>
      </c>
      <c r="O37" s="1131">
        <v>24</v>
      </c>
      <c r="P37" s="1131">
        <v>24.2</v>
      </c>
      <c r="Q37" s="1131">
        <v>25</v>
      </c>
      <c r="R37" s="1131">
        <v>23.4</v>
      </c>
      <c r="S37" s="1131">
        <v>24.7</v>
      </c>
      <c r="T37" s="1131">
        <v>25.9</v>
      </c>
      <c r="U37" s="1131">
        <v>27.1</v>
      </c>
      <c r="V37" s="1131">
        <v>29.2</v>
      </c>
      <c r="W37" s="1131">
        <v>30.5</v>
      </c>
      <c r="X37" s="1131">
        <v>31</v>
      </c>
      <c r="Y37" s="1131">
        <v>32.6</v>
      </c>
      <c r="Z37" s="1131">
        <v>33.4</v>
      </c>
      <c r="AA37" s="1131">
        <v>33.4</v>
      </c>
      <c r="AB37" s="1131">
        <v>34.700000000000003</v>
      </c>
      <c r="AC37" s="1131">
        <v>35</v>
      </c>
      <c r="AD37" s="1131">
        <v>35.700000000000003</v>
      </c>
      <c r="AE37" s="1131">
        <v>37.5</v>
      </c>
      <c r="AF37" s="1131">
        <v>37.299999999999997</v>
      </c>
      <c r="AG37" s="1131">
        <v>37.700000000000003</v>
      </c>
      <c r="AH37" s="1131">
        <v>39.200000000000003</v>
      </c>
      <c r="AI37" s="1131">
        <v>41</v>
      </c>
      <c r="AJ37" s="1131">
        <v>41.3</v>
      </c>
      <c r="AK37" s="1131">
        <v>41.7</v>
      </c>
      <c r="AL37" s="1131">
        <v>42.4</v>
      </c>
      <c r="AM37" s="1131">
        <v>43.5</v>
      </c>
      <c r="AN37" s="1131">
        <v>44.5</v>
      </c>
      <c r="AO37" s="1131">
        <v>46.9</v>
      </c>
      <c r="AP37" s="1131">
        <v>49.1</v>
      </c>
      <c r="AQ37" s="1131">
        <v>49</v>
      </c>
      <c r="AR37" s="1131">
        <v>52.4</v>
      </c>
      <c r="AS37" s="1131">
        <v>54.3</v>
      </c>
      <c r="AT37" s="1131">
        <v>55.6</v>
      </c>
      <c r="AU37" s="1131">
        <v>57.4</v>
      </c>
      <c r="AV37" s="1131">
        <v>57.7</v>
      </c>
      <c r="AW37" s="1131">
        <v>57.7</v>
      </c>
      <c r="AX37" s="1131">
        <v>59</v>
      </c>
      <c r="AY37" s="1131">
        <v>61</v>
      </c>
      <c r="AZ37" s="1131">
        <v>62.1</v>
      </c>
      <c r="BA37" s="1131">
        <v>62.6</v>
      </c>
      <c r="BB37" s="1131">
        <v>65.8</v>
      </c>
      <c r="BC37" s="1131">
        <v>66.3</v>
      </c>
      <c r="BD37" s="1131">
        <v>67.2</v>
      </c>
      <c r="BE37" s="1131">
        <v>68.3</v>
      </c>
      <c r="BF37" s="1131">
        <v>69.900000000000006</v>
      </c>
      <c r="BG37" s="1131">
        <v>70.599999999999994</v>
      </c>
      <c r="BH37" s="1131">
        <v>71.3</v>
      </c>
      <c r="BI37" s="1131">
        <v>72.8</v>
      </c>
      <c r="BJ37" s="1131">
        <v>74.900000000000006</v>
      </c>
      <c r="BK37" s="1131">
        <v>76.3</v>
      </c>
      <c r="BL37" s="1131">
        <v>78.099999999999994</v>
      </c>
      <c r="BM37" s="1131">
        <v>79.8</v>
      </c>
      <c r="BN37" s="1131">
        <v>81.599999999999994</v>
      </c>
      <c r="BO37" s="1131">
        <v>83.6</v>
      </c>
      <c r="BP37" s="1131">
        <v>85.3</v>
      </c>
      <c r="BQ37" s="1131">
        <v>86.9</v>
      </c>
      <c r="BR37" s="1131">
        <v>88.3</v>
      </c>
      <c r="BS37" s="1131">
        <v>89.9</v>
      </c>
      <c r="BT37" s="1131">
        <v>91.6</v>
      </c>
      <c r="BU37" s="1131">
        <v>93.1</v>
      </c>
      <c r="BV37" s="1131">
        <v>95.3</v>
      </c>
      <c r="BW37" s="1131">
        <v>97.3</v>
      </c>
      <c r="BX37" s="1131">
        <v>99.5</v>
      </c>
      <c r="BY37" s="1131">
        <v>101.9</v>
      </c>
      <c r="BZ37" s="1131">
        <v>104.2</v>
      </c>
      <c r="CA37" s="1131">
        <v>107.3</v>
      </c>
      <c r="CB37" s="1131">
        <v>111</v>
      </c>
      <c r="CC37" s="1131">
        <v>114.8</v>
      </c>
      <c r="CD37" s="1131">
        <v>118.8</v>
      </c>
      <c r="CE37" s="1131">
        <v>124.2</v>
      </c>
      <c r="CF37" s="1131">
        <v>130.30000000000001</v>
      </c>
      <c r="CG37" s="1131">
        <v>137.4</v>
      </c>
      <c r="CH37" s="1131">
        <v>141.5</v>
      </c>
      <c r="CI37" s="1131">
        <v>152.19999999999999</v>
      </c>
      <c r="CJ37" s="1131">
        <v>158.6</v>
      </c>
      <c r="CK37" s="1131">
        <v>173.8</v>
      </c>
      <c r="CL37" s="1131">
        <v>170.5</v>
      </c>
      <c r="CM37" s="1131">
        <v>178.6</v>
      </c>
      <c r="CN37" s="1131">
        <v>185.8</v>
      </c>
      <c r="CO37" s="1131">
        <v>185</v>
      </c>
      <c r="CP37" s="1131">
        <v>188.9</v>
      </c>
      <c r="CQ37" s="1131">
        <v>189.7</v>
      </c>
      <c r="CR37" s="1131">
        <v>200.6</v>
      </c>
      <c r="CS37" s="1131">
        <v>201.7</v>
      </c>
      <c r="CT37" s="1131">
        <v>203.6</v>
      </c>
      <c r="CU37" s="1131">
        <v>203.9</v>
      </c>
      <c r="CV37" s="1131">
        <v>203.7</v>
      </c>
      <c r="CW37" s="1131">
        <v>215.7</v>
      </c>
      <c r="CX37" s="1131">
        <v>220.4</v>
      </c>
      <c r="CY37" s="1131">
        <v>220.7</v>
      </c>
      <c r="CZ37" s="1131">
        <v>220.7</v>
      </c>
      <c r="DA37" s="1131">
        <v>208.8</v>
      </c>
      <c r="DB37" s="1131">
        <v>218.2</v>
      </c>
      <c r="DC37" s="1131">
        <v>232.2</v>
      </c>
      <c r="DD37" s="1131">
        <v>224.8</v>
      </c>
      <c r="DE37" s="1131">
        <v>221.7</v>
      </c>
      <c r="DF37" s="1131">
        <v>226</v>
      </c>
      <c r="DG37" s="1131">
        <v>223.7</v>
      </c>
      <c r="DH37" s="1131">
        <v>228</v>
      </c>
      <c r="DI37" s="1131">
        <v>232.4</v>
      </c>
      <c r="DJ37" s="1131">
        <v>232.1</v>
      </c>
      <c r="DK37" s="1131">
        <v>235.3</v>
      </c>
      <c r="DL37" s="1131">
        <v>233.9</v>
      </c>
      <c r="DM37" s="1131">
        <v>241.7</v>
      </c>
      <c r="DN37" s="1131">
        <v>247.8</v>
      </c>
      <c r="DO37" s="1131">
        <v>246.4</v>
      </c>
      <c r="DP37" s="1131">
        <v>255</v>
      </c>
      <c r="DQ37" s="1131">
        <v>260.2</v>
      </c>
      <c r="DR37" s="1131">
        <v>260.10000000000002</v>
      </c>
      <c r="DS37" s="1131">
        <v>269.39999999999998</v>
      </c>
      <c r="DT37" s="1131">
        <v>277.2</v>
      </c>
      <c r="DU37" s="1131">
        <v>279.10000000000002</v>
      </c>
      <c r="DV37" s="1131">
        <v>290.39999999999998</v>
      </c>
      <c r="DW37" s="1131">
        <v>308</v>
      </c>
      <c r="DX37" s="1131">
        <v>295.8</v>
      </c>
      <c r="DY37" s="1131">
        <v>326</v>
      </c>
      <c r="DZ37" s="1131">
        <v>326</v>
      </c>
      <c r="EA37" s="1131">
        <v>326</v>
      </c>
      <c r="EB37" s="1131">
        <v>334.7</v>
      </c>
      <c r="EC37" s="1131">
        <v>345.4</v>
      </c>
      <c r="ED37" s="1131">
        <v>347</v>
      </c>
      <c r="EE37" s="1131">
        <v>348.3</v>
      </c>
      <c r="EF37" s="1131">
        <v>361.8</v>
      </c>
      <c r="EG37" s="1131">
        <v>357</v>
      </c>
      <c r="EH37" s="1131">
        <v>376</v>
      </c>
      <c r="EI37" s="1131">
        <v>387.1</v>
      </c>
      <c r="EJ37" s="1131">
        <v>385.7</v>
      </c>
      <c r="EK37" s="1131">
        <v>391</v>
      </c>
      <c r="EL37" s="1131">
        <v>399.1</v>
      </c>
      <c r="EM37" s="1131">
        <v>410</v>
      </c>
      <c r="EN37" s="1131">
        <v>409.1</v>
      </c>
      <c r="EO37" s="1131">
        <v>407.9</v>
      </c>
      <c r="EP37" s="1131">
        <v>394</v>
      </c>
      <c r="EQ37" s="1131">
        <v>399.2</v>
      </c>
      <c r="ER37" s="1131">
        <v>414.4</v>
      </c>
      <c r="ES37" s="1131">
        <v>408.1</v>
      </c>
      <c r="ET37" s="1131">
        <v>440.1</v>
      </c>
      <c r="EU37" s="1131">
        <v>423.7</v>
      </c>
      <c r="EV37" s="1131">
        <v>429.9</v>
      </c>
      <c r="EW37" s="1131">
        <v>442.3</v>
      </c>
      <c r="EX37" s="1131">
        <v>446.3</v>
      </c>
      <c r="EY37" s="1131">
        <v>456</v>
      </c>
      <c r="EZ37" s="1131">
        <v>460</v>
      </c>
      <c r="FA37" s="1131">
        <v>462.1</v>
      </c>
      <c r="FB37" s="1131">
        <v>480.2</v>
      </c>
      <c r="FC37" s="1131">
        <v>492</v>
      </c>
      <c r="FD37" s="1131">
        <v>502.4</v>
      </c>
      <c r="FE37" s="1131">
        <v>498.2</v>
      </c>
      <c r="FF37" s="1131">
        <v>508.7</v>
      </c>
      <c r="FG37" s="1131">
        <v>513</v>
      </c>
      <c r="FH37" s="1131">
        <v>533.20000000000005</v>
      </c>
      <c r="FI37" s="1131">
        <v>540.79999999999995</v>
      </c>
      <c r="FJ37" s="1131">
        <v>544.4</v>
      </c>
      <c r="FK37" s="1131">
        <v>534.70000000000005</v>
      </c>
      <c r="FL37" s="1131">
        <v>520.70000000000005</v>
      </c>
      <c r="FM37" s="1131">
        <v>522.9</v>
      </c>
      <c r="FN37" s="1131">
        <v>523.9</v>
      </c>
      <c r="FO37" s="1131">
        <v>544.4</v>
      </c>
      <c r="FP37" s="1131">
        <v>542</v>
      </c>
      <c r="FQ37" s="1131">
        <v>552.70000000000005</v>
      </c>
      <c r="FR37" s="1131">
        <v>548.4</v>
      </c>
      <c r="FS37" s="1131">
        <v>562.79999999999995</v>
      </c>
      <c r="FT37" s="1131">
        <v>572.79999999999995</v>
      </c>
      <c r="FU37" s="1131">
        <v>573.6</v>
      </c>
      <c r="FV37" s="1131">
        <v>585.1</v>
      </c>
      <c r="FW37" s="1131">
        <v>607.79999999999995</v>
      </c>
      <c r="FX37" s="1131">
        <v>634.1</v>
      </c>
      <c r="FY37" s="1131">
        <v>643.20000000000005</v>
      </c>
      <c r="FZ37" s="1131">
        <v>652.20000000000005</v>
      </c>
      <c r="GA37" s="1131">
        <v>667.3</v>
      </c>
      <c r="GB37" s="1131">
        <v>670.2</v>
      </c>
      <c r="GC37" s="1131">
        <v>671.5</v>
      </c>
      <c r="GD37" s="1131">
        <v>679.9</v>
      </c>
      <c r="GE37" s="1131">
        <v>688.5</v>
      </c>
      <c r="GF37" s="1131">
        <v>697.2</v>
      </c>
      <c r="GG37" s="1131">
        <v>706.6</v>
      </c>
      <c r="GH37" s="1131">
        <v>704.7</v>
      </c>
      <c r="GI37" s="1131">
        <v>701.5</v>
      </c>
      <c r="GJ37" s="1131">
        <v>717</v>
      </c>
      <c r="GK37" s="1131">
        <v>712.1</v>
      </c>
      <c r="GL37" s="1131">
        <v>719.6</v>
      </c>
      <c r="GM37" s="1131">
        <v>731.7</v>
      </c>
      <c r="GN37" s="1131">
        <v>735.9</v>
      </c>
      <c r="GO37" s="1131">
        <v>731.6</v>
      </c>
      <c r="GP37" s="1131">
        <v>741.5</v>
      </c>
      <c r="GQ37" s="1131">
        <v>758.6</v>
      </c>
      <c r="GR37" s="1131">
        <v>767.8</v>
      </c>
      <c r="GS37" s="1131">
        <v>767.1</v>
      </c>
      <c r="GT37" s="1131">
        <v>755.9</v>
      </c>
      <c r="GU37" s="1131">
        <v>803.8</v>
      </c>
      <c r="GV37" s="1131">
        <v>842.2</v>
      </c>
      <c r="GW37" s="1131">
        <v>831.1</v>
      </c>
      <c r="GX37" s="1131">
        <v>850</v>
      </c>
      <c r="GY37" s="1131">
        <v>885.5</v>
      </c>
    </row>
    <row r="38" spans="1:207" x14ac:dyDescent="0.35">
      <c r="A38" s="1131" t="s">
        <v>234</v>
      </c>
      <c r="B38" s="1131">
        <v>129.9</v>
      </c>
      <c r="C38" s="1131">
        <v>134.1</v>
      </c>
      <c r="D38" s="1131">
        <v>140.1</v>
      </c>
      <c r="E38" s="1131">
        <v>144.30000000000001</v>
      </c>
      <c r="F38" s="1131">
        <v>149.1</v>
      </c>
      <c r="G38" s="1131">
        <v>153.6</v>
      </c>
      <c r="H38" s="1131">
        <v>156.9</v>
      </c>
      <c r="I38" s="1131">
        <v>161</v>
      </c>
      <c r="J38" s="1131">
        <v>165.7</v>
      </c>
      <c r="K38" s="1131">
        <v>167.9</v>
      </c>
      <c r="L38" s="1131">
        <v>172.5</v>
      </c>
      <c r="M38" s="1131">
        <v>176.8</v>
      </c>
      <c r="N38" s="1131">
        <v>181.7</v>
      </c>
      <c r="O38" s="1131">
        <v>185.7</v>
      </c>
      <c r="P38" s="1131">
        <v>190</v>
      </c>
      <c r="Q38" s="1131">
        <v>195.9</v>
      </c>
      <c r="R38" s="1131">
        <v>201.1</v>
      </c>
      <c r="S38" s="1131">
        <v>210.1</v>
      </c>
      <c r="T38" s="1131">
        <v>217</v>
      </c>
      <c r="U38" s="1131">
        <v>223.7</v>
      </c>
      <c r="V38" s="1131">
        <v>235.9</v>
      </c>
      <c r="W38" s="1131">
        <v>240.3</v>
      </c>
      <c r="X38" s="1131">
        <v>246.6</v>
      </c>
      <c r="Y38" s="1131">
        <v>254.2</v>
      </c>
      <c r="Z38" s="1131">
        <v>260.3</v>
      </c>
      <c r="AA38" s="1131">
        <v>259.39999999999998</v>
      </c>
      <c r="AB38" s="1131">
        <v>261.3</v>
      </c>
      <c r="AC38" s="1131">
        <v>263.89999999999998</v>
      </c>
      <c r="AD38" s="1131">
        <v>271.10000000000002</v>
      </c>
      <c r="AE38" s="1131">
        <v>278.60000000000002</v>
      </c>
      <c r="AF38" s="1131">
        <v>282.3</v>
      </c>
      <c r="AG38" s="1131">
        <v>287.5</v>
      </c>
      <c r="AH38" s="1131">
        <v>292.5</v>
      </c>
      <c r="AI38" s="1131">
        <v>306</v>
      </c>
      <c r="AJ38" s="1131">
        <v>313.5</v>
      </c>
      <c r="AK38" s="1131">
        <v>320.5</v>
      </c>
      <c r="AL38" s="1131">
        <v>323.2</v>
      </c>
      <c r="AM38" s="1131">
        <v>333.2</v>
      </c>
      <c r="AN38" s="1131">
        <v>344.8</v>
      </c>
      <c r="AO38" s="1131">
        <v>356.1</v>
      </c>
      <c r="AP38" s="1131">
        <v>367.6</v>
      </c>
      <c r="AQ38" s="1131">
        <v>371.7</v>
      </c>
      <c r="AR38" s="1131">
        <v>379.1</v>
      </c>
      <c r="AS38" s="1131">
        <v>388.1</v>
      </c>
      <c r="AT38" s="1131">
        <v>402.6</v>
      </c>
      <c r="AU38" s="1131">
        <v>405.3</v>
      </c>
      <c r="AV38" s="1131">
        <v>409.8</v>
      </c>
      <c r="AW38" s="1131">
        <v>418.5</v>
      </c>
      <c r="AX38" s="1131">
        <v>425.5</v>
      </c>
      <c r="AY38" s="1131">
        <v>435.4</v>
      </c>
      <c r="AZ38" s="1131">
        <v>443.4</v>
      </c>
      <c r="BA38" s="1131">
        <v>452.9</v>
      </c>
      <c r="BB38" s="1131">
        <v>461.9</v>
      </c>
      <c r="BC38" s="1131">
        <v>467.5</v>
      </c>
      <c r="BD38" s="1131">
        <v>476.7</v>
      </c>
      <c r="BE38" s="1131">
        <v>482.1</v>
      </c>
      <c r="BF38" s="1131">
        <v>495.1</v>
      </c>
      <c r="BG38" s="1131">
        <v>505.9</v>
      </c>
      <c r="BH38" s="1131">
        <v>518.29999999999995</v>
      </c>
      <c r="BI38" s="1131">
        <v>529.29999999999995</v>
      </c>
      <c r="BJ38" s="1131">
        <v>542.70000000000005</v>
      </c>
      <c r="BK38" s="1131">
        <v>557.70000000000005</v>
      </c>
      <c r="BL38" s="1131">
        <v>571.6</v>
      </c>
      <c r="BM38" s="1131">
        <v>582.20000000000005</v>
      </c>
      <c r="BN38" s="1131">
        <v>595.9</v>
      </c>
      <c r="BO38" s="1131">
        <v>605.5</v>
      </c>
      <c r="BP38" s="1131">
        <v>616.5</v>
      </c>
      <c r="BQ38" s="1131">
        <v>626.29999999999995</v>
      </c>
      <c r="BR38" s="1131">
        <v>637.79999999999995</v>
      </c>
      <c r="BS38" s="1131">
        <v>646.9</v>
      </c>
      <c r="BT38" s="1131">
        <v>656.4</v>
      </c>
      <c r="BU38" s="1131">
        <v>668.1</v>
      </c>
      <c r="BV38" s="1131">
        <v>678.6</v>
      </c>
      <c r="BW38" s="1131">
        <v>693.1</v>
      </c>
      <c r="BX38" s="1131">
        <v>703.2</v>
      </c>
      <c r="BY38" s="1131">
        <v>720.1</v>
      </c>
      <c r="BZ38" s="1131">
        <v>736.6</v>
      </c>
      <c r="CA38" s="1131">
        <v>755.1</v>
      </c>
      <c r="CB38" s="1131">
        <v>770.4</v>
      </c>
      <c r="CC38" s="1131">
        <v>790</v>
      </c>
      <c r="CD38" s="1131">
        <v>811.4</v>
      </c>
      <c r="CE38" s="1131">
        <v>824.1</v>
      </c>
      <c r="CF38" s="1131">
        <v>843.9</v>
      </c>
      <c r="CG38" s="1131">
        <v>871</v>
      </c>
      <c r="CH38" s="1131">
        <v>881.6</v>
      </c>
      <c r="CI38" s="1131">
        <v>901.3</v>
      </c>
      <c r="CJ38" s="1131">
        <v>919.2</v>
      </c>
      <c r="CK38" s="1131">
        <v>947</v>
      </c>
      <c r="CL38" s="1131">
        <v>959.3</v>
      </c>
      <c r="CM38" s="1131">
        <v>975.2</v>
      </c>
      <c r="CN38" s="1131">
        <v>988.2</v>
      </c>
      <c r="CO38" s="1131">
        <v>991.3</v>
      </c>
      <c r="CP38" s="1131">
        <v>1001.1</v>
      </c>
      <c r="CQ38" s="1131">
        <v>1011.6</v>
      </c>
      <c r="CR38" s="1131">
        <v>1028.0999999999999</v>
      </c>
      <c r="CS38" s="1131">
        <v>1036.0999999999999</v>
      </c>
      <c r="CT38" s="1131">
        <v>1046.5999999999999</v>
      </c>
      <c r="CU38" s="1131">
        <v>1060.5</v>
      </c>
      <c r="CV38" s="1131">
        <v>1077.4000000000001</v>
      </c>
      <c r="CW38" s="1131">
        <v>1100.7</v>
      </c>
      <c r="CX38" s="1131">
        <v>1118.5</v>
      </c>
      <c r="CY38" s="1131">
        <v>1132.8</v>
      </c>
      <c r="CZ38" s="1131">
        <v>1136.8</v>
      </c>
      <c r="DA38" s="1131">
        <v>1131.2</v>
      </c>
      <c r="DB38" s="1131">
        <v>1145.0999999999999</v>
      </c>
      <c r="DC38" s="1131">
        <v>1171.4000000000001</v>
      </c>
      <c r="DD38" s="1131">
        <v>1176</v>
      </c>
      <c r="DE38" s="1131">
        <v>1192</v>
      </c>
      <c r="DF38" s="1131">
        <v>1202.5</v>
      </c>
      <c r="DG38" s="1131">
        <v>1209</v>
      </c>
      <c r="DH38" s="1131">
        <v>1225.5</v>
      </c>
      <c r="DI38" s="1131">
        <v>1243.5</v>
      </c>
      <c r="DJ38" s="1131">
        <v>1250.5</v>
      </c>
      <c r="DK38" s="1131">
        <v>1272.2</v>
      </c>
      <c r="DL38" s="1131">
        <v>1290.9000000000001</v>
      </c>
      <c r="DM38" s="1131">
        <v>1312.2</v>
      </c>
      <c r="DN38" s="1131">
        <v>1338.9</v>
      </c>
      <c r="DO38" s="1131">
        <v>1357.5</v>
      </c>
      <c r="DP38" s="1131">
        <v>1388.2</v>
      </c>
      <c r="DQ38" s="1131">
        <v>1417.2</v>
      </c>
      <c r="DR38" s="1131">
        <v>1435.6</v>
      </c>
      <c r="DS38" s="1131">
        <v>1453</v>
      </c>
      <c r="DT38" s="1131">
        <v>1478</v>
      </c>
      <c r="DU38" s="1131">
        <v>1507</v>
      </c>
      <c r="DV38" s="1131">
        <v>1560.6</v>
      </c>
      <c r="DW38" s="1131">
        <v>1617.6</v>
      </c>
      <c r="DX38" s="1131">
        <v>1597.3</v>
      </c>
      <c r="DY38" s="1131">
        <v>1656.2</v>
      </c>
      <c r="DZ38" s="1131">
        <v>1677.3</v>
      </c>
      <c r="EA38" s="1131">
        <v>1694.5</v>
      </c>
      <c r="EB38" s="1131">
        <v>1724.4</v>
      </c>
      <c r="EC38" s="1131">
        <v>1756.3</v>
      </c>
      <c r="ED38" s="1131">
        <v>1781.7</v>
      </c>
      <c r="EE38" s="1131">
        <v>1783.4</v>
      </c>
      <c r="EF38" s="1131">
        <v>1811.7</v>
      </c>
      <c r="EG38" s="1131">
        <v>1814.6</v>
      </c>
      <c r="EH38" s="1131">
        <v>1843.6</v>
      </c>
      <c r="EI38" s="1131">
        <v>1868.2</v>
      </c>
      <c r="EJ38" s="1131">
        <v>1895.3</v>
      </c>
      <c r="EK38" s="1131">
        <v>1903</v>
      </c>
      <c r="EL38" s="1131">
        <v>1925.1</v>
      </c>
      <c r="EM38" s="1131">
        <v>1952.9</v>
      </c>
      <c r="EN38" s="1131">
        <v>1978</v>
      </c>
      <c r="EO38" s="1131">
        <v>2024.5</v>
      </c>
      <c r="EP38" s="1131">
        <v>2008</v>
      </c>
      <c r="EQ38" s="1131">
        <v>2042.4</v>
      </c>
      <c r="ER38" s="1131">
        <v>2078.5</v>
      </c>
      <c r="ES38" s="1131">
        <v>2094.1999999999998</v>
      </c>
      <c r="ET38" s="1131">
        <v>2165.9</v>
      </c>
      <c r="EU38" s="1131">
        <v>2182.4</v>
      </c>
      <c r="EV38" s="1131">
        <v>2205.9</v>
      </c>
      <c r="EW38" s="1131">
        <v>2242.1</v>
      </c>
      <c r="EX38" s="1131">
        <v>2256.4</v>
      </c>
      <c r="EY38" s="1131">
        <v>2293.3000000000002</v>
      </c>
      <c r="EZ38" s="1131">
        <v>2337.8000000000002</v>
      </c>
      <c r="FA38" s="1131">
        <v>2337.1999999999998</v>
      </c>
      <c r="FB38" s="1131">
        <v>2371.5</v>
      </c>
      <c r="FC38" s="1131">
        <v>2419.8000000000002</v>
      </c>
      <c r="FD38" s="1131">
        <v>2446.9</v>
      </c>
      <c r="FE38" s="1131">
        <v>2444.5</v>
      </c>
      <c r="FF38" s="1131">
        <v>2439.1</v>
      </c>
      <c r="FG38" s="1131">
        <v>2443.1</v>
      </c>
      <c r="FH38" s="1131">
        <v>2451.4</v>
      </c>
      <c r="FI38" s="1131">
        <v>2452.3000000000002</v>
      </c>
      <c r="FJ38" s="1131">
        <v>2451.4</v>
      </c>
      <c r="FK38" s="1131">
        <v>2445</v>
      </c>
      <c r="FL38" s="1131">
        <v>2423.3000000000002</v>
      </c>
      <c r="FM38" s="1131">
        <v>2417.9</v>
      </c>
      <c r="FN38" s="1131">
        <v>2431.3000000000002</v>
      </c>
      <c r="FO38" s="1131">
        <v>2447.1999999999998</v>
      </c>
      <c r="FP38" s="1131">
        <v>2448.6</v>
      </c>
      <c r="FQ38" s="1131">
        <v>2475.8000000000002</v>
      </c>
      <c r="FR38" s="1131">
        <v>2485.5</v>
      </c>
      <c r="FS38" s="1131">
        <v>2507.5</v>
      </c>
      <c r="FT38" s="1131">
        <v>2527.4</v>
      </c>
      <c r="FU38" s="1131">
        <v>2529.9</v>
      </c>
      <c r="FV38" s="1131">
        <v>2541.1</v>
      </c>
      <c r="FW38" s="1131">
        <v>2578.9</v>
      </c>
      <c r="FX38" s="1131">
        <v>2622.2</v>
      </c>
      <c r="FY38" s="1131">
        <v>2647.2</v>
      </c>
      <c r="FZ38" s="1131">
        <v>2652.9</v>
      </c>
      <c r="GA38" s="1131">
        <v>2706.9</v>
      </c>
      <c r="GB38" s="1131">
        <v>2729.6</v>
      </c>
      <c r="GC38" s="1131">
        <v>2729.9</v>
      </c>
      <c r="GD38" s="1131">
        <v>2758.2</v>
      </c>
      <c r="GE38" s="1131">
        <v>2788.4</v>
      </c>
      <c r="GF38" s="1131">
        <v>2815.9</v>
      </c>
      <c r="GG38" s="1131">
        <v>2843.1</v>
      </c>
      <c r="GH38" s="1131">
        <v>2862.6</v>
      </c>
      <c r="GI38" s="1131">
        <v>2864.3</v>
      </c>
      <c r="GJ38" s="1131">
        <v>2898</v>
      </c>
      <c r="GK38" s="1131">
        <v>2918.2</v>
      </c>
      <c r="GL38" s="1131">
        <v>2945.3</v>
      </c>
      <c r="GM38" s="1131">
        <v>2984.8</v>
      </c>
      <c r="GN38" s="1131">
        <v>3006.1</v>
      </c>
      <c r="GO38" s="1131">
        <v>3004</v>
      </c>
      <c r="GP38" s="1131">
        <v>3035.3</v>
      </c>
      <c r="GQ38" s="1131">
        <v>3086.2</v>
      </c>
      <c r="GR38" s="1131">
        <v>3105.8</v>
      </c>
      <c r="GS38" s="1131">
        <v>3123.3</v>
      </c>
      <c r="GT38" s="1131">
        <v>3150.9</v>
      </c>
      <c r="GU38" s="1131">
        <v>3151.4</v>
      </c>
      <c r="GV38" s="1131">
        <v>3195.1</v>
      </c>
      <c r="GW38" s="1131">
        <v>3207.4</v>
      </c>
      <c r="GX38" s="1131">
        <v>3260.6</v>
      </c>
      <c r="GY38" s="1131">
        <v>3337.6</v>
      </c>
    </row>
    <row r="39" spans="1:207" x14ac:dyDescent="0.35">
      <c r="A39" s="1131" t="s">
        <v>235</v>
      </c>
      <c r="CP39" s="1131">
        <v>78.072000000000003</v>
      </c>
      <c r="CQ39" s="1131">
        <v>80.831000000000003</v>
      </c>
      <c r="CR39" s="1131">
        <v>85.251000000000005</v>
      </c>
      <c r="CS39" s="1131">
        <v>88.177999999999997</v>
      </c>
      <c r="CT39" s="1131">
        <v>84.001999999999995</v>
      </c>
      <c r="CU39" s="1131">
        <v>86.254999999999995</v>
      </c>
      <c r="CV39" s="1131">
        <v>87.977999999999994</v>
      </c>
      <c r="CW39" s="1131">
        <v>89.828999999999994</v>
      </c>
      <c r="CX39" s="1131">
        <v>95.218000000000004</v>
      </c>
      <c r="CY39" s="1131">
        <v>94.483999999999995</v>
      </c>
      <c r="CZ39" s="1131">
        <v>93.858000000000004</v>
      </c>
      <c r="DA39" s="1131">
        <v>92.180999999999997</v>
      </c>
      <c r="DB39" s="1131">
        <v>94.539000000000001</v>
      </c>
      <c r="DC39" s="1131">
        <v>102.461</v>
      </c>
      <c r="DD39" s="1131">
        <v>99.671999999999997</v>
      </c>
      <c r="DE39" s="1131">
        <v>97.608999999999995</v>
      </c>
      <c r="DF39" s="1131">
        <v>98.691000000000003</v>
      </c>
      <c r="DG39" s="1131">
        <v>98.641999999999996</v>
      </c>
      <c r="DH39" s="1131">
        <v>101.001</v>
      </c>
      <c r="DI39" s="1131">
        <v>105.738</v>
      </c>
      <c r="DJ39" s="1131">
        <v>103.992</v>
      </c>
      <c r="DK39" s="1131">
        <v>106.28700000000001</v>
      </c>
      <c r="DL39" s="1131">
        <v>106.646</v>
      </c>
      <c r="DM39" s="1131">
        <v>110.762</v>
      </c>
      <c r="DN39" s="1131">
        <v>114.027</v>
      </c>
      <c r="DO39" s="1131">
        <v>113.559</v>
      </c>
      <c r="DP39" s="1131">
        <v>120.524</v>
      </c>
      <c r="DQ39" s="1131">
        <v>121.904</v>
      </c>
      <c r="DR39" s="1131">
        <v>121.898</v>
      </c>
      <c r="DS39" s="1131">
        <v>123.319</v>
      </c>
      <c r="DT39" s="1131">
        <v>133.626</v>
      </c>
      <c r="DU39" s="1131">
        <v>129.62200000000001</v>
      </c>
      <c r="DV39" s="1131">
        <v>138.71600000000001</v>
      </c>
      <c r="DW39" s="1131">
        <v>145.774</v>
      </c>
      <c r="DX39" s="1131">
        <v>143.21899999999999</v>
      </c>
      <c r="DY39" s="1131">
        <v>153.809</v>
      </c>
      <c r="DZ39" s="1131">
        <v>156.084</v>
      </c>
      <c r="EA39" s="1131">
        <v>157.45500000000001</v>
      </c>
      <c r="EB39" s="1131">
        <v>164.01</v>
      </c>
      <c r="EC39" s="1131">
        <v>166.934</v>
      </c>
      <c r="ED39" s="1131">
        <v>165.90600000000001</v>
      </c>
      <c r="EE39" s="1131">
        <v>171.10599999999999</v>
      </c>
      <c r="EF39" s="1131">
        <v>186.792</v>
      </c>
      <c r="EG39" s="1131">
        <v>182.54300000000001</v>
      </c>
      <c r="EH39" s="1131">
        <v>190.07</v>
      </c>
      <c r="EI39" s="1131">
        <v>194.96299999999999</v>
      </c>
      <c r="EJ39" s="1131">
        <v>186.476</v>
      </c>
      <c r="EK39" s="1131">
        <v>191.75200000000001</v>
      </c>
      <c r="EL39" s="1131">
        <v>199.036</v>
      </c>
      <c r="EM39" s="1131">
        <v>200.24600000000001</v>
      </c>
      <c r="EN39" s="1131">
        <v>195.23099999999999</v>
      </c>
      <c r="EO39" s="1131">
        <v>197.352</v>
      </c>
      <c r="EP39" s="1131">
        <v>191.74700000000001</v>
      </c>
      <c r="EQ39" s="1131">
        <v>189.018</v>
      </c>
      <c r="ER39" s="1131">
        <v>197.488</v>
      </c>
      <c r="ES39" s="1131">
        <v>189.083</v>
      </c>
      <c r="ET39" s="1131">
        <v>209.34700000000001</v>
      </c>
      <c r="EU39" s="1131">
        <v>201.38300000000001</v>
      </c>
      <c r="EV39" s="1131">
        <v>204.31800000000001</v>
      </c>
      <c r="EW39" s="1131">
        <v>206.11</v>
      </c>
      <c r="EX39" s="1131">
        <v>209.60300000000001</v>
      </c>
      <c r="EY39" s="1131">
        <v>216.57</v>
      </c>
      <c r="EZ39" s="1131">
        <v>213.01599999999999</v>
      </c>
      <c r="FA39" s="1131">
        <v>217.49100000000001</v>
      </c>
      <c r="FB39" s="1131">
        <v>266.40699999999998</v>
      </c>
      <c r="FC39" s="1131">
        <v>284.52600000000001</v>
      </c>
      <c r="FD39" s="1131">
        <v>273.90300000000002</v>
      </c>
      <c r="FE39" s="1131">
        <v>272.34500000000003</v>
      </c>
      <c r="FF39" s="1131">
        <v>283.26799999999997</v>
      </c>
      <c r="FG39" s="1131">
        <v>290.80799999999999</v>
      </c>
      <c r="FH39" s="1131">
        <v>297.13</v>
      </c>
      <c r="FI39" s="1131">
        <v>309.66800000000001</v>
      </c>
      <c r="FJ39" s="1131">
        <v>293.83999999999997</v>
      </c>
      <c r="FK39" s="1131">
        <v>288.89999999999998</v>
      </c>
      <c r="FL39" s="1131">
        <v>248.81299999999999</v>
      </c>
      <c r="FM39" s="1131">
        <v>249.625</v>
      </c>
      <c r="FN39" s="1131">
        <v>258.161</v>
      </c>
      <c r="FO39" s="1131">
        <v>273.39</v>
      </c>
      <c r="FP39" s="1131">
        <v>263.07900000000001</v>
      </c>
      <c r="FQ39" s="1131">
        <v>269.70999999999998</v>
      </c>
      <c r="FR39" s="1131">
        <v>272.06299999999999</v>
      </c>
      <c r="FS39" s="1131">
        <v>283.40800000000002</v>
      </c>
      <c r="FT39" s="1131">
        <v>281.45499999999998</v>
      </c>
      <c r="FU39" s="1131">
        <v>282.10700000000003</v>
      </c>
      <c r="FV39" s="1131">
        <v>303.39</v>
      </c>
      <c r="FW39" s="1131">
        <v>320.01499999999999</v>
      </c>
      <c r="FX39" s="1131">
        <v>343.69200000000001</v>
      </c>
      <c r="FY39" s="1131">
        <v>345.71199999999999</v>
      </c>
      <c r="FZ39" s="1131">
        <v>362.79199999999997</v>
      </c>
      <c r="GA39" s="1131">
        <v>363.41</v>
      </c>
      <c r="GB39" s="1131">
        <v>365.38400000000001</v>
      </c>
      <c r="GC39" s="1131">
        <v>384.03199999999998</v>
      </c>
      <c r="GD39" s="1131">
        <v>378.24599999999998</v>
      </c>
      <c r="GE39" s="1131">
        <v>382.36700000000002</v>
      </c>
      <c r="GF39" s="1131">
        <v>396.21600000000001</v>
      </c>
      <c r="GG39" s="1131">
        <v>408.32299999999998</v>
      </c>
      <c r="GH39" s="1131">
        <v>396.83800000000002</v>
      </c>
      <c r="GI39" s="1131">
        <v>371.19600000000003</v>
      </c>
      <c r="GJ39" s="1131">
        <v>396.81799999999998</v>
      </c>
      <c r="GK39" s="1131">
        <v>402.67599999999999</v>
      </c>
      <c r="GL39" s="1131">
        <v>413.024</v>
      </c>
      <c r="GM39" s="1131">
        <v>403.04300000000001</v>
      </c>
      <c r="GN39" s="1131">
        <v>412.24599999999998</v>
      </c>
      <c r="GO39" s="1131">
        <v>412.041</v>
      </c>
      <c r="GP39" s="1131">
        <v>430.08</v>
      </c>
      <c r="GQ39" s="1131">
        <v>435.61799999999999</v>
      </c>
      <c r="GR39" s="1131">
        <v>436.89699999999999</v>
      </c>
      <c r="GS39" s="1131">
        <v>438.40800000000002</v>
      </c>
      <c r="GT39" s="1131">
        <v>451.67099999999999</v>
      </c>
      <c r="GU39" s="1131">
        <v>589.274</v>
      </c>
      <c r="GV39" s="1131">
        <v>532.923</v>
      </c>
      <c r="GW39" s="1131">
        <v>545.54899999999998</v>
      </c>
      <c r="GX39" s="1131">
        <v>552.85900000000004</v>
      </c>
      <c r="GY39" s="1131">
        <v>553.56399999999996</v>
      </c>
    </row>
    <row r="40" spans="1:207" x14ac:dyDescent="0.35">
      <c r="A40" s="1131" t="s">
        <v>236</v>
      </c>
      <c r="CP40" s="1131">
        <v>73.888000000000005</v>
      </c>
      <c r="CQ40" s="1131">
        <v>76.036000000000001</v>
      </c>
      <c r="CR40" s="1131">
        <v>80.603999999999999</v>
      </c>
      <c r="CS40" s="1131">
        <v>84.1</v>
      </c>
      <c r="CT40" s="1131">
        <v>78.947999999999993</v>
      </c>
      <c r="CU40" s="1131">
        <v>81.772000000000006</v>
      </c>
      <c r="CV40" s="1131">
        <v>82.891999999999996</v>
      </c>
      <c r="CW40" s="1131">
        <v>85.54</v>
      </c>
      <c r="CX40" s="1131">
        <v>90.524000000000001</v>
      </c>
      <c r="CY40" s="1131">
        <v>90.54</v>
      </c>
      <c r="CZ40" s="1131">
        <v>89.28</v>
      </c>
      <c r="DA40" s="1131">
        <v>87.567999999999998</v>
      </c>
      <c r="DB40" s="1131">
        <v>88.772000000000006</v>
      </c>
      <c r="DC40" s="1131">
        <v>96.376000000000005</v>
      </c>
      <c r="DD40" s="1131">
        <v>94.872</v>
      </c>
      <c r="DE40" s="1131">
        <v>93.891999999999996</v>
      </c>
      <c r="DF40" s="1131">
        <v>95.98</v>
      </c>
      <c r="DG40" s="1131">
        <v>94.924000000000007</v>
      </c>
      <c r="DH40" s="1131">
        <v>97.108000000000004</v>
      </c>
      <c r="DI40" s="1131">
        <v>101.384</v>
      </c>
      <c r="DJ40" s="1131">
        <v>99.444000000000003</v>
      </c>
      <c r="DK40" s="1131">
        <v>101.608</v>
      </c>
      <c r="DL40" s="1131">
        <v>102.26</v>
      </c>
      <c r="DM40" s="1131">
        <v>103.952</v>
      </c>
      <c r="DN40" s="1131">
        <v>107.1</v>
      </c>
      <c r="DO40" s="1131">
        <v>107.208</v>
      </c>
      <c r="DP40" s="1131">
        <v>113.428</v>
      </c>
      <c r="DQ40" s="1131">
        <v>114.62</v>
      </c>
      <c r="DR40" s="1131">
        <v>114.852</v>
      </c>
      <c r="DS40" s="1131">
        <v>116.16800000000001</v>
      </c>
      <c r="DT40" s="1131">
        <v>125.392</v>
      </c>
      <c r="DU40" s="1131">
        <v>121.748</v>
      </c>
      <c r="DV40" s="1131">
        <v>129.38800000000001</v>
      </c>
      <c r="DW40" s="1131">
        <v>132.12799999999999</v>
      </c>
      <c r="DX40" s="1131">
        <v>133.364</v>
      </c>
      <c r="DY40" s="1131">
        <v>143.65199999999999</v>
      </c>
      <c r="DZ40" s="1131">
        <v>145.547</v>
      </c>
      <c r="EA40" s="1131">
        <v>146.352</v>
      </c>
      <c r="EB40" s="1131">
        <v>152.89599999999999</v>
      </c>
      <c r="EC40" s="1131">
        <v>155.30699999999999</v>
      </c>
      <c r="ED40" s="1131">
        <v>154.37799999999999</v>
      </c>
      <c r="EE40" s="1131">
        <v>158.02000000000001</v>
      </c>
      <c r="EF40" s="1131">
        <v>174.22900000000001</v>
      </c>
      <c r="EG40" s="1131">
        <v>170.506</v>
      </c>
      <c r="EH40" s="1131">
        <v>177.77199999999999</v>
      </c>
      <c r="EI40" s="1131">
        <v>182.69200000000001</v>
      </c>
      <c r="EJ40" s="1131">
        <v>173.33</v>
      </c>
      <c r="EK40" s="1131">
        <v>177.28200000000001</v>
      </c>
      <c r="EL40" s="1131">
        <v>183.90799999999999</v>
      </c>
      <c r="EM40" s="1131">
        <v>185.81800000000001</v>
      </c>
      <c r="EN40" s="1131">
        <v>179.68299999999999</v>
      </c>
      <c r="EO40" s="1131">
        <v>182.94399999999999</v>
      </c>
      <c r="EP40" s="1131">
        <v>175.95599999999999</v>
      </c>
      <c r="EQ40" s="1131">
        <v>176.53</v>
      </c>
      <c r="ER40" s="1131">
        <v>186.733</v>
      </c>
      <c r="ES40" s="1131">
        <v>177.65899999999999</v>
      </c>
      <c r="ET40" s="1131">
        <v>200.21799999999999</v>
      </c>
      <c r="EU40" s="1131">
        <v>190.602</v>
      </c>
      <c r="EV40" s="1131">
        <v>194.11099999999999</v>
      </c>
      <c r="EW40" s="1131">
        <v>196.02799999999999</v>
      </c>
      <c r="EX40" s="1131">
        <v>200.29400000000001</v>
      </c>
      <c r="EY40" s="1131">
        <v>203.79400000000001</v>
      </c>
      <c r="EZ40" s="1131">
        <v>205.059</v>
      </c>
      <c r="FA40" s="1131">
        <v>208.505</v>
      </c>
      <c r="FB40" s="1131">
        <v>256.94400000000002</v>
      </c>
      <c r="FC40" s="1131">
        <v>274.66399999999999</v>
      </c>
      <c r="FD40" s="1131">
        <v>263.92399999999998</v>
      </c>
      <c r="FE40" s="1131">
        <v>261.94400000000002</v>
      </c>
      <c r="FF40" s="1131">
        <v>271.84399999999999</v>
      </c>
      <c r="FG40" s="1131">
        <v>272.45600000000002</v>
      </c>
      <c r="FH40" s="1131">
        <v>283.69099999999997</v>
      </c>
      <c r="FI40" s="1131">
        <v>297.60899999999998</v>
      </c>
      <c r="FJ40" s="1131">
        <v>282.44499999999999</v>
      </c>
      <c r="FK40" s="1131">
        <v>277.19600000000003</v>
      </c>
      <c r="FL40" s="1131">
        <v>237.739</v>
      </c>
      <c r="FM40" s="1131">
        <v>239.291</v>
      </c>
      <c r="FN40" s="1131">
        <v>246.24799999999999</v>
      </c>
      <c r="FO40" s="1131">
        <v>262.32400000000001</v>
      </c>
      <c r="FP40" s="1131">
        <v>250.54</v>
      </c>
      <c r="FQ40" s="1131">
        <v>259.56200000000001</v>
      </c>
      <c r="FR40" s="1131">
        <v>258.45</v>
      </c>
      <c r="FS40" s="1131">
        <v>270.887</v>
      </c>
      <c r="FT40" s="1131">
        <v>269.279</v>
      </c>
      <c r="FU40" s="1131">
        <v>269.98200000000003</v>
      </c>
      <c r="FV40" s="1131">
        <v>291.58999999999997</v>
      </c>
      <c r="FW40" s="1131">
        <v>307.77499999999998</v>
      </c>
      <c r="FX40" s="1131">
        <v>332.4</v>
      </c>
      <c r="FY40" s="1131">
        <v>335.61099999999999</v>
      </c>
      <c r="FZ40" s="1131">
        <v>352.18799999999999</v>
      </c>
      <c r="GA40" s="1131">
        <v>353.44200000000001</v>
      </c>
      <c r="GB40" s="1131">
        <v>352.90899999999999</v>
      </c>
      <c r="GC40" s="1131">
        <v>366.274</v>
      </c>
      <c r="GD40" s="1131">
        <v>360.221</v>
      </c>
      <c r="GE40" s="1131">
        <v>363.84399999999999</v>
      </c>
      <c r="GF40" s="1131">
        <v>377.96699999999998</v>
      </c>
      <c r="GG40" s="1131">
        <v>388.17599999999999</v>
      </c>
      <c r="GH40" s="1131">
        <v>377.15800000000002</v>
      </c>
      <c r="GI40" s="1131">
        <v>351.78300000000002</v>
      </c>
      <c r="GJ40" s="1131">
        <v>376.51499999999999</v>
      </c>
      <c r="GK40" s="1131">
        <v>383.63</v>
      </c>
      <c r="GL40" s="1131">
        <v>391.815</v>
      </c>
      <c r="GM40" s="1131">
        <v>383.23700000000002</v>
      </c>
      <c r="GN40" s="1131">
        <v>392.27300000000002</v>
      </c>
      <c r="GO40" s="1131">
        <v>390.86599999999999</v>
      </c>
      <c r="GP40" s="1131">
        <v>408.75599999999997</v>
      </c>
      <c r="GQ40" s="1131">
        <v>413.34399999999999</v>
      </c>
      <c r="GR40" s="1131">
        <v>418.529</v>
      </c>
      <c r="GS40" s="1131">
        <v>413.80599999999998</v>
      </c>
      <c r="GT40" s="1131">
        <v>428.11799999999999</v>
      </c>
      <c r="GU40" s="1131">
        <v>502.49</v>
      </c>
      <c r="GV40" s="1131">
        <v>481.71699999999998</v>
      </c>
      <c r="GW40" s="1131">
        <v>507.83699999999999</v>
      </c>
      <c r="GX40" s="1131">
        <v>511.34500000000003</v>
      </c>
      <c r="GY40" s="1131">
        <v>520.72900000000004</v>
      </c>
    </row>
    <row r="41" spans="1:207" x14ac:dyDescent="0.35">
      <c r="A41" s="1131" t="s">
        <v>237</v>
      </c>
      <c r="B41" s="1131">
        <v>5.5759999999999996</v>
      </c>
      <c r="C41" s="1131">
        <v>5.2279999999999998</v>
      </c>
      <c r="D41" s="1131">
        <v>4.8159999999999998</v>
      </c>
      <c r="E41" s="1131">
        <v>4.9000000000000004</v>
      </c>
      <c r="F41" s="1131">
        <v>5.4640000000000004</v>
      </c>
      <c r="G41" s="1131">
        <v>6.3120000000000003</v>
      </c>
      <c r="H41" s="1131">
        <v>5.7560000000000002</v>
      </c>
      <c r="I41" s="1131">
        <v>5.6440000000000001</v>
      </c>
      <c r="J41" s="1131">
        <v>5.6680000000000001</v>
      </c>
      <c r="K41" s="1131">
        <v>5.2160000000000002</v>
      </c>
      <c r="L41" s="1131">
        <v>6.7240000000000002</v>
      </c>
      <c r="M41" s="1131">
        <v>5.7</v>
      </c>
      <c r="N41" s="1131">
        <v>5.74</v>
      </c>
      <c r="O41" s="1131">
        <v>6.2080000000000002</v>
      </c>
      <c r="P41" s="1131">
        <v>5.3440000000000003</v>
      </c>
      <c r="Q41" s="1131">
        <v>5.92</v>
      </c>
      <c r="R41" s="1131">
        <v>7.76</v>
      </c>
      <c r="S41" s="1131">
        <v>8.5719999999999992</v>
      </c>
      <c r="T41" s="1131">
        <v>6.4960000000000004</v>
      </c>
      <c r="U41" s="1131">
        <v>7.84</v>
      </c>
      <c r="V41" s="1131">
        <v>8.6519999999999992</v>
      </c>
      <c r="W41" s="1131">
        <v>7.8040000000000003</v>
      </c>
      <c r="X41" s="1131">
        <v>10.772</v>
      </c>
      <c r="Y41" s="1131">
        <v>10.423999999999999</v>
      </c>
      <c r="Z41" s="1131">
        <v>10.012</v>
      </c>
      <c r="AA41" s="1131">
        <v>9.76</v>
      </c>
      <c r="AB41" s="1131">
        <v>10.592000000000001</v>
      </c>
      <c r="AC41" s="1131">
        <v>11.108000000000001</v>
      </c>
      <c r="AD41" s="1131">
        <v>10.715999999999999</v>
      </c>
      <c r="AE41" s="1131">
        <v>10.651999999999999</v>
      </c>
      <c r="AF41" s="1131">
        <v>11.804</v>
      </c>
      <c r="AG41" s="1131">
        <v>10.7</v>
      </c>
      <c r="AH41" s="1131">
        <v>10.968</v>
      </c>
      <c r="AI41" s="1131">
        <v>11.528</v>
      </c>
      <c r="AJ41" s="1131">
        <v>11.907999999999999</v>
      </c>
      <c r="AK41" s="1131">
        <v>12.528</v>
      </c>
      <c r="AL41" s="1131">
        <v>13.592000000000001</v>
      </c>
      <c r="AM41" s="1131">
        <v>13.048</v>
      </c>
      <c r="AN41" s="1131">
        <v>14.292</v>
      </c>
      <c r="AO41" s="1131">
        <v>15.752000000000001</v>
      </c>
      <c r="AP41" s="1131">
        <v>16.260000000000002</v>
      </c>
      <c r="AQ41" s="1131">
        <v>16.536000000000001</v>
      </c>
      <c r="AR41" s="1131">
        <v>15.916</v>
      </c>
      <c r="AS41" s="1131">
        <v>16.628</v>
      </c>
      <c r="AT41" s="1131">
        <v>16.091999999999999</v>
      </c>
      <c r="AU41" s="1131">
        <v>15.715999999999999</v>
      </c>
      <c r="AV41" s="1131">
        <v>14.827999999999999</v>
      </c>
      <c r="AW41" s="1131">
        <v>15.012</v>
      </c>
      <c r="AX41" s="1131">
        <v>13.852</v>
      </c>
      <c r="AY41" s="1131">
        <v>14.552</v>
      </c>
      <c r="AZ41" s="1131">
        <v>14.544</v>
      </c>
      <c r="BA41" s="1131">
        <v>14.484</v>
      </c>
      <c r="BB41" s="1131">
        <v>15.9</v>
      </c>
      <c r="BC41" s="1131">
        <v>14.2</v>
      </c>
      <c r="BD41" s="1131">
        <v>15.904</v>
      </c>
      <c r="BE41" s="1131">
        <v>15.768000000000001</v>
      </c>
      <c r="BF41" s="1131">
        <v>16.556000000000001</v>
      </c>
      <c r="BG41" s="1131">
        <v>17.236000000000001</v>
      </c>
      <c r="BH41" s="1131">
        <v>18.091999999999999</v>
      </c>
      <c r="BI41" s="1131">
        <v>18.824000000000002</v>
      </c>
      <c r="BJ41" s="1131">
        <v>17.044</v>
      </c>
      <c r="BK41" s="1131">
        <v>19.408000000000001</v>
      </c>
      <c r="BL41" s="1131">
        <v>20.036000000000001</v>
      </c>
      <c r="BM41" s="1131">
        <v>21.184000000000001</v>
      </c>
      <c r="BN41" s="1131">
        <v>19.72</v>
      </c>
      <c r="BO41" s="1131">
        <v>20.556000000000001</v>
      </c>
      <c r="BP41" s="1131">
        <v>21.283999999999999</v>
      </c>
      <c r="BQ41" s="1131">
        <v>18.32</v>
      </c>
      <c r="BR41" s="1131">
        <v>18.760000000000002</v>
      </c>
      <c r="BS41" s="1131">
        <v>19.559999999999999</v>
      </c>
      <c r="BT41" s="1131">
        <v>18.827999999999999</v>
      </c>
      <c r="BU41" s="1131">
        <v>18.696000000000002</v>
      </c>
      <c r="BV41" s="1131">
        <v>18.972000000000001</v>
      </c>
      <c r="BW41" s="1131">
        <v>19.835999999999999</v>
      </c>
      <c r="BX41" s="1131">
        <v>20.388000000000002</v>
      </c>
      <c r="BY41" s="1131">
        <v>19.283999999999999</v>
      </c>
      <c r="BZ41" s="1131">
        <v>20.192</v>
      </c>
      <c r="CA41" s="1131">
        <v>19.936</v>
      </c>
      <c r="CB41" s="1131">
        <v>18.832000000000001</v>
      </c>
      <c r="CC41" s="1131">
        <v>20.492000000000001</v>
      </c>
      <c r="CD41" s="1131">
        <v>21.448</v>
      </c>
      <c r="CE41" s="1131">
        <v>20.184000000000001</v>
      </c>
      <c r="CF41" s="1131">
        <v>20.507999999999999</v>
      </c>
      <c r="CG41" s="1131">
        <v>21.187999999999999</v>
      </c>
      <c r="CH41" s="1131">
        <v>21.552</v>
      </c>
      <c r="CI41" s="1131">
        <v>21.611999999999998</v>
      </c>
      <c r="CJ41" s="1131">
        <v>21.056000000000001</v>
      </c>
      <c r="CK41" s="1131">
        <v>20.611999999999998</v>
      </c>
      <c r="CL41" s="1131">
        <v>21.388000000000002</v>
      </c>
      <c r="CM41" s="1131">
        <v>22.8</v>
      </c>
      <c r="CN41" s="1131">
        <v>22.288</v>
      </c>
      <c r="CO41" s="1131">
        <v>23.064</v>
      </c>
      <c r="CP41" s="1131">
        <v>21.783999999999999</v>
      </c>
      <c r="CQ41" s="1131">
        <v>22.472000000000001</v>
      </c>
      <c r="CR41" s="1131">
        <v>24.884</v>
      </c>
      <c r="CS41" s="1131">
        <v>24.763999999999999</v>
      </c>
      <c r="CT41" s="1131">
        <v>23.632000000000001</v>
      </c>
      <c r="CU41" s="1131">
        <v>23.952000000000002</v>
      </c>
      <c r="CV41" s="1131">
        <v>25.152000000000001</v>
      </c>
      <c r="CW41" s="1131">
        <v>26.475999999999999</v>
      </c>
      <c r="CX41" s="1131">
        <v>27.744</v>
      </c>
      <c r="CY41" s="1131">
        <v>28.027999999999999</v>
      </c>
      <c r="CZ41" s="1131">
        <v>26.448</v>
      </c>
      <c r="DA41" s="1131">
        <v>26.815999999999999</v>
      </c>
      <c r="DB41" s="1131">
        <v>29.135999999999999</v>
      </c>
      <c r="DC41" s="1131">
        <v>27.904</v>
      </c>
      <c r="DD41" s="1131">
        <v>27.116</v>
      </c>
      <c r="DE41" s="1131">
        <v>28.72</v>
      </c>
      <c r="DF41" s="1131">
        <v>28.4</v>
      </c>
      <c r="DG41" s="1131">
        <v>29.015999999999998</v>
      </c>
      <c r="DH41" s="1131">
        <v>29.084</v>
      </c>
      <c r="DI41" s="1131">
        <v>28.744</v>
      </c>
      <c r="DJ41" s="1131">
        <v>27.052</v>
      </c>
      <c r="DK41" s="1131">
        <v>27.335999999999999</v>
      </c>
      <c r="DL41" s="1131">
        <v>29.103999999999999</v>
      </c>
      <c r="DM41" s="1131">
        <v>31.231999999999999</v>
      </c>
      <c r="DN41" s="1131">
        <v>27.78</v>
      </c>
      <c r="DO41" s="1131">
        <v>32.192</v>
      </c>
      <c r="DP41" s="1131">
        <v>34.264000000000003</v>
      </c>
      <c r="DQ41" s="1131">
        <v>34.124000000000002</v>
      </c>
      <c r="DR41" s="1131">
        <v>35.572000000000003</v>
      </c>
      <c r="DS41" s="1131">
        <v>36.04</v>
      </c>
      <c r="DT41" s="1131">
        <v>35.728000000000002</v>
      </c>
      <c r="DU41" s="1131">
        <v>39.26</v>
      </c>
      <c r="DV41" s="1131">
        <v>40.316000000000003</v>
      </c>
      <c r="DW41" s="1131">
        <v>43.008000000000003</v>
      </c>
      <c r="DX41" s="1131">
        <v>42.667999999999999</v>
      </c>
      <c r="DY41" s="1131">
        <v>43.008000000000003</v>
      </c>
      <c r="DZ41" s="1131">
        <v>50.609000000000002</v>
      </c>
      <c r="EA41" s="1131">
        <v>45.405000000000001</v>
      </c>
      <c r="EB41" s="1131">
        <v>41.341999999999999</v>
      </c>
      <c r="EC41" s="1131">
        <v>44.814</v>
      </c>
      <c r="ED41" s="1131">
        <v>43.170999999999999</v>
      </c>
      <c r="EE41" s="1131">
        <v>48.719000000000001</v>
      </c>
      <c r="EF41" s="1131">
        <v>46.442999999999998</v>
      </c>
      <c r="EG41" s="1131">
        <v>45.506999999999998</v>
      </c>
      <c r="EH41" s="1131">
        <v>47.600999999999999</v>
      </c>
      <c r="EI41" s="1131">
        <v>44.213000000000001</v>
      </c>
      <c r="EJ41" s="1131">
        <v>50.412999999999997</v>
      </c>
      <c r="EK41" s="1131">
        <v>44.947000000000003</v>
      </c>
      <c r="EL41" s="1131">
        <v>49.942999999999998</v>
      </c>
      <c r="EM41" s="1131">
        <v>51.171999999999997</v>
      </c>
      <c r="EN41" s="1131">
        <v>47.383000000000003</v>
      </c>
      <c r="EO41" s="1131">
        <v>49.225000000000001</v>
      </c>
      <c r="EP41" s="1131">
        <v>53.557000000000002</v>
      </c>
      <c r="EQ41" s="1131">
        <v>53.237000000000002</v>
      </c>
      <c r="ER41" s="1131">
        <v>52.164999999999999</v>
      </c>
      <c r="ES41" s="1131">
        <v>51.704000000000001</v>
      </c>
      <c r="ET41" s="1131">
        <v>50.936999999999998</v>
      </c>
      <c r="EU41" s="1131">
        <v>56.121000000000002</v>
      </c>
      <c r="EV41" s="1131">
        <v>55.527999999999999</v>
      </c>
      <c r="EW41" s="1131">
        <v>54.619</v>
      </c>
      <c r="EX41" s="1131">
        <v>56.613</v>
      </c>
      <c r="EY41" s="1131">
        <v>58.841999999999999</v>
      </c>
      <c r="EZ41" s="1131">
        <v>56.868000000000002</v>
      </c>
      <c r="FA41" s="1131">
        <v>58.177</v>
      </c>
      <c r="FB41" s="1131">
        <v>58.334000000000003</v>
      </c>
      <c r="FC41" s="1131">
        <v>59.643000000000001</v>
      </c>
      <c r="FD41" s="1131">
        <v>67.126000000000005</v>
      </c>
      <c r="FE41" s="1131">
        <v>68.543000000000006</v>
      </c>
      <c r="FF41" s="1131">
        <v>64.721000000000004</v>
      </c>
      <c r="FG41" s="1131">
        <v>73.736999999999995</v>
      </c>
      <c r="FH41" s="1131">
        <v>74.820999999999998</v>
      </c>
      <c r="FI41" s="1131">
        <v>75.022000000000006</v>
      </c>
      <c r="FJ41" s="1131">
        <v>70.503</v>
      </c>
      <c r="FK41" s="1131">
        <v>69.144999999999996</v>
      </c>
      <c r="FL41" s="1131">
        <v>65.915999999999997</v>
      </c>
      <c r="FM41" s="1131">
        <v>70.531000000000006</v>
      </c>
      <c r="FN41" s="1131">
        <v>67.106999999999999</v>
      </c>
      <c r="FO41" s="1131">
        <v>67.67</v>
      </c>
      <c r="FP41" s="1131">
        <v>65.88</v>
      </c>
      <c r="FQ41" s="1131">
        <v>65.507000000000005</v>
      </c>
      <c r="FR41" s="1131">
        <v>67.563999999999993</v>
      </c>
      <c r="FS41" s="1131">
        <v>63.978999999999999</v>
      </c>
      <c r="FT41" s="1131">
        <v>68.013999999999996</v>
      </c>
      <c r="FU41" s="1131">
        <v>65.742000000000004</v>
      </c>
      <c r="FV41" s="1131">
        <v>65.275999999999996</v>
      </c>
      <c r="FW41" s="1131">
        <v>67.164000000000001</v>
      </c>
      <c r="FX41" s="1131">
        <v>68.84</v>
      </c>
      <c r="FY41" s="1131">
        <v>61.402999999999999</v>
      </c>
      <c r="FZ41" s="1131">
        <v>63.533999999999999</v>
      </c>
      <c r="GA41" s="1131">
        <v>62.906999999999996</v>
      </c>
      <c r="GB41" s="1131">
        <v>66.760000000000005</v>
      </c>
      <c r="GC41" s="1131">
        <v>64.462000000000003</v>
      </c>
      <c r="GD41" s="1131">
        <v>66.301000000000002</v>
      </c>
      <c r="GE41" s="1131">
        <v>67.191000000000003</v>
      </c>
      <c r="GF41" s="1131">
        <v>68.578000000000003</v>
      </c>
      <c r="GG41" s="1131">
        <v>66.980999999999995</v>
      </c>
      <c r="GH41" s="1131">
        <v>66.664000000000001</v>
      </c>
      <c r="GI41" s="1131">
        <v>68.963999999999999</v>
      </c>
      <c r="GJ41" s="1131">
        <v>64.058000000000007</v>
      </c>
      <c r="GK41" s="1131">
        <v>64.983000000000004</v>
      </c>
      <c r="GL41" s="1131">
        <v>64.022000000000006</v>
      </c>
      <c r="GM41" s="1131">
        <v>65.007999999999996</v>
      </c>
      <c r="GN41" s="1131">
        <v>69.409000000000006</v>
      </c>
      <c r="GO41" s="1131">
        <v>64.796999999999997</v>
      </c>
      <c r="GP41" s="1131">
        <v>66.022000000000006</v>
      </c>
      <c r="GQ41" s="1131">
        <v>66.850999999999999</v>
      </c>
      <c r="GR41" s="1131">
        <v>69.611000000000004</v>
      </c>
      <c r="GS41" s="1131">
        <v>70.894000000000005</v>
      </c>
      <c r="GT41" s="1131">
        <v>72.774000000000001</v>
      </c>
      <c r="GU41" s="1131">
        <v>75.275000000000006</v>
      </c>
      <c r="GV41" s="1131">
        <v>78.766999999999996</v>
      </c>
      <c r="GW41" s="1131">
        <v>76.995000000000005</v>
      </c>
      <c r="GX41" s="1131">
        <v>75.03</v>
      </c>
      <c r="GY41" s="1131">
        <v>77.703999999999994</v>
      </c>
    </row>
    <row r="42" spans="1:207" x14ac:dyDescent="0.35">
      <c r="A42" s="1131" t="s">
        <v>238</v>
      </c>
      <c r="B42" s="1131">
        <v>4.7</v>
      </c>
      <c r="C42" s="1131">
        <v>4.8</v>
      </c>
      <c r="D42" s="1131">
        <v>4.7</v>
      </c>
      <c r="E42" s="1131">
        <v>4.8</v>
      </c>
      <c r="F42" s="1131">
        <v>4.7</v>
      </c>
      <c r="G42" s="1131">
        <v>4.8</v>
      </c>
      <c r="H42" s="1131">
        <v>4.5</v>
      </c>
      <c r="I42" s="1131">
        <v>4.5999999999999996</v>
      </c>
      <c r="J42" s="1131">
        <v>6.1</v>
      </c>
      <c r="K42" s="1131">
        <v>6.2</v>
      </c>
      <c r="L42" s="1131">
        <v>7.1</v>
      </c>
      <c r="M42" s="1131">
        <v>7</v>
      </c>
      <c r="N42" s="1131">
        <v>5.9</v>
      </c>
      <c r="O42" s="1131">
        <v>5.6</v>
      </c>
      <c r="P42" s="1131">
        <v>4.5999999999999996</v>
      </c>
      <c r="Q42" s="1131">
        <v>4.5</v>
      </c>
      <c r="R42" s="1131">
        <v>3.5</v>
      </c>
      <c r="S42" s="1131">
        <v>2.8</v>
      </c>
      <c r="T42" s="1131">
        <v>3.1</v>
      </c>
      <c r="U42" s="1131">
        <v>3.5</v>
      </c>
      <c r="V42" s="1131">
        <v>4.0999999999999996</v>
      </c>
      <c r="W42" s="1131">
        <v>4.0999999999999996</v>
      </c>
      <c r="X42" s="1131">
        <v>4.4000000000000004</v>
      </c>
      <c r="Y42" s="1131">
        <v>4.8</v>
      </c>
      <c r="Z42" s="1131">
        <v>5</v>
      </c>
      <c r="AA42" s="1131">
        <v>4.7</v>
      </c>
      <c r="AB42" s="1131">
        <v>4.9000000000000004</v>
      </c>
      <c r="AC42" s="1131">
        <v>5.3</v>
      </c>
      <c r="AD42" s="1131">
        <v>5.6</v>
      </c>
      <c r="AE42" s="1131">
        <v>5.7</v>
      </c>
      <c r="AF42" s="1131">
        <v>6.2</v>
      </c>
      <c r="AG42" s="1131">
        <v>10.1</v>
      </c>
      <c r="AH42" s="1131">
        <v>8.5</v>
      </c>
      <c r="AI42" s="1131">
        <v>8.1</v>
      </c>
      <c r="AJ42" s="1131">
        <v>8</v>
      </c>
      <c r="AK42" s="1131">
        <v>10.1</v>
      </c>
      <c r="AL42" s="1131">
        <v>8.1</v>
      </c>
      <c r="AM42" s="1131">
        <v>8.5</v>
      </c>
      <c r="AN42" s="1131">
        <v>7.8</v>
      </c>
      <c r="AO42" s="1131">
        <v>8.5</v>
      </c>
      <c r="AP42" s="1131">
        <v>8.9</v>
      </c>
      <c r="AQ42" s="1131">
        <v>9.3000000000000007</v>
      </c>
      <c r="AR42" s="1131">
        <v>9.6999999999999993</v>
      </c>
      <c r="AS42" s="1131">
        <v>9.9</v>
      </c>
      <c r="AT42" s="1131">
        <v>10.199999999999999</v>
      </c>
      <c r="AU42" s="1131">
        <v>10.3</v>
      </c>
      <c r="AV42" s="1131">
        <v>10.7</v>
      </c>
      <c r="AW42" s="1131">
        <v>13.1</v>
      </c>
      <c r="AX42" s="1131">
        <v>13.6</v>
      </c>
      <c r="AY42" s="1131">
        <v>13.2</v>
      </c>
      <c r="AZ42" s="1131">
        <v>12.6</v>
      </c>
      <c r="BA42" s="1131">
        <v>19</v>
      </c>
      <c r="BB42" s="1131">
        <v>19.399999999999999</v>
      </c>
      <c r="BC42" s="1131">
        <v>21.1</v>
      </c>
      <c r="BD42" s="1131">
        <v>21.8</v>
      </c>
      <c r="BE42" s="1131">
        <v>21.1</v>
      </c>
      <c r="BF42" s="1131">
        <v>20.8</v>
      </c>
      <c r="BG42" s="1131">
        <v>20.6</v>
      </c>
      <c r="BH42" s="1131">
        <v>20.5</v>
      </c>
      <c r="BI42" s="1131">
        <v>20.8</v>
      </c>
      <c r="BJ42" s="1131">
        <v>20.8</v>
      </c>
      <c r="BK42" s="1131">
        <v>20.7</v>
      </c>
      <c r="BL42" s="1131">
        <v>21</v>
      </c>
      <c r="BM42" s="1131">
        <v>21.7</v>
      </c>
      <c r="BN42" s="1131">
        <v>22.8</v>
      </c>
      <c r="BO42" s="1131">
        <v>23.9</v>
      </c>
      <c r="BP42" s="1131">
        <v>25.1</v>
      </c>
      <c r="BQ42" s="1131">
        <v>26.5</v>
      </c>
      <c r="BR42" s="1131">
        <v>28</v>
      </c>
      <c r="BS42" s="1131">
        <v>30.2</v>
      </c>
      <c r="BT42" s="1131">
        <v>31</v>
      </c>
      <c r="BU42" s="1131">
        <v>30.8</v>
      </c>
      <c r="BV42" s="1131">
        <v>30</v>
      </c>
      <c r="BW42" s="1131">
        <v>29.5</v>
      </c>
      <c r="BX42" s="1131">
        <v>28.9</v>
      </c>
      <c r="BY42" s="1131">
        <v>28.2</v>
      </c>
      <c r="BZ42" s="1131">
        <v>27.6</v>
      </c>
      <c r="CA42" s="1131">
        <v>27</v>
      </c>
      <c r="CB42" s="1131">
        <v>26.7</v>
      </c>
      <c r="CC42" s="1131">
        <v>26.9</v>
      </c>
      <c r="CD42" s="1131">
        <v>26.8</v>
      </c>
      <c r="CE42" s="1131">
        <v>26.6</v>
      </c>
      <c r="CF42" s="1131">
        <v>26.6</v>
      </c>
      <c r="CG42" s="1131">
        <v>26.6</v>
      </c>
      <c r="CH42" s="1131">
        <v>26.7</v>
      </c>
      <c r="CI42" s="1131">
        <v>26.8</v>
      </c>
      <c r="CJ42" s="1131">
        <v>27.1</v>
      </c>
      <c r="CK42" s="1131">
        <v>27.7</v>
      </c>
      <c r="CL42" s="1131">
        <v>28.2</v>
      </c>
      <c r="CM42" s="1131">
        <v>28.8</v>
      </c>
      <c r="CN42" s="1131">
        <v>30</v>
      </c>
      <c r="CO42" s="1131">
        <v>31.8</v>
      </c>
      <c r="CP42" s="1131">
        <v>35.1</v>
      </c>
      <c r="CQ42" s="1131">
        <v>37.200000000000003</v>
      </c>
      <c r="CR42" s="1131">
        <v>37.299999999999997</v>
      </c>
      <c r="CS42" s="1131">
        <v>35.700000000000003</v>
      </c>
      <c r="CT42" s="1131">
        <v>33.200000000000003</v>
      </c>
      <c r="CU42" s="1131">
        <v>32</v>
      </c>
      <c r="CV42" s="1131">
        <v>31.6</v>
      </c>
      <c r="CW42" s="1131">
        <v>31.9</v>
      </c>
      <c r="CX42" s="1131">
        <v>33.6</v>
      </c>
      <c r="CY42" s="1131">
        <v>34.299999999999997</v>
      </c>
      <c r="CZ42" s="1131">
        <v>34.799999999999997</v>
      </c>
      <c r="DA42" s="1131">
        <v>35.200000000000003</v>
      </c>
      <c r="DB42" s="1131">
        <v>35.200000000000003</v>
      </c>
      <c r="DC42" s="1131">
        <v>35.1</v>
      </c>
      <c r="DD42" s="1131">
        <v>34.9</v>
      </c>
      <c r="DE42" s="1131">
        <v>34.4</v>
      </c>
      <c r="DF42" s="1131">
        <v>34</v>
      </c>
      <c r="DG42" s="1131">
        <v>33.200000000000003</v>
      </c>
      <c r="DH42" s="1131">
        <v>33</v>
      </c>
      <c r="DI42" s="1131">
        <v>33.299999999999997</v>
      </c>
      <c r="DJ42" s="1131">
        <v>33.4</v>
      </c>
      <c r="DK42" s="1131">
        <v>34.6</v>
      </c>
      <c r="DL42" s="1131">
        <v>36.299999999999997</v>
      </c>
      <c r="DM42" s="1131">
        <v>39.4</v>
      </c>
      <c r="DN42" s="1131">
        <v>42</v>
      </c>
      <c r="DO42" s="1131">
        <v>44.6</v>
      </c>
      <c r="DP42" s="1131">
        <v>46</v>
      </c>
      <c r="DQ42" s="1131">
        <v>46.5</v>
      </c>
      <c r="DR42" s="1131">
        <v>44.6</v>
      </c>
      <c r="DS42" s="1131">
        <v>45</v>
      </c>
      <c r="DT42" s="1131">
        <v>45.3</v>
      </c>
      <c r="DU42" s="1131">
        <v>46.4</v>
      </c>
      <c r="DV42" s="1131">
        <v>47.2</v>
      </c>
      <c r="DW42" s="1131">
        <v>47.6</v>
      </c>
      <c r="DX42" s="1131">
        <v>66.3</v>
      </c>
      <c r="DY42" s="1131">
        <v>43.1</v>
      </c>
      <c r="DZ42" s="1131">
        <v>40.700000000000003</v>
      </c>
      <c r="EA42" s="1131">
        <v>39.200000000000003</v>
      </c>
      <c r="EB42" s="1131">
        <v>39.700000000000003</v>
      </c>
      <c r="EC42" s="1131">
        <v>42.3</v>
      </c>
      <c r="ED42" s="1131">
        <v>47</v>
      </c>
      <c r="EE42" s="1131">
        <v>56.8</v>
      </c>
      <c r="EF42" s="1131">
        <v>46.9</v>
      </c>
      <c r="EG42" s="1131">
        <v>45.1</v>
      </c>
      <c r="EH42" s="1131">
        <v>43.9</v>
      </c>
      <c r="EI42" s="1131">
        <v>43.3</v>
      </c>
      <c r="EJ42" s="1131">
        <v>45</v>
      </c>
      <c r="EK42" s="1131">
        <v>51.9</v>
      </c>
      <c r="EL42" s="1131">
        <v>56.4</v>
      </c>
      <c r="EM42" s="1131">
        <v>60.3</v>
      </c>
      <c r="EN42" s="1131">
        <v>61.6</v>
      </c>
      <c r="EO42" s="1131">
        <v>63.9</v>
      </c>
      <c r="EP42" s="1131">
        <v>55.4</v>
      </c>
      <c r="EQ42" s="1131">
        <v>51.2</v>
      </c>
      <c r="ER42" s="1131">
        <v>49.5</v>
      </c>
      <c r="ES42" s="1131">
        <v>48.3</v>
      </c>
      <c r="ET42" s="1131">
        <v>47.6</v>
      </c>
      <c r="EU42" s="1131">
        <v>47.5</v>
      </c>
      <c r="EV42" s="1131">
        <v>47.2</v>
      </c>
      <c r="EW42" s="1131">
        <v>47.5</v>
      </c>
      <c r="EX42" s="1131">
        <v>48</v>
      </c>
      <c r="EY42" s="1131">
        <v>48.7</v>
      </c>
      <c r="EZ42" s="1131">
        <v>49.8</v>
      </c>
      <c r="FA42" s="1131">
        <v>51.8</v>
      </c>
      <c r="FB42" s="1131">
        <v>53.4</v>
      </c>
      <c r="FC42" s="1131">
        <v>54.3</v>
      </c>
      <c r="FD42" s="1131">
        <v>65.900000000000006</v>
      </c>
      <c r="FE42" s="1131">
        <v>54.3</v>
      </c>
      <c r="FF42" s="1131">
        <v>53.2</v>
      </c>
      <c r="FG42" s="1131">
        <v>53.4</v>
      </c>
      <c r="FH42" s="1131">
        <v>54.4</v>
      </c>
      <c r="FI42" s="1131">
        <v>56</v>
      </c>
      <c r="FJ42" s="1131">
        <v>58</v>
      </c>
      <c r="FK42" s="1131">
        <v>59.5</v>
      </c>
      <c r="FL42" s="1131">
        <v>59.7</v>
      </c>
      <c r="FM42" s="1131">
        <v>60.6</v>
      </c>
      <c r="FN42" s="1131">
        <v>57.9</v>
      </c>
      <c r="FO42" s="1131">
        <v>57.6</v>
      </c>
      <c r="FP42" s="1131">
        <v>55.8</v>
      </c>
      <c r="FQ42" s="1131">
        <v>58.9</v>
      </c>
      <c r="FR42" s="1131">
        <v>58.9</v>
      </c>
      <c r="FS42" s="1131">
        <v>59.6</v>
      </c>
      <c r="FT42" s="1131">
        <v>59.5</v>
      </c>
      <c r="FU42" s="1131">
        <v>58.9</v>
      </c>
      <c r="FV42" s="1131">
        <v>58.2</v>
      </c>
      <c r="FW42" s="1131">
        <v>58</v>
      </c>
      <c r="FX42" s="1131">
        <v>57.7</v>
      </c>
      <c r="FY42" s="1131">
        <v>56.5</v>
      </c>
      <c r="FZ42" s="1131">
        <v>55.5</v>
      </c>
      <c r="GA42" s="1131">
        <v>55.9</v>
      </c>
      <c r="GB42" s="1131">
        <v>57.2</v>
      </c>
      <c r="GC42" s="1131">
        <v>58.1</v>
      </c>
      <c r="GD42" s="1131">
        <v>60.2</v>
      </c>
      <c r="GE42" s="1131">
        <v>61.8</v>
      </c>
      <c r="GF42" s="1131">
        <v>62.5</v>
      </c>
      <c r="GG42" s="1131">
        <v>60.4</v>
      </c>
      <c r="GH42" s="1131">
        <v>58.8</v>
      </c>
      <c r="GI42" s="1131">
        <v>57.5</v>
      </c>
      <c r="GJ42" s="1131">
        <v>61.4</v>
      </c>
      <c r="GK42" s="1131">
        <v>59.6</v>
      </c>
      <c r="GL42" s="1131">
        <v>58.1</v>
      </c>
      <c r="GM42" s="1131">
        <v>57.7</v>
      </c>
      <c r="GN42" s="1131">
        <v>57.3</v>
      </c>
      <c r="GO42" s="1131">
        <v>77.900000000000006</v>
      </c>
      <c r="GP42" s="1131">
        <v>68.400000000000006</v>
      </c>
      <c r="GQ42" s="1131">
        <v>58.2</v>
      </c>
      <c r="GR42" s="1131">
        <v>80.599999999999994</v>
      </c>
      <c r="GS42" s="1131">
        <v>82.2</v>
      </c>
      <c r="GT42" s="1131">
        <v>80.3</v>
      </c>
      <c r="GU42" s="1131">
        <v>1123.5999999999999</v>
      </c>
      <c r="GV42" s="1131">
        <v>1220.5</v>
      </c>
      <c r="GW42" s="1131">
        <v>618.6</v>
      </c>
      <c r="GX42" s="1131">
        <v>403.8</v>
      </c>
      <c r="GY42" s="1131">
        <v>697</v>
      </c>
    </row>
    <row r="43" spans="1:207" x14ac:dyDescent="0.35">
      <c r="A43" s="1131" t="s">
        <v>239</v>
      </c>
      <c r="B43" s="1131">
        <v>0</v>
      </c>
      <c r="C43" s="1131">
        <v>0</v>
      </c>
      <c r="D43" s="1131">
        <v>0</v>
      </c>
      <c r="E43" s="1131">
        <v>0</v>
      </c>
      <c r="F43" s="1131">
        <v>0</v>
      </c>
      <c r="G43" s="1131">
        <v>0</v>
      </c>
      <c r="H43" s="1131">
        <v>0</v>
      </c>
      <c r="I43" s="1131">
        <v>0</v>
      </c>
      <c r="J43" s="1131">
        <v>0</v>
      </c>
      <c r="K43" s="1131">
        <v>0.1</v>
      </c>
      <c r="L43" s="1131">
        <v>0.1</v>
      </c>
      <c r="M43" s="1131">
        <v>0.1</v>
      </c>
      <c r="N43" s="1131">
        <v>0.1</v>
      </c>
      <c r="O43" s="1131">
        <v>0.1</v>
      </c>
      <c r="P43" s="1131">
        <v>0.1</v>
      </c>
      <c r="Q43" s="1131">
        <v>0.1</v>
      </c>
      <c r="R43" s="1131">
        <v>0.1</v>
      </c>
      <c r="S43" s="1131">
        <v>0.1</v>
      </c>
      <c r="T43" s="1131">
        <v>0.1</v>
      </c>
      <c r="U43" s="1131">
        <v>0.1</v>
      </c>
      <c r="V43" s="1131">
        <v>0.1</v>
      </c>
      <c r="W43" s="1131">
        <v>0.2</v>
      </c>
      <c r="X43" s="1131">
        <v>0.2</v>
      </c>
      <c r="Y43" s="1131">
        <v>0.2</v>
      </c>
      <c r="Z43" s="1131">
        <v>0.2</v>
      </c>
      <c r="AA43" s="1131">
        <v>0.2</v>
      </c>
      <c r="AB43" s="1131">
        <v>0.2</v>
      </c>
      <c r="AC43" s="1131">
        <v>0.2</v>
      </c>
      <c r="AD43" s="1131">
        <v>0.2</v>
      </c>
      <c r="AE43" s="1131">
        <v>0.2</v>
      </c>
      <c r="AF43" s="1131">
        <v>0.2</v>
      </c>
      <c r="AG43" s="1131">
        <v>0.2</v>
      </c>
      <c r="AH43" s="1131">
        <v>0.2</v>
      </c>
      <c r="AI43" s="1131">
        <v>0.2</v>
      </c>
      <c r="AJ43" s="1131">
        <v>0.2</v>
      </c>
      <c r="AK43" s="1131">
        <v>0.3</v>
      </c>
      <c r="AL43" s="1131">
        <v>0.3</v>
      </c>
      <c r="AM43" s="1131">
        <v>0.3</v>
      </c>
      <c r="AN43" s="1131">
        <v>0.3</v>
      </c>
      <c r="AO43" s="1131">
        <v>0.3</v>
      </c>
      <c r="AP43" s="1131">
        <v>0.3</v>
      </c>
      <c r="AQ43" s="1131">
        <v>0.3</v>
      </c>
      <c r="AR43" s="1131">
        <v>0.4</v>
      </c>
      <c r="AS43" s="1131">
        <v>0.4</v>
      </c>
      <c r="AT43" s="1131">
        <v>0.4</v>
      </c>
      <c r="AU43" s="1131">
        <v>0.4</v>
      </c>
      <c r="AV43" s="1131">
        <v>0.4</v>
      </c>
      <c r="AW43" s="1131">
        <v>0.4</v>
      </c>
      <c r="AX43" s="1131">
        <v>0.4</v>
      </c>
      <c r="AY43" s="1131">
        <v>0.5</v>
      </c>
      <c r="AZ43" s="1131">
        <v>0.5</v>
      </c>
      <c r="BA43" s="1131">
        <v>0.5</v>
      </c>
      <c r="BB43" s="1131">
        <v>0.5</v>
      </c>
      <c r="BC43" s="1131">
        <v>0.4</v>
      </c>
      <c r="BD43" s="1131">
        <v>0.4</v>
      </c>
      <c r="BE43" s="1131">
        <v>0.4</v>
      </c>
      <c r="BF43" s="1131">
        <v>0.4</v>
      </c>
      <c r="BG43" s="1131">
        <v>0.4</v>
      </c>
      <c r="BH43" s="1131">
        <v>0.4</v>
      </c>
      <c r="BI43" s="1131">
        <v>0.4</v>
      </c>
      <c r="BJ43" s="1131">
        <v>0.3</v>
      </c>
      <c r="BK43" s="1131">
        <v>0.3</v>
      </c>
      <c r="BL43" s="1131">
        <v>0.3</v>
      </c>
      <c r="BM43" s="1131">
        <v>0.3</v>
      </c>
      <c r="BN43" s="1131">
        <v>0.3</v>
      </c>
      <c r="BO43" s="1131">
        <v>0.3</v>
      </c>
      <c r="BP43" s="1131">
        <v>0.3</v>
      </c>
      <c r="BQ43" s="1131">
        <v>0.3</v>
      </c>
      <c r="BR43" s="1131">
        <v>0.3</v>
      </c>
      <c r="BS43" s="1131">
        <v>0.3</v>
      </c>
      <c r="BT43" s="1131">
        <v>0.3</v>
      </c>
      <c r="BU43" s="1131">
        <v>0.3</v>
      </c>
      <c r="BV43" s="1131">
        <v>0.3</v>
      </c>
      <c r="BW43" s="1131">
        <v>0.3</v>
      </c>
      <c r="BX43" s="1131">
        <v>0.4</v>
      </c>
      <c r="BY43" s="1131">
        <v>0.4</v>
      </c>
      <c r="BZ43" s="1131">
        <v>0.4</v>
      </c>
      <c r="CA43" s="1131">
        <v>0.4</v>
      </c>
      <c r="CB43" s="1131">
        <v>0.4</v>
      </c>
      <c r="CC43" s="1131">
        <v>0.4</v>
      </c>
      <c r="CD43" s="1131">
        <v>0.4</v>
      </c>
      <c r="CE43" s="1131">
        <v>0.4</v>
      </c>
      <c r="CF43" s="1131">
        <v>0.4</v>
      </c>
      <c r="CG43" s="1131">
        <v>0.4</v>
      </c>
      <c r="CH43" s="1131">
        <v>0.4</v>
      </c>
      <c r="CI43" s="1131">
        <v>0.4</v>
      </c>
      <c r="CJ43" s="1131">
        <v>0.4</v>
      </c>
      <c r="CK43" s="1131">
        <v>0.4</v>
      </c>
      <c r="CL43" s="1131">
        <v>0.4</v>
      </c>
      <c r="CM43" s="1131">
        <v>0.4</v>
      </c>
      <c r="CN43" s="1131">
        <v>0.4</v>
      </c>
      <c r="CO43" s="1131">
        <v>0.4</v>
      </c>
      <c r="CP43" s="1131">
        <v>0.4</v>
      </c>
      <c r="CQ43" s="1131">
        <v>0.4</v>
      </c>
      <c r="CR43" s="1131">
        <v>0.4</v>
      </c>
      <c r="CS43" s="1131">
        <v>0.4</v>
      </c>
      <c r="CT43" s="1131">
        <v>0.4</v>
      </c>
      <c r="CU43" s="1131">
        <v>0.3</v>
      </c>
      <c r="CV43" s="1131">
        <v>0.3</v>
      </c>
      <c r="CW43" s="1131">
        <v>0.3</v>
      </c>
      <c r="CX43" s="1131">
        <v>0.3</v>
      </c>
      <c r="CY43" s="1131">
        <v>0.3</v>
      </c>
      <c r="CZ43" s="1131">
        <v>0.3</v>
      </c>
      <c r="DA43" s="1131">
        <v>0.3</v>
      </c>
      <c r="DB43" s="1131">
        <v>0.3</v>
      </c>
      <c r="DC43" s="1131">
        <v>0.3</v>
      </c>
      <c r="DD43" s="1131">
        <v>0.3</v>
      </c>
      <c r="DE43" s="1131">
        <v>0.4</v>
      </c>
      <c r="DF43" s="1131">
        <v>0.4</v>
      </c>
      <c r="DG43" s="1131">
        <v>0.4</v>
      </c>
      <c r="DH43" s="1131">
        <v>0.4</v>
      </c>
      <c r="DI43" s="1131">
        <v>0.5</v>
      </c>
      <c r="DJ43" s="1131">
        <v>0.5</v>
      </c>
      <c r="DK43" s="1131">
        <v>0.5</v>
      </c>
      <c r="DL43" s="1131">
        <v>0.4</v>
      </c>
      <c r="DM43" s="1131">
        <v>0.4</v>
      </c>
      <c r="DN43" s="1131">
        <v>0.4</v>
      </c>
      <c r="DO43" s="1131">
        <v>0.4</v>
      </c>
      <c r="DP43" s="1131">
        <v>0.4</v>
      </c>
      <c r="DQ43" s="1131">
        <v>0.4</v>
      </c>
      <c r="DR43" s="1131">
        <v>0.5</v>
      </c>
      <c r="DS43" s="1131">
        <v>0.5</v>
      </c>
      <c r="DT43" s="1131">
        <v>0.6</v>
      </c>
      <c r="DU43" s="1131">
        <v>0.6</v>
      </c>
      <c r="DV43" s="1131">
        <v>8</v>
      </c>
      <c r="DW43" s="1131">
        <v>14.4</v>
      </c>
      <c r="DX43" s="1131">
        <v>4.8</v>
      </c>
      <c r="DY43" s="1131">
        <v>3.4</v>
      </c>
      <c r="DZ43" s="1131">
        <v>1.8</v>
      </c>
      <c r="EA43" s="1131">
        <v>0.6</v>
      </c>
      <c r="EB43" s="1131">
        <v>1.7</v>
      </c>
      <c r="EC43" s="1131">
        <v>-0.4</v>
      </c>
      <c r="ED43" s="1131">
        <v>0.1</v>
      </c>
      <c r="EE43" s="1131">
        <v>0.3</v>
      </c>
      <c r="EF43" s="1131">
        <v>-1</v>
      </c>
      <c r="EG43" s="1131">
        <v>0.9</v>
      </c>
      <c r="EH43" s="1131">
        <v>0.4</v>
      </c>
      <c r="EI43" s="1131">
        <v>0.4</v>
      </c>
      <c r="EJ43" s="1131">
        <v>0.4</v>
      </c>
      <c r="EK43" s="1131">
        <v>0.4</v>
      </c>
      <c r="EL43" s="1131">
        <v>0.4</v>
      </c>
      <c r="EM43" s="1131">
        <v>0.4</v>
      </c>
      <c r="EN43" s="1131">
        <v>0.4</v>
      </c>
      <c r="EO43" s="1131">
        <v>0.4</v>
      </c>
      <c r="EP43" s="1131">
        <v>0.4</v>
      </c>
      <c r="EQ43" s="1131">
        <v>0.4</v>
      </c>
      <c r="ER43" s="1131">
        <v>0.4</v>
      </c>
      <c r="ES43" s="1131">
        <v>0.4</v>
      </c>
      <c r="ET43" s="1131">
        <v>1.9</v>
      </c>
      <c r="EU43" s="1131">
        <v>10.7</v>
      </c>
      <c r="EV43" s="1131">
        <v>8.8000000000000007</v>
      </c>
      <c r="EW43" s="1131">
        <v>7.2</v>
      </c>
      <c r="EX43" s="1131">
        <v>4</v>
      </c>
      <c r="EY43" s="1131">
        <v>2.9</v>
      </c>
      <c r="EZ43" s="1131">
        <v>2.2000000000000002</v>
      </c>
      <c r="FA43" s="1131">
        <v>2.8</v>
      </c>
      <c r="FB43" s="1131">
        <v>2</v>
      </c>
      <c r="FC43" s="1131">
        <v>1.2</v>
      </c>
      <c r="FD43" s="1131">
        <v>1.2</v>
      </c>
      <c r="FE43" s="1131">
        <v>1.2</v>
      </c>
      <c r="FF43" s="1131">
        <v>1.6</v>
      </c>
      <c r="FG43" s="1131">
        <v>2.1</v>
      </c>
      <c r="FH43" s="1131">
        <v>1.6</v>
      </c>
      <c r="FI43" s="1131">
        <v>1</v>
      </c>
      <c r="FJ43" s="1131">
        <v>0.9</v>
      </c>
      <c r="FK43" s="1131">
        <v>0.4</v>
      </c>
      <c r="FL43" s="1131">
        <v>0.4</v>
      </c>
      <c r="FM43" s="1131">
        <v>0.4</v>
      </c>
      <c r="FN43" s="1131">
        <v>0.5</v>
      </c>
      <c r="FO43" s="1131">
        <v>0.5</v>
      </c>
      <c r="FP43" s="1131">
        <v>0.5</v>
      </c>
      <c r="FQ43" s="1131">
        <v>0.5</v>
      </c>
      <c r="FR43" s="1131">
        <v>0.5</v>
      </c>
      <c r="FS43" s="1131">
        <v>0.5</v>
      </c>
      <c r="FT43" s="1131">
        <v>0.5</v>
      </c>
      <c r="FU43" s="1131">
        <v>0.5</v>
      </c>
      <c r="FV43" s="1131">
        <v>0.5</v>
      </c>
      <c r="FW43" s="1131">
        <v>0.5</v>
      </c>
      <c r="FX43" s="1131">
        <v>0.5</v>
      </c>
      <c r="FY43" s="1131">
        <v>0.5</v>
      </c>
      <c r="FZ43" s="1131">
        <v>0.5</v>
      </c>
      <c r="GA43" s="1131">
        <v>0.5</v>
      </c>
      <c r="GB43" s="1131">
        <v>0.5</v>
      </c>
      <c r="GC43" s="1131">
        <v>0.5</v>
      </c>
      <c r="GD43" s="1131">
        <v>0.5</v>
      </c>
      <c r="GE43" s="1131">
        <v>0.5</v>
      </c>
      <c r="GF43" s="1131">
        <v>0.5</v>
      </c>
      <c r="GG43" s="1131">
        <v>0.5</v>
      </c>
      <c r="GH43" s="1131">
        <v>0.5</v>
      </c>
      <c r="GI43" s="1131">
        <v>0.6</v>
      </c>
      <c r="GJ43" s="1131">
        <v>0.6</v>
      </c>
      <c r="GK43" s="1131">
        <v>0.6</v>
      </c>
      <c r="GL43" s="1131">
        <v>0.6</v>
      </c>
      <c r="GM43" s="1131">
        <v>0.6</v>
      </c>
      <c r="GN43" s="1131">
        <v>0.6</v>
      </c>
      <c r="GO43" s="1131">
        <v>0.6</v>
      </c>
      <c r="GP43" s="1131">
        <v>0.6</v>
      </c>
      <c r="GQ43" s="1131">
        <v>0.6</v>
      </c>
      <c r="GR43" s="1131">
        <v>0.6</v>
      </c>
      <c r="GS43" s="1131">
        <v>0.6</v>
      </c>
      <c r="GT43" s="1131">
        <v>0.6</v>
      </c>
      <c r="GU43" s="1131">
        <v>0.6</v>
      </c>
      <c r="GV43" s="1131">
        <v>0.6</v>
      </c>
      <c r="GW43" s="1131">
        <v>0.6</v>
      </c>
      <c r="GX43" s="1131">
        <v>2.5</v>
      </c>
      <c r="GY43" s="1131">
        <v>8.6</v>
      </c>
    </row>
    <row r="44" spans="1:207" x14ac:dyDescent="0.35">
      <c r="A44" s="1131" t="s">
        <v>240</v>
      </c>
      <c r="B44" s="1131">
        <v>4.7</v>
      </c>
      <c r="C44" s="1131">
        <v>4.8</v>
      </c>
      <c r="D44" s="1131">
        <v>4.7</v>
      </c>
      <c r="E44" s="1131">
        <v>4.8</v>
      </c>
      <c r="F44" s="1131">
        <v>4.8</v>
      </c>
      <c r="G44" s="1131">
        <v>4.8</v>
      </c>
      <c r="H44" s="1131">
        <v>4.5</v>
      </c>
      <c r="I44" s="1131">
        <v>4.5999999999999996</v>
      </c>
      <c r="J44" s="1131">
        <v>6.1</v>
      </c>
      <c r="K44" s="1131">
        <v>6.2</v>
      </c>
      <c r="L44" s="1131">
        <v>7.2</v>
      </c>
      <c r="M44" s="1131">
        <v>7.1</v>
      </c>
      <c r="N44" s="1131">
        <v>5.9</v>
      </c>
      <c r="O44" s="1131">
        <v>5.7</v>
      </c>
      <c r="P44" s="1131">
        <v>4.7</v>
      </c>
      <c r="Q44" s="1131">
        <v>4.5999999999999996</v>
      </c>
      <c r="R44" s="1131">
        <v>3.6</v>
      </c>
      <c r="S44" s="1131">
        <v>2.9</v>
      </c>
      <c r="T44" s="1131">
        <v>3.2</v>
      </c>
      <c r="U44" s="1131">
        <v>3.6</v>
      </c>
      <c r="V44" s="1131">
        <v>4.2</v>
      </c>
      <c r="W44" s="1131">
        <v>4.3</v>
      </c>
      <c r="X44" s="1131">
        <v>4.5999999999999996</v>
      </c>
      <c r="Y44" s="1131">
        <v>4.9000000000000004</v>
      </c>
      <c r="Z44" s="1131">
        <v>5.0999999999999996</v>
      </c>
      <c r="AA44" s="1131">
        <v>4.8</v>
      </c>
      <c r="AB44" s="1131">
        <v>5.0999999999999996</v>
      </c>
      <c r="AC44" s="1131">
        <v>5.5</v>
      </c>
      <c r="AD44" s="1131">
        <v>5.8</v>
      </c>
      <c r="AE44" s="1131">
        <v>5.9</v>
      </c>
      <c r="AF44" s="1131">
        <v>6.4</v>
      </c>
      <c r="AG44" s="1131">
        <v>10.3</v>
      </c>
      <c r="AH44" s="1131">
        <v>8.6999999999999993</v>
      </c>
      <c r="AI44" s="1131">
        <v>8.4</v>
      </c>
      <c r="AJ44" s="1131">
        <v>8.3000000000000007</v>
      </c>
      <c r="AK44" s="1131">
        <v>10.4</v>
      </c>
      <c r="AL44" s="1131">
        <v>8.4</v>
      </c>
      <c r="AM44" s="1131">
        <v>8.8000000000000007</v>
      </c>
      <c r="AN44" s="1131">
        <v>8.1</v>
      </c>
      <c r="AO44" s="1131">
        <v>8.9</v>
      </c>
      <c r="AP44" s="1131">
        <v>9.1999999999999993</v>
      </c>
      <c r="AQ44" s="1131">
        <v>9.6</v>
      </c>
      <c r="AR44" s="1131">
        <v>10.1</v>
      </c>
      <c r="AS44" s="1131">
        <v>10.3</v>
      </c>
      <c r="AT44" s="1131">
        <v>10.6</v>
      </c>
      <c r="AU44" s="1131">
        <v>10.7</v>
      </c>
      <c r="AV44" s="1131">
        <v>11.1</v>
      </c>
      <c r="AW44" s="1131">
        <v>13.5</v>
      </c>
      <c r="AX44" s="1131">
        <v>14</v>
      </c>
      <c r="AY44" s="1131">
        <v>13.6</v>
      </c>
      <c r="AZ44" s="1131">
        <v>13</v>
      </c>
      <c r="BA44" s="1131">
        <v>19.399999999999999</v>
      </c>
      <c r="BB44" s="1131">
        <v>19.899999999999999</v>
      </c>
      <c r="BC44" s="1131">
        <v>21.6</v>
      </c>
      <c r="BD44" s="1131">
        <v>22.2</v>
      </c>
      <c r="BE44" s="1131">
        <v>21.5</v>
      </c>
      <c r="BF44" s="1131">
        <v>21.2</v>
      </c>
      <c r="BG44" s="1131">
        <v>21</v>
      </c>
      <c r="BH44" s="1131">
        <v>20.9</v>
      </c>
      <c r="BI44" s="1131">
        <v>21.2</v>
      </c>
      <c r="BJ44" s="1131">
        <v>21.1</v>
      </c>
      <c r="BK44" s="1131">
        <v>21</v>
      </c>
      <c r="BL44" s="1131">
        <v>21.3</v>
      </c>
      <c r="BM44" s="1131">
        <v>22</v>
      </c>
      <c r="BN44" s="1131">
        <v>23.1</v>
      </c>
      <c r="BO44" s="1131">
        <v>24.2</v>
      </c>
      <c r="BP44" s="1131">
        <v>25.5</v>
      </c>
      <c r="BQ44" s="1131">
        <v>26.8</v>
      </c>
      <c r="BR44" s="1131">
        <v>28.3</v>
      </c>
      <c r="BS44" s="1131">
        <v>30.4</v>
      </c>
      <c r="BT44" s="1131">
        <v>31.3</v>
      </c>
      <c r="BU44" s="1131">
        <v>31.1</v>
      </c>
      <c r="BV44" s="1131">
        <v>30.4</v>
      </c>
      <c r="BW44" s="1131">
        <v>29.8</v>
      </c>
      <c r="BX44" s="1131">
        <v>29.2</v>
      </c>
      <c r="BY44" s="1131">
        <v>28.6</v>
      </c>
      <c r="BZ44" s="1131">
        <v>28</v>
      </c>
      <c r="CA44" s="1131">
        <v>27.4</v>
      </c>
      <c r="CB44" s="1131">
        <v>27.1</v>
      </c>
      <c r="CC44" s="1131">
        <v>27.3</v>
      </c>
      <c r="CD44" s="1131">
        <v>27.1</v>
      </c>
      <c r="CE44" s="1131">
        <v>27</v>
      </c>
      <c r="CF44" s="1131">
        <v>26.9</v>
      </c>
      <c r="CG44" s="1131">
        <v>27</v>
      </c>
      <c r="CH44" s="1131">
        <v>27.1</v>
      </c>
      <c r="CI44" s="1131">
        <v>27.2</v>
      </c>
      <c r="CJ44" s="1131">
        <v>27.5</v>
      </c>
      <c r="CK44" s="1131">
        <v>28.1</v>
      </c>
      <c r="CL44" s="1131">
        <v>28.6</v>
      </c>
      <c r="CM44" s="1131">
        <v>29.2</v>
      </c>
      <c r="CN44" s="1131">
        <v>30.4</v>
      </c>
      <c r="CO44" s="1131">
        <v>32.200000000000003</v>
      </c>
      <c r="CP44" s="1131">
        <v>35.5</v>
      </c>
      <c r="CQ44" s="1131">
        <v>37.6</v>
      </c>
      <c r="CR44" s="1131">
        <v>37.700000000000003</v>
      </c>
      <c r="CS44" s="1131">
        <v>36</v>
      </c>
      <c r="CT44" s="1131">
        <v>33.6</v>
      </c>
      <c r="CU44" s="1131">
        <v>32.4</v>
      </c>
      <c r="CV44" s="1131">
        <v>31.9</v>
      </c>
      <c r="CW44" s="1131">
        <v>32.200000000000003</v>
      </c>
      <c r="CX44" s="1131">
        <v>34</v>
      </c>
      <c r="CY44" s="1131">
        <v>34.6</v>
      </c>
      <c r="CZ44" s="1131">
        <v>35.1</v>
      </c>
      <c r="DA44" s="1131">
        <v>35.5</v>
      </c>
      <c r="DB44" s="1131">
        <v>35.5</v>
      </c>
      <c r="DC44" s="1131">
        <v>35.4</v>
      </c>
      <c r="DD44" s="1131">
        <v>35.200000000000003</v>
      </c>
      <c r="DE44" s="1131">
        <v>34.799999999999997</v>
      </c>
      <c r="DF44" s="1131">
        <v>34.4</v>
      </c>
      <c r="DG44" s="1131">
        <v>33.6</v>
      </c>
      <c r="DH44" s="1131">
        <v>33.4</v>
      </c>
      <c r="DI44" s="1131">
        <v>33.799999999999997</v>
      </c>
      <c r="DJ44" s="1131">
        <v>33.799999999999997</v>
      </c>
      <c r="DK44" s="1131">
        <v>35</v>
      </c>
      <c r="DL44" s="1131">
        <v>36.799999999999997</v>
      </c>
      <c r="DM44" s="1131">
        <v>39.9</v>
      </c>
      <c r="DN44" s="1131">
        <v>42.4</v>
      </c>
      <c r="DO44" s="1131">
        <v>45</v>
      </c>
      <c r="DP44" s="1131">
        <v>46.4</v>
      </c>
      <c r="DQ44" s="1131">
        <v>46.9</v>
      </c>
      <c r="DR44" s="1131">
        <v>45.1</v>
      </c>
      <c r="DS44" s="1131">
        <v>45.5</v>
      </c>
      <c r="DT44" s="1131">
        <v>45.8</v>
      </c>
      <c r="DU44" s="1131">
        <v>47</v>
      </c>
      <c r="DV44" s="1131">
        <v>55.2</v>
      </c>
      <c r="DW44" s="1131">
        <v>62</v>
      </c>
      <c r="DX44" s="1131">
        <v>71.2</v>
      </c>
      <c r="DY44" s="1131">
        <v>46.4</v>
      </c>
      <c r="DZ44" s="1131">
        <v>42.6</v>
      </c>
      <c r="EA44" s="1131">
        <v>39.799999999999997</v>
      </c>
      <c r="EB44" s="1131">
        <v>41.3</v>
      </c>
      <c r="EC44" s="1131">
        <v>41.9</v>
      </c>
      <c r="ED44" s="1131">
        <v>47.1</v>
      </c>
      <c r="EE44" s="1131">
        <v>57.1</v>
      </c>
      <c r="EF44" s="1131">
        <v>45.9</v>
      </c>
      <c r="EG44" s="1131">
        <v>46</v>
      </c>
      <c r="EH44" s="1131">
        <v>44.2</v>
      </c>
      <c r="EI44" s="1131">
        <v>43.7</v>
      </c>
      <c r="EJ44" s="1131">
        <v>45.4</v>
      </c>
      <c r="EK44" s="1131">
        <v>52.3</v>
      </c>
      <c r="EL44" s="1131">
        <v>56.7</v>
      </c>
      <c r="EM44" s="1131">
        <v>60.7</v>
      </c>
      <c r="EN44" s="1131">
        <v>62</v>
      </c>
      <c r="EO44" s="1131">
        <v>64.2</v>
      </c>
      <c r="EP44" s="1131">
        <v>55.7</v>
      </c>
      <c r="EQ44" s="1131">
        <v>51.5</v>
      </c>
      <c r="ER44" s="1131">
        <v>49.9</v>
      </c>
      <c r="ES44" s="1131">
        <v>48.7</v>
      </c>
      <c r="ET44" s="1131">
        <v>49.5</v>
      </c>
      <c r="EU44" s="1131">
        <v>58.2</v>
      </c>
      <c r="EV44" s="1131">
        <v>55.9</v>
      </c>
      <c r="EW44" s="1131">
        <v>54.7</v>
      </c>
      <c r="EX44" s="1131">
        <v>51.9</v>
      </c>
      <c r="EY44" s="1131">
        <v>51.7</v>
      </c>
      <c r="EZ44" s="1131">
        <v>52</v>
      </c>
      <c r="FA44" s="1131">
        <v>54.6</v>
      </c>
      <c r="FB44" s="1131">
        <v>55.4</v>
      </c>
      <c r="FC44" s="1131">
        <v>55.5</v>
      </c>
      <c r="FD44" s="1131">
        <v>67.099999999999994</v>
      </c>
      <c r="FE44" s="1131">
        <v>55.5</v>
      </c>
      <c r="FF44" s="1131">
        <v>54.8</v>
      </c>
      <c r="FG44" s="1131">
        <v>55.5</v>
      </c>
      <c r="FH44" s="1131">
        <v>56</v>
      </c>
      <c r="FI44" s="1131">
        <v>56.9</v>
      </c>
      <c r="FJ44" s="1131">
        <v>58.9</v>
      </c>
      <c r="FK44" s="1131">
        <v>59.9</v>
      </c>
      <c r="FL44" s="1131">
        <v>60.2</v>
      </c>
      <c r="FM44" s="1131">
        <v>61.1</v>
      </c>
      <c r="FN44" s="1131">
        <v>58.4</v>
      </c>
      <c r="FO44" s="1131">
        <v>58.1</v>
      </c>
      <c r="FP44" s="1131">
        <v>56.3</v>
      </c>
      <c r="FQ44" s="1131">
        <v>59.4</v>
      </c>
      <c r="FR44" s="1131">
        <v>59.4</v>
      </c>
      <c r="FS44" s="1131">
        <v>60.1</v>
      </c>
      <c r="FT44" s="1131">
        <v>60</v>
      </c>
      <c r="FU44" s="1131">
        <v>59.4</v>
      </c>
      <c r="FV44" s="1131">
        <v>58.7</v>
      </c>
      <c r="FW44" s="1131">
        <v>58.5</v>
      </c>
      <c r="FX44" s="1131">
        <v>58.2</v>
      </c>
      <c r="FY44" s="1131">
        <v>57</v>
      </c>
      <c r="FZ44" s="1131">
        <v>56</v>
      </c>
      <c r="GA44" s="1131">
        <v>56.4</v>
      </c>
      <c r="GB44" s="1131">
        <v>57.7</v>
      </c>
      <c r="GC44" s="1131">
        <v>58.7</v>
      </c>
      <c r="GD44" s="1131">
        <v>60.7</v>
      </c>
      <c r="GE44" s="1131">
        <v>62.4</v>
      </c>
      <c r="GF44" s="1131">
        <v>63</v>
      </c>
      <c r="GG44" s="1131">
        <v>60.9</v>
      </c>
      <c r="GH44" s="1131">
        <v>59.3</v>
      </c>
      <c r="GI44" s="1131">
        <v>58</v>
      </c>
      <c r="GJ44" s="1131">
        <v>61.9</v>
      </c>
      <c r="GK44" s="1131">
        <v>60.2</v>
      </c>
      <c r="GL44" s="1131">
        <v>58.7</v>
      </c>
      <c r="GM44" s="1131">
        <v>58.2</v>
      </c>
      <c r="GN44" s="1131">
        <v>57.8</v>
      </c>
      <c r="GO44" s="1131">
        <v>78.5</v>
      </c>
      <c r="GP44" s="1131">
        <v>69</v>
      </c>
      <c r="GQ44" s="1131">
        <v>58.8</v>
      </c>
      <c r="GR44" s="1131">
        <v>81.2</v>
      </c>
      <c r="GS44" s="1131">
        <v>82.8</v>
      </c>
      <c r="GT44" s="1131">
        <v>80.900000000000006</v>
      </c>
      <c r="GU44" s="1131">
        <v>1124.3</v>
      </c>
      <c r="GV44" s="1131">
        <v>1221.2</v>
      </c>
      <c r="GW44" s="1131">
        <v>619.20000000000005</v>
      </c>
      <c r="GX44" s="1131">
        <v>406.3</v>
      </c>
      <c r="GY44" s="1131">
        <v>705.6</v>
      </c>
    </row>
    <row r="45" spans="1:207" x14ac:dyDescent="0.35">
      <c r="A45" s="1131" t="s">
        <v>241</v>
      </c>
      <c r="GU45" s="1131">
        <v>1078.0999999999999</v>
      </c>
      <c r="GV45" s="1131">
        <v>15.6</v>
      </c>
      <c r="GW45" s="1131">
        <v>5</v>
      </c>
      <c r="GX45" s="1131">
        <v>1933.7</v>
      </c>
      <c r="GY45" s="1131">
        <v>290.10000000000002</v>
      </c>
    </row>
    <row r="46" spans="1:207" x14ac:dyDescent="0.35">
      <c r="A46" s="1131" t="s">
        <v>242</v>
      </c>
      <c r="GU46" s="1131">
        <v>9.6</v>
      </c>
      <c r="GV46" s="1131">
        <v>14.4</v>
      </c>
      <c r="GW46" s="1131">
        <v>14.3</v>
      </c>
      <c r="GX46" s="1131">
        <v>14.2</v>
      </c>
      <c r="GY46" s="1131">
        <v>14.1</v>
      </c>
    </row>
    <row r="47" spans="1:207" x14ac:dyDescent="0.35">
      <c r="A47" s="1131" t="s">
        <v>243</v>
      </c>
      <c r="GU47" s="1131">
        <v>57.2</v>
      </c>
      <c r="GV47" s="1131">
        <v>81.2</v>
      </c>
      <c r="GW47" s="1131">
        <v>24.4</v>
      </c>
      <c r="GX47" s="1131">
        <v>10.8</v>
      </c>
      <c r="GY47" s="1131">
        <v>24.7</v>
      </c>
    </row>
    <row r="48" spans="1:207" x14ac:dyDescent="0.35">
      <c r="A48" s="1131" t="s">
        <v>244</v>
      </c>
      <c r="GT48" s="1131">
        <v>1.5</v>
      </c>
      <c r="GU48" s="1131">
        <v>160.9</v>
      </c>
      <c r="GV48" s="1131">
        <v>58.4</v>
      </c>
      <c r="GW48" s="1131">
        <v>34.5</v>
      </c>
      <c r="GX48" s="1131">
        <v>42.8</v>
      </c>
      <c r="GY48" s="1131">
        <v>26.6</v>
      </c>
    </row>
    <row r="49" spans="1:207" x14ac:dyDescent="0.35">
      <c r="A49" s="1131" t="s">
        <v>245</v>
      </c>
      <c r="GU49" s="1131">
        <v>576.9</v>
      </c>
      <c r="GV49" s="1131">
        <v>819.5</v>
      </c>
      <c r="GW49" s="1131">
        <v>246.3</v>
      </c>
      <c r="GX49" s="1131">
        <v>184.6</v>
      </c>
      <c r="GY49" s="1131">
        <v>427.2</v>
      </c>
    </row>
    <row r="50" spans="1:207" x14ac:dyDescent="0.35">
      <c r="A50" s="1131" t="s">
        <v>246</v>
      </c>
      <c r="GU50" s="1131">
        <v>63.8</v>
      </c>
      <c r="GV50" s="1131">
        <v>15</v>
      </c>
      <c r="GW50" s="1131">
        <v>0.1</v>
      </c>
      <c r="GX50" s="1131">
        <v>38</v>
      </c>
      <c r="GY50" s="1131">
        <v>47.3</v>
      </c>
    </row>
    <row r="51" spans="1:207" x14ac:dyDescent="0.35">
      <c r="A51" s="1131" t="s">
        <v>247</v>
      </c>
      <c r="GU51" s="1131">
        <v>73.3</v>
      </c>
      <c r="GV51" s="1131">
        <v>73.3</v>
      </c>
      <c r="GW51" s="1131">
        <v>73.3</v>
      </c>
      <c r="GX51" s="1131">
        <v>62.9</v>
      </c>
      <c r="GY51" s="1131">
        <v>62.9</v>
      </c>
    </row>
    <row r="52" spans="1:207" x14ac:dyDescent="0.35">
      <c r="A52" s="1131" t="s">
        <v>248</v>
      </c>
      <c r="GU52" s="1131">
        <v>22</v>
      </c>
      <c r="GV52" s="1131">
        <v>25.3</v>
      </c>
      <c r="GW52" s="1131">
        <v>11.8</v>
      </c>
      <c r="GX52" s="1131">
        <v>9.8000000000000007</v>
      </c>
      <c r="GY52" s="1131">
        <v>12.3</v>
      </c>
    </row>
    <row r="53" spans="1:207" x14ac:dyDescent="0.35">
      <c r="A53" s="1131" t="s">
        <v>249</v>
      </c>
      <c r="GU53" s="1131">
        <v>16.899999999999999</v>
      </c>
      <c r="GV53" s="1131">
        <v>18.399999999999999</v>
      </c>
      <c r="GW53" s="1131">
        <v>46.2</v>
      </c>
      <c r="GX53" s="1131">
        <v>0.9</v>
      </c>
      <c r="GY53" s="1131">
        <v>14.3</v>
      </c>
    </row>
    <row r="54" spans="1:207" x14ac:dyDescent="0.35">
      <c r="A54" s="1131" t="s">
        <v>250</v>
      </c>
      <c r="GU54" s="1131">
        <v>96.6</v>
      </c>
      <c r="GV54" s="1131">
        <v>35.1</v>
      </c>
      <c r="GW54" s="1131">
        <v>20.7</v>
      </c>
      <c r="GX54" s="1131">
        <v>25.7</v>
      </c>
      <c r="GY54" s="1131">
        <v>16</v>
      </c>
    </row>
    <row r="55" spans="1:207" x14ac:dyDescent="0.35">
      <c r="A55" s="1131" t="s">
        <v>251</v>
      </c>
      <c r="GU55" s="1131">
        <v>140</v>
      </c>
      <c r="GV55" s="1131">
        <v>140</v>
      </c>
      <c r="GW55" s="1131">
        <v>140</v>
      </c>
      <c r="GX55" s="1131">
        <v>8</v>
      </c>
      <c r="GY55" s="1131">
        <v>8</v>
      </c>
    </row>
    <row r="56" spans="1:207" x14ac:dyDescent="0.35">
      <c r="A56" s="1131" t="s">
        <v>1</v>
      </c>
      <c r="GU56" s="1131">
        <v>597.9</v>
      </c>
      <c r="GV56" s="1131">
        <v>0</v>
      </c>
      <c r="GW56" s="1131">
        <v>0</v>
      </c>
      <c r="GX56" s="1131">
        <v>0</v>
      </c>
      <c r="GY56" s="1131">
        <v>785.9</v>
      </c>
    </row>
    <row r="57" spans="1:207" x14ac:dyDescent="0.35">
      <c r="A57" s="1131" t="s">
        <v>2</v>
      </c>
      <c r="GU57" s="1131">
        <v>28.4</v>
      </c>
      <c r="GV57" s="1131">
        <v>15.8</v>
      </c>
      <c r="GW57" s="1131">
        <v>15.2</v>
      </c>
      <c r="GX57" s="1131">
        <v>28.9</v>
      </c>
      <c r="GY57" s="1131">
        <v>67.599999999999994</v>
      </c>
    </row>
    <row r="58" spans="1:207" x14ac:dyDescent="0.35">
      <c r="A58" s="1131" t="s">
        <v>3</v>
      </c>
      <c r="GU58" s="1131">
        <v>64.400000000000006</v>
      </c>
      <c r="GV58" s="1131">
        <v>23.4</v>
      </c>
      <c r="GW58" s="1131">
        <v>13.8</v>
      </c>
      <c r="GX58" s="1131">
        <v>17.100000000000001</v>
      </c>
      <c r="GY58" s="1131">
        <v>10.6</v>
      </c>
    </row>
    <row r="59" spans="1:207" x14ac:dyDescent="0.35">
      <c r="A59" s="1131" t="s">
        <v>195</v>
      </c>
      <c r="GU59" s="1131">
        <v>6.3</v>
      </c>
      <c r="GV59" s="1131">
        <v>26.7</v>
      </c>
      <c r="GW59" s="1131">
        <v>82.1</v>
      </c>
      <c r="GX59" s="1131">
        <v>97.8</v>
      </c>
      <c r="GY59" s="1131">
        <v>104.5</v>
      </c>
    </row>
    <row r="60" spans="1:207" x14ac:dyDescent="0.35">
      <c r="A60" s="1131" t="s">
        <v>196</v>
      </c>
      <c r="GU60" s="1131">
        <v>74.400000000000006</v>
      </c>
      <c r="GV60" s="1131">
        <v>138.30000000000001</v>
      </c>
      <c r="GW60" s="1131">
        <v>106.8</v>
      </c>
      <c r="GX60" s="1131">
        <v>95.3</v>
      </c>
      <c r="GY60" s="1131">
        <v>82.1</v>
      </c>
    </row>
    <row r="61" spans="1:207" x14ac:dyDescent="0.35">
      <c r="A61" s="1131" t="s">
        <v>197</v>
      </c>
      <c r="GU61" s="1131">
        <v>698.9</v>
      </c>
      <c r="GV61" s="1131">
        <v>413.9</v>
      </c>
      <c r="GW61" s="1131">
        <v>14.7</v>
      </c>
      <c r="GX61" s="1131">
        <v>286.89999999999998</v>
      </c>
      <c r="GY61" s="1131">
        <v>237.2</v>
      </c>
    </row>
    <row r="62" spans="1:207" x14ac:dyDescent="0.35">
      <c r="A62" s="1131" t="s">
        <v>252</v>
      </c>
      <c r="GU62" s="1131">
        <v>779.6</v>
      </c>
      <c r="GV62" s="1131">
        <v>582.4</v>
      </c>
      <c r="GW62" s="1131">
        <v>216.6</v>
      </c>
      <c r="GX62" s="1131">
        <v>505</v>
      </c>
      <c r="GY62" s="1131">
        <v>429.7</v>
      </c>
    </row>
    <row r="63" spans="1:207" x14ac:dyDescent="0.35">
      <c r="A63" s="1131" t="s">
        <v>194</v>
      </c>
      <c r="GU63" s="1131">
        <v>0.1</v>
      </c>
      <c r="GV63" s="1131">
        <v>3.7</v>
      </c>
      <c r="GW63" s="1131">
        <v>12.9</v>
      </c>
      <c r="GX63" s="1131">
        <v>25</v>
      </c>
      <c r="GY63" s="1131">
        <v>5.8</v>
      </c>
    </row>
    <row r="64" spans="1:207" x14ac:dyDescent="0.35">
      <c r="A64" s="1131" t="s">
        <v>198</v>
      </c>
      <c r="GV64" s="1131">
        <v>106.2</v>
      </c>
      <c r="GW64" s="1131">
        <v>35.9</v>
      </c>
      <c r="GX64" s="1131">
        <v>1.6</v>
      </c>
      <c r="GY64" s="1131">
        <v>0.6</v>
      </c>
    </row>
    <row r="65" spans="1:207" x14ac:dyDescent="0.35">
      <c r="A65" s="1131" t="s">
        <v>671</v>
      </c>
      <c r="B65" s="1131">
        <v>5.7</v>
      </c>
      <c r="C65" s="1131">
        <v>5.4</v>
      </c>
      <c r="D65" s="1131">
        <v>4.9000000000000004</v>
      </c>
      <c r="E65" s="1131">
        <v>5.0999999999999996</v>
      </c>
      <c r="F65" s="1131">
        <v>5.6</v>
      </c>
      <c r="G65" s="1131">
        <v>6.4</v>
      </c>
      <c r="H65" s="1131">
        <v>5.9</v>
      </c>
      <c r="I65" s="1131">
        <v>5.8</v>
      </c>
      <c r="J65" s="1131">
        <v>5.9</v>
      </c>
      <c r="K65" s="1131">
        <v>5.5</v>
      </c>
      <c r="L65" s="1131">
        <v>7</v>
      </c>
      <c r="M65" s="1131">
        <v>5.9</v>
      </c>
      <c r="N65" s="1131">
        <v>5.9</v>
      </c>
      <c r="O65" s="1131">
        <v>6.4</v>
      </c>
      <c r="P65" s="1131">
        <v>5.5</v>
      </c>
      <c r="Q65" s="1131">
        <v>6.1</v>
      </c>
      <c r="R65" s="1131">
        <v>8</v>
      </c>
      <c r="S65" s="1131">
        <v>8.8000000000000007</v>
      </c>
      <c r="T65" s="1131">
        <v>6.7</v>
      </c>
      <c r="U65" s="1131">
        <v>8.1</v>
      </c>
      <c r="V65" s="1131">
        <v>9</v>
      </c>
      <c r="W65" s="1131">
        <v>8.1</v>
      </c>
      <c r="X65" s="1131">
        <v>11.1</v>
      </c>
      <c r="Y65" s="1131">
        <v>10.7</v>
      </c>
      <c r="Z65" s="1131">
        <v>10.3</v>
      </c>
      <c r="AA65" s="1131">
        <v>10</v>
      </c>
      <c r="AB65" s="1131">
        <v>10.8</v>
      </c>
      <c r="AC65" s="1131">
        <v>11.3</v>
      </c>
      <c r="AD65" s="1131">
        <v>10.9</v>
      </c>
      <c r="AE65" s="1131">
        <v>10.9</v>
      </c>
      <c r="AF65" s="1131">
        <v>12.1</v>
      </c>
      <c r="AG65" s="1131">
        <v>10.9</v>
      </c>
      <c r="AH65" s="1131">
        <v>11.2</v>
      </c>
      <c r="AI65" s="1131">
        <v>11.8</v>
      </c>
      <c r="AJ65" s="1131">
        <v>12.2</v>
      </c>
      <c r="AK65" s="1131">
        <v>12.8</v>
      </c>
      <c r="AL65" s="1131">
        <v>13.9</v>
      </c>
      <c r="AM65" s="1131">
        <v>13.4</v>
      </c>
      <c r="AN65" s="1131">
        <v>14.7</v>
      </c>
      <c r="AO65" s="1131">
        <v>16.100000000000001</v>
      </c>
      <c r="AP65" s="1131">
        <v>16.7</v>
      </c>
      <c r="AQ65" s="1131">
        <v>16.899999999999999</v>
      </c>
      <c r="AR65" s="1131">
        <v>16.3</v>
      </c>
      <c r="AS65" s="1131">
        <v>17.100000000000001</v>
      </c>
      <c r="AT65" s="1131">
        <v>16.399999999999999</v>
      </c>
      <c r="AU65" s="1131">
        <v>16</v>
      </c>
      <c r="AV65" s="1131">
        <v>15.1</v>
      </c>
      <c r="AW65" s="1131">
        <v>15.4</v>
      </c>
      <c r="AX65" s="1131">
        <v>14.2</v>
      </c>
      <c r="AY65" s="1131">
        <v>14.9</v>
      </c>
      <c r="AZ65" s="1131">
        <v>14.8</v>
      </c>
      <c r="BA65" s="1131">
        <v>14.7</v>
      </c>
      <c r="BB65" s="1131">
        <v>16.100000000000001</v>
      </c>
      <c r="BC65" s="1131">
        <v>14.3</v>
      </c>
      <c r="BD65" s="1131">
        <v>16</v>
      </c>
      <c r="BE65" s="1131">
        <v>15.9</v>
      </c>
      <c r="BF65" s="1131">
        <v>16.7</v>
      </c>
      <c r="BG65" s="1131">
        <v>17.3</v>
      </c>
      <c r="BH65" s="1131">
        <v>18.2</v>
      </c>
      <c r="BI65" s="1131">
        <v>18.899999999999999</v>
      </c>
      <c r="BJ65" s="1131">
        <v>17.2</v>
      </c>
      <c r="BK65" s="1131">
        <v>19.600000000000001</v>
      </c>
      <c r="BL65" s="1131">
        <v>20.2</v>
      </c>
      <c r="BM65" s="1131">
        <v>21.3</v>
      </c>
      <c r="BN65" s="1131">
        <v>19.8</v>
      </c>
      <c r="BO65" s="1131">
        <v>20.7</v>
      </c>
      <c r="BP65" s="1131">
        <v>21.4</v>
      </c>
      <c r="BQ65" s="1131">
        <v>18.399999999999999</v>
      </c>
      <c r="BR65" s="1131">
        <v>18.899999999999999</v>
      </c>
      <c r="BS65" s="1131">
        <v>19.7</v>
      </c>
      <c r="BT65" s="1131">
        <v>19</v>
      </c>
      <c r="BU65" s="1131">
        <v>18.8</v>
      </c>
      <c r="BV65" s="1131">
        <v>19.100000000000001</v>
      </c>
      <c r="BW65" s="1131">
        <v>20</v>
      </c>
      <c r="BX65" s="1131">
        <v>20.5</v>
      </c>
      <c r="BY65" s="1131">
        <v>19.399999999999999</v>
      </c>
      <c r="BZ65" s="1131">
        <v>20.3</v>
      </c>
      <c r="CA65" s="1131">
        <v>20.100000000000001</v>
      </c>
      <c r="CB65" s="1131">
        <v>19</v>
      </c>
      <c r="CC65" s="1131">
        <v>21.5</v>
      </c>
      <c r="CD65" s="1131">
        <v>22.3</v>
      </c>
      <c r="CE65" s="1131">
        <v>20.3</v>
      </c>
      <c r="CF65" s="1131">
        <v>20.7</v>
      </c>
      <c r="CG65" s="1131">
        <v>49.5</v>
      </c>
      <c r="CH65" s="1131">
        <v>26</v>
      </c>
      <c r="CI65" s="1131">
        <v>22.2</v>
      </c>
      <c r="CJ65" s="1131">
        <v>37.1</v>
      </c>
      <c r="CK65" s="1131">
        <v>20.8</v>
      </c>
      <c r="CL65" s="1131">
        <v>21.6</v>
      </c>
      <c r="CM65" s="1131">
        <v>23.2</v>
      </c>
      <c r="CN65" s="1131">
        <v>22.5</v>
      </c>
      <c r="CO65" s="1131">
        <v>23.2</v>
      </c>
      <c r="CP65" s="1131">
        <v>24.4</v>
      </c>
      <c r="CQ65" s="1131">
        <v>22.6</v>
      </c>
      <c r="CR65" s="1131">
        <v>25.3</v>
      </c>
      <c r="CS65" s="1131">
        <v>24.9</v>
      </c>
      <c r="CT65" s="1131">
        <v>23.8</v>
      </c>
      <c r="CU65" s="1131">
        <v>27.5</v>
      </c>
      <c r="CV65" s="1131">
        <v>26.2</v>
      </c>
      <c r="CW65" s="1131">
        <v>26.7</v>
      </c>
      <c r="CX65" s="1131">
        <v>27.9</v>
      </c>
      <c r="CY65" s="1131">
        <v>28.2</v>
      </c>
      <c r="CZ65" s="1131">
        <v>28.4</v>
      </c>
      <c r="DA65" s="1131">
        <v>27</v>
      </c>
      <c r="DB65" s="1131">
        <v>29.3</v>
      </c>
      <c r="DC65" s="1131">
        <v>28.1</v>
      </c>
      <c r="DD65" s="1131">
        <v>27.3</v>
      </c>
      <c r="DE65" s="1131">
        <v>28.9</v>
      </c>
      <c r="DF65" s="1131">
        <v>28.6</v>
      </c>
      <c r="DG65" s="1131">
        <v>29.5</v>
      </c>
      <c r="DH65" s="1131">
        <v>29.7</v>
      </c>
      <c r="DI65" s="1131">
        <v>29</v>
      </c>
      <c r="DJ65" s="1131">
        <v>27.3</v>
      </c>
      <c r="DK65" s="1131">
        <v>27.5</v>
      </c>
      <c r="DL65" s="1131">
        <v>29.4</v>
      </c>
      <c r="DM65" s="1131">
        <v>31.5</v>
      </c>
      <c r="DN65" s="1131">
        <v>29.2</v>
      </c>
      <c r="DO65" s="1131">
        <v>33.9</v>
      </c>
      <c r="DP65" s="1131">
        <v>35.9</v>
      </c>
      <c r="DQ65" s="1131">
        <v>56.3</v>
      </c>
      <c r="DR65" s="1131">
        <v>38</v>
      </c>
      <c r="DS65" s="1131">
        <v>37.9</v>
      </c>
      <c r="DT65" s="1131">
        <v>39.4</v>
      </c>
      <c r="DU65" s="1131">
        <v>49.6</v>
      </c>
      <c r="DV65" s="1131">
        <v>40.9</v>
      </c>
      <c r="DW65" s="1131">
        <v>43.8</v>
      </c>
      <c r="DX65" s="1131">
        <v>44.3</v>
      </c>
      <c r="DY65" s="1131">
        <v>45.3</v>
      </c>
      <c r="DZ65" s="1131">
        <v>59.6</v>
      </c>
      <c r="EA65" s="1131">
        <v>47.2</v>
      </c>
      <c r="EB65" s="1131">
        <v>43.2</v>
      </c>
      <c r="EC65" s="1131">
        <v>63.5</v>
      </c>
      <c r="ED65" s="1131">
        <v>65.7</v>
      </c>
      <c r="EE65" s="1131">
        <v>75.5</v>
      </c>
      <c r="EF65" s="1131">
        <v>71.5</v>
      </c>
      <c r="EG65" s="1131">
        <v>66.400000000000006</v>
      </c>
      <c r="EH65" s="1131">
        <v>75.3</v>
      </c>
      <c r="EI65" s="1131">
        <v>65.2</v>
      </c>
      <c r="EJ65" s="1131">
        <v>74.7</v>
      </c>
      <c r="EK65" s="1131">
        <v>70.2</v>
      </c>
      <c r="EL65" s="1131">
        <v>90.6</v>
      </c>
      <c r="EM65" s="1131">
        <v>75</v>
      </c>
      <c r="EN65" s="1131">
        <v>141.5</v>
      </c>
      <c r="EO65" s="1131">
        <v>82.9</v>
      </c>
      <c r="EP65" s="1131">
        <v>80.5</v>
      </c>
      <c r="EQ65" s="1131">
        <v>77.5</v>
      </c>
      <c r="ER65" s="1131">
        <v>74.8</v>
      </c>
      <c r="ES65" s="1131">
        <v>73.900000000000006</v>
      </c>
      <c r="ET65" s="1131">
        <v>90.3</v>
      </c>
      <c r="EU65" s="1131">
        <v>86.5</v>
      </c>
      <c r="EV65" s="1131">
        <v>86.3</v>
      </c>
      <c r="EW65" s="1131">
        <v>80.400000000000006</v>
      </c>
      <c r="EX65" s="1131">
        <v>87</v>
      </c>
      <c r="EY65" s="1131">
        <v>81.400000000000006</v>
      </c>
      <c r="EZ65" s="1131">
        <v>91.2</v>
      </c>
      <c r="FA65" s="1131">
        <v>348.6</v>
      </c>
      <c r="FB65" s="1131">
        <v>301.2</v>
      </c>
      <c r="FC65" s="1131">
        <v>226</v>
      </c>
      <c r="FD65" s="1131">
        <v>144.9</v>
      </c>
      <c r="FE65" s="1131">
        <v>178.4</v>
      </c>
      <c r="FF65" s="1131">
        <v>164.3</v>
      </c>
      <c r="FG65" s="1131">
        <v>195.8</v>
      </c>
      <c r="FH65" s="1131">
        <v>122.5</v>
      </c>
      <c r="FI65" s="1131">
        <v>110</v>
      </c>
      <c r="FJ65" s="1131">
        <v>110.2</v>
      </c>
      <c r="FK65" s="1131">
        <v>142.19999999999999</v>
      </c>
      <c r="FL65" s="1131">
        <v>122.8</v>
      </c>
      <c r="FM65" s="1131">
        <v>149.69999999999999</v>
      </c>
      <c r="FN65" s="1131">
        <v>110.8</v>
      </c>
      <c r="FO65" s="1131">
        <v>93</v>
      </c>
      <c r="FP65" s="1131">
        <v>90.7</v>
      </c>
      <c r="FQ65" s="1131">
        <v>125.3</v>
      </c>
      <c r="FR65" s="1131">
        <v>91.2</v>
      </c>
      <c r="FS65" s="1131">
        <v>84.4</v>
      </c>
      <c r="FT65" s="1131">
        <v>85.3</v>
      </c>
      <c r="FU65" s="1131">
        <v>79.7</v>
      </c>
      <c r="FV65" s="1131">
        <v>86.8</v>
      </c>
      <c r="FW65" s="1131">
        <v>84.1</v>
      </c>
      <c r="FX65" s="1131">
        <v>83</v>
      </c>
      <c r="FY65" s="1131">
        <v>80.8</v>
      </c>
      <c r="FZ65" s="1131">
        <v>83.2</v>
      </c>
      <c r="GA65" s="1131">
        <v>77.099999999999994</v>
      </c>
      <c r="GB65" s="1131">
        <v>83.9</v>
      </c>
      <c r="GC65" s="1131">
        <v>76.400000000000006</v>
      </c>
      <c r="GD65" s="1131">
        <v>80.900000000000006</v>
      </c>
      <c r="GE65" s="1131">
        <v>77.2</v>
      </c>
      <c r="GF65" s="1131">
        <v>79.599999999999994</v>
      </c>
      <c r="GG65" s="1131">
        <v>84.5</v>
      </c>
      <c r="GH65" s="1131">
        <v>83.7</v>
      </c>
      <c r="GI65" s="1131">
        <v>84.9</v>
      </c>
      <c r="GJ65" s="1131">
        <v>116</v>
      </c>
      <c r="GK65" s="1131">
        <v>80.3</v>
      </c>
      <c r="GL65" s="1131">
        <v>77.900000000000006</v>
      </c>
      <c r="GM65" s="1131">
        <v>85.3</v>
      </c>
      <c r="GN65" s="1131">
        <v>84.4</v>
      </c>
      <c r="GO65" s="1131">
        <v>81.400000000000006</v>
      </c>
      <c r="GP65" s="1131">
        <v>84.5</v>
      </c>
      <c r="GQ65" s="1131">
        <v>77.900000000000006</v>
      </c>
      <c r="GR65" s="1131">
        <v>81</v>
      </c>
      <c r="GS65" s="1131">
        <v>132.30000000000001</v>
      </c>
      <c r="GT65" s="1131">
        <v>92.5</v>
      </c>
      <c r="GU65" s="1131">
        <v>92</v>
      </c>
      <c r="GV65" s="1131">
        <v>92.1</v>
      </c>
      <c r="GW65" s="1131">
        <v>90.4</v>
      </c>
      <c r="GX65" s="1131">
        <v>297.7</v>
      </c>
      <c r="GY65" s="1131">
        <v>89.9</v>
      </c>
    </row>
    <row r="66" spans="1:207" x14ac:dyDescent="0.35">
      <c r="A66" s="1131" t="s">
        <v>598</v>
      </c>
      <c r="B66" s="1131">
        <v>0.58399999999999996</v>
      </c>
      <c r="C66" s="1131">
        <v>0.98</v>
      </c>
      <c r="D66" s="1131">
        <v>1.256</v>
      </c>
      <c r="E66" s="1131">
        <v>1.5920000000000001</v>
      </c>
      <c r="F66" s="1131">
        <v>1.62</v>
      </c>
      <c r="G66" s="1131">
        <v>1.6</v>
      </c>
      <c r="H66" s="1131">
        <v>1.7</v>
      </c>
      <c r="I66" s="1131">
        <v>1.8720000000000001</v>
      </c>
      <c r="J66" s="1131">
        <v>1.8320000000000001</v>
      </c>
      <c r="K66" s="1131">
        <v>1.8240000000000001</v>
      </c>
      <c r="L66" s="1131">
        <v>2.1080000000000001</v>
      </c>
      <c r="M66" s="1131">
        <v>2.1560000000000001</v>
      </c>
      <c r="N66" s="1131">
        <v>2.1560000000000001</v>
      </c>
      <c r="O66" s="1131">
        <v>2.1440000000000001</v>
      </c>
      <c r="P66" s="1131">
        <v>2.2480000000000002</v>
      </c>
      <c r="Q66" s="1131">
        <v>2.2879999999999998</v>
      </c>
      <c r="R66" s="1131">
        <v>3.0640000000000001</v>
      </c>
      <c r="S66" s="1131">
        <v>3.16</v>
      </c>
      <c r="T66" s="1131">
        <v>3.62</v>
      </c>
      <c r="U66" s="1131">
        <v>3.8879999999999999</v>
      </c>
      <c r="V66" s="1131">
        <v>4.3639999999999999</v>
      </c>
      <c r="W66" s="1131">
        <v>4.5119999999999996</v>
      </c>
      <c r="X66" s="1131">
        <v>4.8319999999999999</v>
      </c>
      <c r="Y66" s="1131">
        <v>4.68</v>
      </c>
      <c r="Z66" s="1131">
        <v>4.7679999999999998</v>
      </c>
      <c r="AA66" s="1131">
        <v>4.6760000000000002</v>
      </c>
      <c r="AB66" s="1131">
        <v>4.4160000000000004</v>
      </c>
      <c r="AC66" s="1131">
        <v>4.532</v>
      </c>
      <c r="AD66" s="1131">
        <v>4.4960000000000004</v>
      </c>
      <c r="AE66" s="1131">
        <v>4.3159999999999998</v>
      </c>
      <c r="AF66" s="1131">
        <v>4.38</v>
      </c>
      <c r="AG66" s="1131">
        <v>4.3840000000000003</v>
      </c>
      <c r="AH66" s="1131">
        <v>4.5839999999999996</v>
      </c>
      <c r="AI66" s="1131">
        <v>4.4880000000000004</v>
      </c>
      <c r="AJ66" s="1131">
        <v>4.6719999999999997</v>
      </c>
      <c r="AK66" s="1131">
        <v>4.5960000000000001</v>
      </c>
      <c r="AL66" s="1131">
        <v>5.4240000000000004</v>
      </c>
      <c r="AM66" s="1131">
        <v>5.78</v>
      </c>
      <c r="AN66" s="1131">
        <v>6.88</v>
      </c>
      <c r="AO66" s="1131">
        <v>7.2439999999999998</v>
      </c>
      <c r="AP66" s="1131">
        <v>7.7640000000000002</v>
      </c>
      <c r="AQ66" s="1131">
        <v>8.14</v>
      </c>
      <c r="AR66" s="1131">
        <v>8.44</v>
      </c>
      <c r="AS66" s="1131">
        <v>8.5120000000000005</v>
      </c>
      <c r="AT66" s="1131">
        <v>10.144</v>
      </c>
      <c r="AU66" s="1131">
        <v>10.272</v>
      </c>
      <c r="AV66" s="1131">
        <v>10.16</v>
      </c>
      <c r="AW66" s="1131">
        <v>9.6839999999999993</v>
      </c>
      <c r="AX66" s="1131">
        <v>9.2959999999999994</v>
      </c>
      <c r="AY66" s="1131">
        <v>9.4320000000000004</v>
      </c>
      <c r="AZ66" s="1131">
        <v>9.6760000000000002</v>
      </c>
      <c r="BA66" s="1131">
        <v>11.18</v>
      </c>
      <c r="BB66" s="1131">
        <v>11.288</v>
      </c>
      <c r="BC66" s="1131">
        <v>11.124000000000001</v>
      </c>
      <c r="BD66" s="1131">
        <v>10.964</v>
      </c>
      <c r="BE66" s="1131">
        <v>10.888</v>
      </c>
      <c r="BF66" s="1131">
        <v>10.8</v>
      </c>
      <c r="BG66" s="1131">
        <v>10.624000000000001</v>
      </c>
      <c r="BH66" s="1131">
        <v>10.432</v>
      </c>
      <c r="BI66" s="1131">
        <v>10.82</v>
      </c>
      <c r="BJ66" s="1131">
        <v>10.784000000000001</v>
      </c>
      <c r="BK66" s="1131">
        <v>10.72</v>
      </c>
      <c r="BL66" s="1131">
        <v>10.612</v>
      </c>
      <c r="BM66" s="1131">
        <v>10.644</v>
      </c>
      <c r="BN66" s="1131">
        <v>10.488</v>
      </c>
      <c r="BO66" s="1131">
        <v>10.564</v>
      </c>
      <c r="BP66" s="1131">
        <v>10.576000000000001</v>
      </c>
      <c r="BQ66" s="1131">
        <v>10.584</v>
      </c>
      <c r="BR66" s="1131">
        <v>10.54</v>
      </c>
      <c r="BS66" s="1131">
        <v>10.488</v>
      </c>
      <c r="BT66" s="1131">
        <v>10.311999999999999</v>
      </c>
      <c r="BU66" s="1131">
        <v>11.087999999999999</v>
      </c>
      <c r="BV66" s="1131">
        <v>11.176</v>
      </c>
      <c r="BW66" s="1131">
        <v>11.132</v>
      </c>
      <c r="BX66" s="1131">
        <v>11.052</v>
      </c>
      <c r="BY66" s="1131">
        <v>11.492000000000001</v>
      </c>
      <c r="BZ66" s="1131">
        <v>11.656000000000001</v>
      </c>
      <c r="CA66" s="1131">
        <v>11.712</v>
      </c>
      <c r="CB66" s="1131">
        <v>11.784000000000001</v>
      </c>
      <c r="CC66" s="1131">
        <v>14.148</v>
      </c>
      <c r="CD66" s="1131">
        <v>13.984</v>
      </c>
      <c r="CE66" s="1131">
        <v>14.215999999999999</v>
      </c>
      <c r="CF66" s="1131">
        <v>14.404</v>
      </c>
      <c r="CG66" s="1131">
        <v>16.36</v>
      </c>
      <c r="CH66" s="1131">
        <v>16.995999999999999</v>
      </c>
      <c r="CI66" s="1131">
        <v>17.635999999999999</v>
      </c>
      <c r="CJ66" s="1131">
        <v>18.091999999999999</v>
      </c>
      <c r="CK66" s="1131">
        <v>20.332000000000001</v>
      </c>
      <c r="CL66" s="1131">
        <v>20.596</v>
      </c>
      <c r="CM66" s="1131">
        <v>20.931999999999999</v>
      </c>
      <c r="CN66" s="1131">
        <v>21.792000000000002</v>
      </c>
      <c r="CO66" s="1131">
        <v>21.86</v>
      </c>
      <c r="CP66" s="1131">
        <v>21.82</v>
      </c>
      <c r="CQ66" s="1131">
        <v>22.14</v>
      </c>
      <c r="CR66" s="1131">
        <v>22.204000000000001</v>
      </c>
      <c r="CS66" s="1131">
        <v>22.68</v>
      </c>
      <c r="CT66" s="1131">
        <v>23.06</v>
      </c>
      <c r="CU66" s="1131">
        <v>22.58</v>
      </c>
      <c r="CV66" s="1131">
        <v>22.504000000000001</v>
      </c>
      <c r="CW66" s="1131">
        <v>23.224</v>
      </c>
      <c r="CX66" s="1131">
        <v>22.716000000000001</v>
      </c>
      <c r="CY66" s="1131">
        <v>22.384</v>
      </c>
      <c r="CZ66" s="1131">
        <v>22.052</v>
      </c>
      <c r="DA66" s="1131">
        <v>22.635999999999999</v>
      </c>
      <c r="DB66" s="1131">
        <v>22.564</v>
      </c>
      <c r="DC66" s="1131">
        <v>22.236000000000001</v>
      </c>
      <c r="DD66" s="1131">
        <v>21.852</v>
      </c>
      <c r="DE66" s="1131">
        <v>21.16</v>
      </c>
      <c r="DF66" s="1131">
        <v>20.04</v>
      </c>
      <c r="DG66" s="1131">
        <v>19.076000000000001</v>
      </c>
      <c r="DH66" s="1131">
        <v>18.143999999999998</v>
      </c>
      <c r="DI66" s="1131">
        <v>17.667999999999999</v>
      </c>
      <c r="DJ66" s="1131">
        <v>17.123999999999999</v>
      </c>
      <c r="DK66" s="1131">
        <v>16.579999999999998</v>
      </c>
      <c r="DL66" s="1131">
        <v>15.976000000000001</v>
      </c>
      <c r="DM66" s="1131">
        <v>16.18</v>
      </c>
      <c r="DN66" s="1131">
        <v>15.788</v>
      </c>
      <c r="DO66" s="1131">
        <v>15.464</v>
      </c>
      <c r="DP66" s="1131">
        <v>15.284000000000001</v>
      </c>
      <c r="DQ66" s="1131">
        <v>15.356</v>
      </c>
      <c r="DR66" s="1131">
        <v>13.616</v>
      </c>
      <c r="DS66" s="1131">
        <v>14.896000000000001</v>
      </c>
      <c r="DT66" s="1131">
        <v>14.84</v>
      </c>
      <c r="DU66" s="1131">
        <v>14.907999999999999</v>
      </c>
      <c r="DV66" s="1131">
        <v>15.1</v>
      </c>
      <c r="DW66" s="1131">
        <v>15.536</v>
      </c>
      <c r="DX66" s="1131">
        <v>15.996</v>
      </c>
      <c r="DY66" s="1131">
        <v>17.236000000000001</v>
      </c>
      <c r="DZ66" s="1131">
        <v>17.898</v>
      </c>
      <c r="EA66" s="1131">
        <v>18.222000000000001</v>
      </c>
      <c r="EB66" s="1131">
        <v>18.484999999999999</v>
      </c>
      <c r="EC66" s="1131">
        <v>19.841999999999999</v>
      </c>
      <c r="ED66" s="1131">
        <v>20.652000000000001</v>
      </c>
      <c r="EE66" s="1131">
        <v>21.759</v>
      </c>
      <c r="EF66" s="1131">
        <v>22.788</v>
      </c>
      <c r="EG66" s="1131">
        <v>23.298999999999999</v>
      </c>
      <c r="EH66" s="1131">
        <v>24.085999999999999</v>
      </c>
      <c r="EI66" s="1131">
        <v>24.969000000000001</v>
      </c>
      <c r="EJ66" s="1131">
        <v>25.888000000000002</v>
      </c>
      <c r="EK66" s="1131">
        <v>28.838999999999999</v>
      </c>
      <c r="EL66" s="1131">
        <v>27.844000000000001</v>
      </c>
      <c r="EM66" s="1131">
        <v>28.236999999999998</v>
      </c>
      <c r="EN66" s="1131">
        <v>29.613</v>
      </c>
      <c r="EO66" s="1131">
        <v>32.274000000000001</v>
      </c>
      <c r="EP66" s="1131">
        <v>29.234999999999999</v>
      </c>
      <c r="EQ66" s="1131">
        <v>29.263999999999999</v>
      </c>
      <c r="ER66" s="1131">
        <v>29.344000000000001</v>
      </c>
      <c r="ES66" s="1131">
        <v>29.716999999999999</v>
      </c>
      <c r="ET66" s="1131">
        <v>30</v>
      </c>
      <c r="EU66" s="1131">
        <v>30.391999999999999</v>
      </c>
      <c r="EV66" s="1131">
        <v>30.74</v>
      </c>
      <c r="EW66" s="1131">
        <v>32.552999999999997</v>
      </c>
      <c r="EX66" s="1131">
        <v>33.466000000000001</v>
      </c>
      <c r="EY66" s="1131">
        <v>34.606999999999999</v>
      </c>
      <c r="EZ66" s="1131">
        <v>37.1</v>
      </c>
      <c r="FA66" s="1131">
        <v>42.963999999999999</v>
      </c>
      <c r="FB66" s="1131">
        <v>44.63</v>
      </c>
      <c r="FC66" s="1131">
        <v>55.540999999999997</v>
      </c>
      <c r="FD66" s="1131">
        <v>58.195</v>
      </c>
      <c r="FE66" s="1131">
        <v>60.683</v>
      </c>
      <c r="FF66" s="1131">
        <v>63.749000000000002</v>
      </c>
      <c r="FG66" s="1131">
        <v>65.742999999999995</v>
      </c>
      <c r="FH66" s="1131">
        <v>67.739999999999995</v>
      </c>
      <c r="FI66" s="1131">
        <v>68.828000000000003</v>
      </c>
      <c r="FJ66" s="1131">
        <v>71.063000000000002</v>
      </c>
      <c r="FK66" s="1131">
        <v>72.828999999999994</v>
      </c>
      <c r="FL66" s="1131">
        <v>73.527000000000001</v>
      </c>
      <c r="FM66" s="1131">
        <v>73.492000000000004</v>
      </c>
      <c r="FN66" s="1131">
        <v>74.054000000000002</v>
      </c>
      <c r="FO66" s="1131">
        <v>74.347999999999999</v>
      </c>
      <c r="FP66" s="1131">
        <v>75.343000000000004</v>
      </c>
      <c r="FQ66" s="1131">
        <v>75.66</v>
      </c>
      <c r="FR66" s="1131">
        <v>75.959999999999994</v>
      </c>
      <c r="FS66" s="1131">
        <v>76.039000000000001</v>
      </c>
      <c r="FT66" s="1131">
        <v>75.213999999999999</v>
      </c>
      <c r="FU66" s="1131">
        <v>71.414000000000001</v>
      </c>
      <c r="FV66" s="1131">
        <v>69.317999999999998</v>
      </c>
      <c r="FW66" s="1131">
        <v>69.353999999999999</v>
      </c>
      <c r="FX66" s="1131">
        <v>68.644999999999996</v>
      </c>
      <c r="FY66" s="1131">
        <v>70.316999999999993</v>
      </c>
      <c r="FZ66" s="1131">
        <v>69.766999999999996</v>
      </c>
      <c r="GA66" s="1131">
        <v>69.164000000000001</v>
      </c>
      <c r="GB66" s="1131">
        <v>68.382000000000005</v>
      </c>
      <c r="GC66" s="1131">
        <v>67.638000000000005</v>
      </c>
      <c r="GD66" s="1131">
        <v>67.293999999999997</v>
      </c>
      <c r="GE66" s="1131">
        <v>65.412999999999997</v>
      </c>
      <c r="GF66" s="1131">
        <v>64.802999999999997</v>
      </c>
      <c r="GG66" s="1131">
        <v>64.498999999999995</v>
      </c>
      <c r="GH66" s="1131">
        <v>63.601999999999997</v>
      </c>
      <c r="GI66" s="1131">
        <v>62.271000000000001</v>
      </c>
      <c r="GJ66" s="1131">
        <v>63.802</v>
      </c>
      <c r="GK66" s="1131">
        <v>67.216999999999999</v>
      </c>
      <c r="GL66" s="1131">
        <v>59.726999999999997</v>
      </c>
      <c r="GM66" s="1131">
        <v>58.39</v>
      </c>
      <c r="GN66" s="1131">
        <v>57.319000000000003</v>
      </c>
      <c r="GO66" s="1131">
        <v>57.116</v>
      </c>
      <c r="GP66" s="1131">
        <v>55.898000000000003</v>
      </c>
      <c r="GQ66" s="1131">
        <v>54.478000000000002</v>
      </c>
      <c r="GR66" s="1131">
        <v>54.216000000000001</v>
      </c>
      <c r="GS66" s="1131">
        <v>54.152999999999999</v>
      </c>
      <c r="GT66" s="1131">
        <v>57.268000000000001</v>
      </c>
      <c r="GU66" s="1131">
        <v>92.045000000000002</v>
      </c>
      <c r="GV66" s="1131">
        <v>92.712999999999994</v>
      </c>
      <c r="GW66" s="1131">
        <v>93.037000000000006</v>
      </c>
      <c r="GX66" s="1131">
        <v>109.65300000000001</v>
      </c>
      <c r="GY66" s="1131">
        <v>128.93899999999999</v>
      </c>
    </row>
    <row r="67" spans="1:207" x14ac:dyDescent="0.35">
      <c r="A67" s="1131" t="s">
        <v>672</v>
      </c>
      <c r="B67" s="1131">
        <v>38.1</v>
      </c>
      <c r="C67" s="1131">
        <v>38.633333333333297</v>
      </c>
      <c r="D67" s="1131">
        <v>39.033333333333303</v>
      </c>
      <c r="E67" s="1131">
        <v>39.6</v>
      </c>
      <c r="F67" s="1131">
        <v>39.933333333333302</v>
      </c>
      <c r="G67" s="1131">
        <v>40.299999999999997</v>
      </c>
      <c r="H67" s="1131">
        <v>40.700000000000003</v>
      </c>
      <c r="I67" s="1131">
        <v>41</v>
      </c>
      <c r="J67" s="1131">
        <v>41.3333333333333</v>
      </c>
      <c r="K67" s="1131">
        <v>41.6</v>
      </c>
      <c r="L67" s="1131">
        <v>41.933333333333302</v>
      </c>
      <c r="M67" s="1131">
        <v>42.366666666666703</v>
      </c>
      <c r="N67" s="1131">
        <v>43.033333333333303</v>
      </c>
      <c r="O67" s="1131">
        <v>43.933333333333302</v>
      </c>
      <c r="P67" s="1131">
        <v>44.8</v>
      </c>
      <c r="Q67" s="1131">
        <v>45.933333333333302</v>
      </c>
      <c r="R67" s="1131">
        <v>47.3</v>
      </c>
      <c r="S67" s="1131">
        <v>48.566666666666698</v>
      </c>
      <c r="T67" s="1131">
        <v>49.933333333333302</v>
      </c>
      <c r="U67" s="1131">
        <v>51.466666666666697</v>
      </c>
      <c r="V67" s="1131">
        <v>52.566666666666698</v>
      </c>
      <c r="W67" s="1131">
        <v>53.2</v>
      </c>
      <c r="X67" s="1131">
        <v>54.266666666666701</v>
      </c>
      <c r="Y67" s="1131">
        <v>55.266666666666701</v>
      </c>
      <c r="Z67" s="1131">
        <v>55.9</v>
      </c>
      <c r="AA67" s="1131">
        <v>56.4</v>
      </c>
      <c r="AB67" s="1131">
        <v>57.3</v>
      </c>
      <c r="AC67" s="1131">
        <v>58.133333333333297</v>
      </c>
      <c r="AD67" s="1131">
        <v>59.2</v>
      </c>
      <c r="AE67" s="1131">
        <v>60.233333333333299</v>
      </c>
      <c r="AF67" s="1131">
        <v>61.066666666666698</v>
      </c>
      <c r="AG67" s="1131">
        <v>61.966666666666697</v>
      </c>
      <c r="AH67" s="1131">
        <v>63.033333333333303</v>
      </c>
      <c r="AI67" s="1131">
        <v>64.466666666666697</v>
      </c>
      <c r="AJ67" s="1131">
        <v>65.966666666666697</v>
      </c>
      <c r="AK67" s="1131">
        <v>67.5</v>
      </c>
      <c r="AL67" s="1131">
        <v>69.2</v>
      </c>
      <c r="AM67" s="1131">
        <v>71.400000000000006</v>
      </c>
      <c r="AN67" s="1131">
        <v>73.7</v>
      </c>
      <c r="AO67" s="1131">
        <v>76.033333333333303</v>
      </c>
      <c r="AP67" s="1131">
        <v>79.033333333333303</v>
      </c>
      <c r="AQ67" s="1131">
        <v>81.7</v>
      </c>
      <c r="AR67" s="1131">
        <v>83.233333333333306</v>
      </c>
      <c r="AS67" s="1131">
        <v>85.566666666666706</v>
      </c>
      <c r="AT67" s="1131">
        <v>87.933333333333294</v>
      </c>
      <c r="AU67" s="1131">
        <v>89.766666666666694</v>
      </c>
      <c r="AV67" s="1131">
        <v>92.266666666666694</v>
      </c>
      <c r="AW67" s="1131">
        <v>93.766666666666694</v>
      </c>
      <c r="AX67" s="1131">
        <v>94.6</v>
      </c>
      <c r="AY67" s="1131">
        <v>95.966666666666697</v>
      </c>
      <c r="AZ67" s="1131">
        <v>97.633333333333297</v>
      </c>
      <c r="BA67" s="1131">
        <v>97.933333333333294</v>
      </c>
      <c r="BB67" s="1131">
        <v>98</v>
      </c>
      <c r="BC67" s="1131">
        <v>99.133333333333297</v>
      </c>
      <c r="BD67" s="1131">
        <v>100.1</v>
      </c>
      <c r="BE67" s="1131">
        <v>101.1</v>
      </c>
      <c r="BF67" s="1131">
        <v>102.533333333333</v>
      </c>
      <c r="BG67" s="1131">
        <v>103.5</v>
      </c>
      <c r="BH67" s="1131">
        <v>104.4</v>
      </c>
      <c r="BI67" s="1131">
        <v>105.3</v>
      </c>
      <c r="BJ67" s="1131">
        <v>106.26666666666701</v>
      </c>
      <c r="BK67" s="1131">
        <v>107.23333333333299</v>
      </c>
      <c r="BL67" s="1131">
        <v>107.9</v>
      </c>
      <c r="BM67" s="1131">
        <v>109</v>
      </c>
      <c r="BN67" s="1131">
        <v>109.566666666667</v>
      </c>
      <c r="BO67" s="1131">
        <v>109.033333333333</v>
      </c>
      <c r="BP67" s="1131">
        <v>109.7</v>
      </c>
      <c r="BQ67" s="1131">
        <v>110.466666666667</v>
      </c>
      <c r="BR67" s="1131">
        <v>111.8</v>
      </c>
      <c r="BS67" s="1131">
        <v>113.066666666667</v>
      </c>
      <c r="BT67" s="1131">
        <v>114.26666666666701</v>
      </c>
      <c r="BU67" s="1131">
        <v>115.333333333333</v>
      </c>
      <c r="BV67" s="1131">
        <v>116.23333333333299</v>
      </c>
      <c r="BW67" s="1131">
        <v>117.566666666667</v>
      </c>
      <c r="BX67" s="1131">
        <v>119</v>
      </c>
      <c r="BY67" s="1131">
        <v>120.3</v>
      </c>
      <c r="BZ67" s="1131">
        <v>121.666666666667</v>
      </c>
      <c r="CA67" s="1131">
        <v>123.633333333333</v>
      </c>
      <c r="CB67" s="1131">
        <v>124.6</v>
      </c>
      <c r="CC67" s="1131">
        <v>125.866666666667</v>
      </c>
      <c r="CD67" s="1131">
        <v>128.03333333333299</v>
      </c>
      <c r="CE67" s="1131">
        <v>129.30000000000001</v>
      </c>
      <c r="CF67" s="1131">
        <v>131.53333333333299</v>
      </c>
      <c r="CG67" s="1131">
        <v>133.76666666666699</v>
      </c>
      <c r="CH67" s="1131">
        <v>134.76666666666699</v>
      </c>
      <c r="CI67" s="1131">
        <v>135.566666666667</v>
      </c>
      <c r="CJ67" s="1131">
        <v>136.6</v>
      </c>
      <c r="CK67" s="1131">
        <v>137.73333333333301</v>
      </c>
      <c r="CL67" s="1131">
        <v>138.666666666667</v>
      </c>
      <c r="CM67" s="1131">
        <v>139.73333333333301</v>
      </c>
      <c r="CN67" s="1131">
        <v>140.80000000000001</v>
      </c>
      <c r="CO67" s="1131">
        <v>142.03333333333299</v>
      </c>
      <c r="CP67" s="1131">
        <v>143.066666666667</v>
      </c>
      <c r="CQ67" s="1131">
        <v>144.1</v>
      </c>
      <c r="CR67" s="1131">
        <v>144.76666666666699</v>
      </c>
      <c r="CS67" s="1131">
        <v>145.96666666666701</v>
      </c>
      <c r="CT67" s="1131">
        <v>146.69999999999999</v>
      </c>
      <c r="CU67" s="1131">
        <v>147.53333333333299</v>
      </c>
      <c r="CV67" s="1131">
        <v>148.9</v>
      </c>
      <c r="CW67" s="1131">
        <v>149.76666666666699</v>
      </c>
      <c r="CX67" s="1131">
        <v>150.86666666666699</v>
      </c>
      <c r="CY67" s="1131">
        <v>152.1</v>
      </c>
      <c r="CZ67" s="1131">
        <v>152.86666666666699</v>
      </c>
      <c r="DA67" s="1131">
        <v>153.69999999999999</v>
      </c>
      <c r="DB67" s="1131">
        <v>155.066666666667</v>
      </c>
      <c r="DC67" s="1131">
        <v>156.4</v>
      </c>
      <c r="DD67" s="1131">
        <v>157.30000000000001</v>
      </c>
      <c r="DE67" s="1131">
        <v>158.666666666667</v>
      </c>
      <c r="DF67" s="1131">
        <v>159.63333333333301</v>
      </c>
      <c r="DG67" s="1131">
        <v>160</v>
      </c>
      <c r="DH67" s="1131">
        <v>160.80000000000001</v>
      </c>
      <c r="DI67" s="1131">
        <v>161.666666666667</v>
      </c>
      <c r="DJ67" s="1131">
        <v>162</v>
      </c>
      <c r="DK67" s="1131">
        <v>162.53333333333299</v>
      </c>
      <c r="DL67" s="1131">
        <v>163.36666666666699</v>
      </c>
      <c r="DM67" s="1131">
        <v>164.13333333333301</v>
      </c>
      <c r="DN67" s="1131">
        <v>164.73333333333301</v>
      </c>
      <c r="DO67" s="1131">
        <v>165.96666666666701</v>
      </c>
      <c r="DP67" s="1131">
        <v>167.2</v>
      </c>
      <c r="DQ67" s="1131">
        <v>168.433333333333</v>
      </c>
      <c r="DR67" s="1131">
        <v>170.1</v>
      </c>
      <c r="DS67" s="1131">
        <v>171.433333333333</v>
      </c>
      <c r="DT67" s="1131">
        <v>173</v>
      </c>
      <c r="DU67" s="1131">
        <v>174.23333333333301</v>
      </c>
      <c r="DV67" s="1131">
        <v>175.9</v>
      </c>
      <c r="DW67" s="1131">
        <v>177.13333333333301</v>
      </c>
      <c r="DX67" s="1131">
        <v>177.63333333333301</v>
      </c>
      <c r="DY67" s="1131">
        <v>177.5</v>
      </c>
      <c r="DZ67" s="1131">
        <v>178.066666666667</v>
      </c>
      <c r="EA67" s="1131">
        <v>179.46666666666701</v>
      </c>
      <c r="EB67" s="1131">
        <v>180.433333333333</v>
      </c>
      <c r="EC67" s="1131">
        <v>181.5</v>
      </c>
      <c r="ED67" s="1131">
        <v>183.36666666666699</v>
      </c>
      <c r="EE67" s="1131">
        <v>183.066666666667</v>
      </c>
      <c r="EF67" s="1131">
        <v>184.433333333333</v>
      </c>
      <c r="EG67" s="1131">
        <v>185.13333333333301</v>
      </c>
      <c r="EH67" s="1131">
        <v>186.7</v>
      </c>
      <c r="EI67" s="1131">
        <v>188.166666666667</v>
      </c>
      <c r="EJ67" s="1131">
        <v>189.36666666666699</v>
      </c>
      <c r="EK67" s="1131">
        <v>191.4</v>
      </c>
      <c r="EL67" s="1131">
        <v>192.36666666666699</v>
      </c>
      <c r="EM67" s="1131">
        <v>193.666666666667</v>
      </c>
      <c r="EN67" s="1131">
        <v>196.6</v>
      </c>
      <c r="EO67" s="1131">
        <v>198.433333333333</v>
      </c>
      <c r="EP67" s="1131">
        <v>199.46666666666701</v>
      </c>
      <c r="EQ67" s="1131">
        <v>201.26666666666699</v>
      </c>
      <c r="ER67" s="1131">
        <v>203.166666666667</v>
      </c>
      <c r="ES67" s="1131">
        <v>202.333333333333</v>
      </c>
      <c r="ET67" s="1131">
        <v>204.31700000000001</v>
      </c>
      <c r="EU67" s="1131">
        <v>206.631</v>
      </c>
      <c r="EV67" s="1131">
        <v>207.93899999999999</v>
      </c>
      <c r="EW67" s="1131">
        <v>210.48966666666701</v>
      </c>
      <c r="EX67" s="1131">
        <v>212.76966666666701</v>
      </c>
      <c r="EY67" s="1131">
        <v>215.53766666666701</v>
      </c>
      <c r="EZ67" s="1131">
        <v>218.86099999999999</v>
      </c>
      <c r="FA67" s="1131">
        <v>213.84866666666699</v>
      </c>
      <c r="FB67" s="1131">
        <v>212.37766666666701</v>
      </c>
      <c r="FC67" s="1131">
        <v>213.50700000000001</v>
      </c>
      <c r="FD67" s="1131">
        <v>215.34399999999999</v>
      </c>
      <c r="FE67" s="1131">
        <v>217.03</v>
      </c>
      <c r="FF67" s="1131">
        <v>217.374</v>
      </c>
      <c r="FG67" s="1131">
        <v>217.297333333333</v>
      </c>
      <c r="FH67" s="1131">
        <v>217.934333333333</v>
      </c>
      <c r="FI67" s="1131">
        <v>219.69900000000001</v>
      </c>
      <c r="FJ67" s="1131">
        <v>222.04366666666701</v>
      </c>
      <c r="FK67" s="1131">
        <v>224.56833333333299</v>
      </c>
      <c r="FL67" s="1131">
        <v>226.03266666666701</v>
      </c>
      <c r="FM67" s="1131">
        <v>227.047333333333</v>
      </c>
      <c r="FN67" s="1131">
        <v>228.32599999999999</v>
      </c>
      <c r="FO67" s="1131">
        <v>228.80799999999999</v>
      </c>
      <c r="FP67" s="1131">
        <v>229.84100000000001</v>
      </c>
      <c r="FQ67" s="1131">
        <v>231.369333333333</v>
      </c>
      <c r="FR67" s="1131">
        <v>232.29933333333301</v>
      </c>
      <c r="FS67" s="1131">
        <v>232.04499999999999</v>
      </c>
      <c r="FT67" s="1131">
        <v>233.3</v>
      </c>
      <c r="FU67" s="1131">
        <v>234.16266666666701</v>
      </c>
      <c r="FV67" s="1131">
        <v>235.62100000000001</v>
      </c>
      <c r="FW67" s="1131">
        <v>236.87233333333299</v>
      </c>
      <c r="FX67" s="1131">
        <v>237.47833333333301</v>
      </c>
      <c r="FY67" s="1131">
        <v>236.88833333333301</v>
      </c>
      <c r="FZ67" s="1131">
        <v>235.35499999999999</v>
      </c>
      <c r="GA67" s="1131">
        <v>236.96</v>
      </c>
      <c r="GB67" s="1131">
        <v>237.85499999999999</v>
      </c>
      <c r="GC67" s="1131">
        <v>237.83699999999999</v>
      </c>
      <c r="GD67" s="1131">
        <v>237.689333333333</v>
      </c>
      <c r="GE67" s="1131">
        <v>239.59033333333301</v>
      </c>
      <c r="GF67" s="1131">
        <v>240.607333333333</v>
      </c>
      <c r="GG67" s="1131">
        <v>242.13466666666699</v>
      </c>
      <c r="GH67" s="1131">
        <v>243.75266666666701</v>
      </c>
      <c r="GI67" s="1131">
        <v>244.18700000000001</v>
      </c>
      <c r="GJ67" s="1131">
        <v>245.345333333333</v>
      </c>
      <c r="GK67" s="1131">
        <v>247.25700000000001</v>
      </c>
      <c r="GL67" s="1131">
        <v>249.17933333333301</v>
      </c>
      <c r="GM67" s="1131">
        <v>250.737666666667</v>
      </c>
      <c r="GN67" s="1131">
        <v>251.75433333333299</v>
      </c>
      <c r="GO67" s="1131">
        <v>252.738</v>
      </c>
      <c r="GP67" s="1131">
        <v>253.185666666667</v>
      </c>
      <c r="GQ67" s="1131">
        <v>255.37333333333299</v>
      </c>
      <c r="GR67" s="1131">
        <v>256.191666666667</v>
      </c>
      <c r="GS67" s="1131">
        <v>257.85966666666701</v>
      </c>
      <c r="GT67" s="1131">
        <v>258.5</v>
      </c>
      <c r="GU67" s="1131">
        <v>256.47199999999998</v>
      </c>
      <c r="GV67" s="1131">
        <v>259.421333333333</v>
      </c>
      <c r="GW67" s="1131">
        <v>260.983</v>
      </c>
      <c r="GX67" s="1131">
        <v>263.39499999999998</v>
      </c>
      <c r="GY67" s="1131">
        <v>268.78800000000001</v>
      </c>
    </row>
    <row r="68" spans="1:207" x14ac:dyDescent="0.35">
      <c r="A68" s="1131" t="s">
        <v>253</v>
      </c>
      <c r="B68" s="1131">
        <v>38.299999999999997</v>
      </c>
      <c r="C68" s="1131">
        <v>38.8333333333333</v>
      </c>
      <c r="D68" s="1131">
        <v>39.233333333333299</v>
      </c>
      <c r="E68" s="1131">
        <v>39.799999999999997</v>
      </c>
      <c r="F68" s="1131">
        <v>40.1666666666667</v>
      </c>
      <c r="G68" s="1131">
        <v>40.533333333333303</v>
      </c>
      <c r="H68" s="1131">
        <v>40.966666666666697</v>
      </c>
      <c r="I68" s="1131">
        <v>41.233333333333299</v>
      </c>
      <c r="J68" s="1131">
        <v>41.6</v>
      </c>
      <c r="K68" s="1131">
        <v>41.8</v>
      </c>
      <c r="L68" s="1131">
        <v>42.2</v>
      </c>
      <c r="M68" s="1131">
        <v>42.633333333333297</v>
      </c>
      <c r="N68" s="1131">
        <v>43.266666666666701</v>
      </c>
      <c r="O68" s="1131">
        <v>44.1666666666667</v>
      </c>
      <c r="P68" s="1131">
        <v>45.066666666666698</v>
      </c>
      <c r="Q68" s="1131">
        <v>46.1666666666667</v>
      </c>
      <c r="R68" s="1131">
        <v>47.566666666666698</v>
      </c>
      <c r="S68" s="1131">
        <v>48.766666666666701</v>
      </c>
      <c r="T68" s="1131">
        <v>50.233333333333299</v>
      </c>
      <c r="U68" s="1131">
        <v>51.766666666666701</v>
      </c>
      <c r="V68" s="1131">
        <v>52.866666666666703</v>
      </c>
      <c r="W68" s="1131">
        <v>53.5</v>
      </c>
      <c r="X68" s="1131">
        <v>54.566666666666698</v>
      </c>
      <c r="Y68" s="1131">
        <v>55.566666666666698</v>
      </c>
      <c r="Z68" s="1131">
        <v>56.233333333333299</v>
      </c>
      <c r="AA68" s="1131">
        <v>56.733333333333299</v>
      </c>
      <c r="AB68" s="1131">
        <v>57.6</v>
      </c>
      <c r="AC68" s="1131">
        <v>58.433333333333302</v>
      </c>
      <c r="AD68" s="1131">
        <v>59.533333333333303</v>
      </c>
      <c r="AE68" s="1131">
        <v>60.6</v>
      </c>
      <c r="AF68" s="1131">
        <v>61.433333333333302</v>
      </c>
      <c r="AG68" s="1131">
        <v>62.266666666666701</v>
      </c>
      <c r="AH68" s="1131">
        <v>63.366666666666703</v>
      </c>
      <c r="AI68" s="1131">
        <v>64.766666666666694</v>
      </c>
      <c r="AJ68" s="1131">
        <v>66.233333333333306</v>
      </c>
      <c r="AK68" s="1131">
        <v>67.8333333333333</v>
      </c>
      <c r="AL68" s="1131">
        <v>69.566666666666706</v>
      </c>
      <c r="AM68" s="1131">
        <v>71.900000000000006</v>
      </c>
      <c r="AN68" s="1131">
        <v>74.233333333333306</v>
      </c>
      <c r="AO68" s="1131">
        <v>76.5</v>
      </c>
      <c r="AP68" s="1131">
        <v>79.5</v>
      </c>
      <c r="AQ68" s="1131">
        <v>82.2</v>
      </c>
      <c r="AR68" s="1131">
        <v>83.733333333333306</v>
      </c>
      <c r="AS68" s="1131">
        <v>86.1666666666667</v>
      </c>
      <c r="AT68" s="1131">
        <v>88.466666666666697</v>
      </c>
      <c r="AU68" s="1131">
        <v>90.233333333333306</v>
      </c>
      <c r="AV68" s="1131">
        <v>92.733333333333306</v>
      </c>
      <c r="AW68" s="1131">
        <v>94.1666666666667</v>
      </c>
      <c r="AX68" s="1131">
        <v>94.966666666666697</v>
      </c>
      <c r="AY68" s="1131">
        <v>96.233333333333306</v>
      </c>
      <c r="AZ68" s="1131">
        <v>98</v>
      </c>
      <c r="BA68" s="1131">
        <v>98.3333333333333</v>
      </c>
      <c r="BB68" s="1131">
        <v>98.3</v>
      </c>
      <c r="BC68" s="1131">
        <v>99.433333333333294</v>
      </c>
      <c r="BD68" s="1131">
        <v>100.4</v>
      </c>
      <c r="BE68" s="1131">
        <v>101.166666666667</v>
      </c>
      <c r="BF68" s="1131">
        <v>101.933333333333</v>
      </c>
      <c r="BG68" s="1131">
        <v>102.466666666667</v>
      </c>
      <c r="BH68" s="1131">
        <v>103.933333333333</v>
      </c>
      <c r="BI68" s="1131">
        <v>104.8</v>
      </c>
      <c r="BJ68" s="1131">
        <v>105.666666666667</v>
      </c>
      <c r="BK68" s="1131">
        <v>106.633333333333</v>
      </c>
      <c r="BL68" s="1131">
        <v>107.133333333333</v>
      </c>
      <c r="BM68" s="1131">
        <v>108.2</v>
      </c>
      <c r="BN68" s="1131">
        <v>108.666666666667</v>
      </c>
      <c r="BO68" s="1131">
        <v>107.933333333333</v>
      </c>
      <c r="BP68" s="1131">
        <v>108.5</v>
      </c>
      <c r="BQ68" s="1131">
        <v>109.2</v>
      </c>
      <c r="BR68" s="1131">
        <v>110.666666666667</v>
      </c>
      <c r="BS68" s="1131">
        <v>111.966666666667</v>
      </c>
      <c r="BT68" s="1131">
        <v>113.166666666667</v>
      </c>
      <c r="BU68" s="1131">
        <v>114.166666666667</v>
      </c>
      <c r="BV68" s="1131">
        <v>114.933333333333</v>
      </c>
      <c r="BW68" s="1131">
        <v>116.2</v>
      </c>
      <c r="BX68" s="1131">
        <v>117.73333333333299</v>
      </c>
      <c r="BY68" s="1131">
        <v>118.933333333333</v>
      </c>
      <c r="BZ68" s="1131">
        <v>120.366666666667</v>
      </c>
      <c r="CA68" s="1131">
        <v>122.4</v>
      </c>
      <c r="CB68" s="1131">
        <v>123.26666666666701</v>
      </c>
      <c r="CC68" s="1131">
        <v>124.4</v>
      </c>
      <c r="CD68" s="1131">
        <v>126.566666666667</v>
      </c>
      <c r="CE68" s="1131">
        <v>127.666666666667</v>
      </c>
      <c r="CF68" s="1131">
        <v>129.86666666666699</v>
      </c>
      <c r="CG68" s="1131">
        <v>132.1</v>
      </c>
      <c r="CH68" s="1131">
        <v>132.933333333333</v>
      </c>
      <c r="CI68" s="1131">
        <v>133.73333333333301</v>
      </c>
      <c r="CJ68" s="1131">
        <v>134.63333333333301</v>
      </c>
      <c r="CK68" s="1131">
        <v>135.73333333333301</v>
      </c>
      <c r="CL68" s="1131">
        <v>136.53333333333299</v>
      </c>
      <c r="CM68" s="1131">
        <v>137.566666666667</v>
      </c>
      <c r="CN68" s="1131">
        <v>138.69999999999999</v>
      </c>
      <c r="CO68" s="1131">
        <v>139.80000000000001</v>
      </c>
      <c r="CP68" s="1131">
        <v>140.76666666666699</v>
      </c>
      <c r="CQ68" s="1131">
        <v>141.73333333333301</v>
      </c>
      <c r="CR68" s="1131">
        <v>142.333333333333</v>
      </c>
      <c r="CS68" s="1131">
        <v>143.433333333333</v>
      </c>
      <c r="CT68" s="1131">
        <v>144.03333333333299</v>
      </c>
      <c r="CU68" s="1131">
        <v>144.86666666666699</v>
      </c>
      <c r="CV68" s="1131">
        <v>146.4</v>
      </c>
      <c r="CW68" s="1131">
        <v>147.26666666666699</v>
      </c>
      <c r="CX68" s="1131">
        <v>148.333333333333</v>
      </c>
      <c r="CY68" s="1131">
        <v>149.5</v>
      </c>
      <c r="CZ68" s="1131">
        <v>150.166666666667</v>
      </c>
      <c r="DA68" s="1131">
        <v>151</v>
      </c>
      <c r="DB68" s="1131">
        <v>152.4</v>
      </c>
      <c r="DC68" s="1131">
        <v>153.73333333333301</v>
      </c>
      <c r="DD68" s="1131">
        <v>154.566666666667</v>
      </c>
      <c r="DE68" s="1131">
        <v>155.86666666666699</v>
      </c>
      <c r="DF68" s="1131">
        <v>156.80000000000001</v>
      </c>
      <c r="DG68" s="1131">
        <v>157.1</v>
      </c>
      <c r="DH68" s="1131">
        <v>157.80000000000001</v>
      </c>
      <c r="DI68" s="1131">
        <v>158.53333333333299</v>
      </c>
      <c r="DJ68" s="1131">
        <v>158.73333333333301</v>
      </c>
      <c r="DK68" s="1131">
        <v>159.19999999999999</v>
      </c>
      <c r="DL68" s="1131">
        <v>159.96666666666701</v>
      </c>
      <c r="DM68" s="1131">
        <v>160.76666666666699</v>
      </c>
      <c r="DN68" s="1131">
        <v>161.36666666666699</v>
      </c>
      <c r="DO68" s="1131">
        <v>162.53333333333299</v>
      </c>
      <c r="DP68" s="1131">
        <v>163.9</v>
      </c>
      <c r="DQ68" s="1131">
        <v>165.2</v>
      </c>
      <c r="DR68" s="1131">
        <v>166.833333333333</v>
      </c>
      <c r="DS68" s="1131">
        <v>168.166666666667</v>
      </c>
      <c r="DT68" s="1131">
        <v>169.7</v>
      </c>
      <c r="DU68" s="1131">
        <v>170.833333333333</v>
      </c>
      <c r="DV68" s="1131">
        <v>172.433333333333</v>
      </c>
      <c r="DW68" s="1131">
        <v>173.73333333333301</v>
      </c>
      <c r="DX68" s="1131">
        <v>174.1</v>
      </c>
      <c r="DY68" s="1131">
        <v>173.666666666667</v>
      </c>
      <c r="DZ68" s="1131">
        <v>174.03333333333299</v>
      </c>
      <c r="EA68" s="1131">
        <v>175.53333333333299</v>
      </c>
      <c r="EB68" s="1131">
        <v>176.5</v>
      </c>
      <c r="EC68" s="1131">
        <v>177.46666666666701</v>
      </c>
      <c r="ED68" s="1131">
        <v>179.46666666666701</v>
      </c>
      <c r="EE68" s="1131">
        <v>178.933333333333</v>
      </c>
      <c r="EF68" s="1131">
        <v>180.2</v>
      </c>
      <c r="EG68" s="1131">
        <v>180.73333333333301</v>
      </c>
      <c r="EH68" s="1131">
        <v>182.333333333333</v>
      </c>
      <c r="EI68" s="1131">
        <v>183.666666666667</v>
      </c>
      <c r="EJ68" s="1131">
        <v>184.86666666666699</v>
      </c>
      <c r="EK68" s="1131">
        <v>187.066666666667</v>
      </c>
      <c r="EL68" s="1131">
        <v>187.933333333333</v>
      </c>
      <c r="EM68" s="1131">
        <v>189.23333333333301</v>
      </c>
      <c r="EN68" s="1131">
        <v>192.566666666667</v>
      </c>
      <c r="EO68" s="1131">
        <v>194.2</v>
      </c>
      <c r="EP68" s="1131">
        <v>195.13333333333301</v>
      </c>
      <c r="EQ68" s="1131">
        <v>196.933333333333</v>
      </c>
      <c r="ER68" s="1131">
        <v>198.8</v>
      </c>
      <c r="ES68" s="1131">
        <v>197.566666666667</v>
      </c>
      <c r="ET68" s="1131">
        <v>199.553</v>
      </c>
      <c r="EU68" s="1131">
        <v>202.077</v>
      </c>
      <c r="EV68" s="1131">
        <v>203.37</v>
      </c>
      <c r="EW68" s="1131">
        <v>206.08566666666701</v>
      </c>
      <c r="EX68" s="1131">
        <v>208.51599999999999</v>
      </c>
      <c r="EY68" s="1131">
        <v>211.50266666666701</v>
      </c>
      <c r="EZ68" s="1131">
        <v>215.13</v>
      </c>
      <c r="FA68" s="1131">
        <v>208.838666666667</v>
      </c>
      <c r="FB68" s="1131">
        <v>206.94333333333299</v>
      </c>
      <c r="FC68" s="1131">
        <v>208.39033333333299</v>
      </c>
      <c r="FD68" s="1131">
        <v>210.69499999999999</v>
      </c>
      <c r="FE68" s="1131">
        <v>212.63266666666701</v>
      </c>
      <c r="FF68" s="1131">
        <v>213.23699999999999</v>
      </c>
      <c r="FG68" s="1131">
        <v>213.15066666666701</v>
      </c>
      <c r="FH68" s="1131">
        <v>213.82</v>
      </c>
      <c r="FI68" s="1131">
        <v>215.76400000000001</v>
      </c>
      <c r="FJ68" s="1131">
        <v>218.41566666666699</v>
      </c>
      <c r="FK68" s="1131">
        <v>221.28766666666701</v>
      </c>
      <c r="FL68" s="1131">
        <v>222.738</v>
      </c>
      <c r="FM68" s="1131">
        <v>223.774666666667</v>
      </c>
      <c r="FN68" s="1131">
        <v>225.08733333333299</v>
      </c>
      <c r="FO68" s="1131">
        <v>225.45933333333301</v>
      </c>
      <c r="FP68" s="1131">
        <v>226.357</v>
      </c>
      <c r="FQ68" s="1131">
        <v>227.97166666666701</v>
      </c>
      <c r="FR68" s="1131">
        <v>228.83666666666701</v>
      </c>
      <c r="FS68" s="1131">
        <v>228.40966666666699</v>
      </c>
      <c r="FT68" s="1131">
        <v>229.589</v>
      </c>
      <c r="FU68" s="1131">
        <v>230.43366666666699</v>
      </c>
      <c r="FV68" s="1131">
        <v>231.95</v>
      </c>
      <c r="FW68" s="1131">
        <v>233.101333333333</v>
      </c>
      <c r="FX68" s="1131">
        <v>233.494333333333</v>
      </c>
      <c r="FY68" s="1131">
        <v>232.43100000000001</v>
      </c>
      <c r="FZ68" s="1131">
        <v>230.23666666666699</v>
      </c>
      <c r="GA68" s="1131">
        <v>231.957666666667</v>
      </c>
      <c r="GB68" s="1131">
        <v>232.69333333333299</v>
      </c>
      <c r="GC68" s="1131">
        <v>232.280333333333</v>
      </c>
      <c r="GD68" s="1131">
        <v>231.78100000000001</v>
      </c>
      <c r="GE68" s="1131">
        <v>233.774</v>
      </c>
      <c r="GF68" s="1131">
        <v>234.59666666666701</v>
      </c>
      <c r="GG68" s="1131">
        <v>236.14066666666699</v>
      </c>
      <c r="GH68" s="1131">
        <v>237.75</v>
      </c>
      <c r="GI68" s="1131">
        <v>238.030666666667</v>
      </c>
      <c r="GJ68" s="1131">
        <v>239.2</v>
      </c>
      <c r="GK68" s="1131">
        <v>241.303666666667</v>
      </c>
      <c r="GL68" s="1131">
        <v>243.274333333333</v>
      </c>
      <c r="GM68" s="1131">
        <v>244.81299999999999</v>
      </c>
      <c r="GN68" s="1131">
        <v>245.79300000000001</v>
      </c>
      <c r="GO68" s="1131">
        <v>246.68100000000001</v>
      </c>
      <c r="GP68" s="1131">
        <v>246.76499999999999</v>
      </c>
      <c r="GQ68" s="1131">
        <v>249.00766666666701</v>
      </c>
      <c r="GR68" s="1131">
        <v>249.66499999999999</v>
      </c>
      <c r="GS68" s="1131">
        <v>251.42533333333299</v>
      </c>
      <c r="GT68" s="1131">
        <v>251.88533333333299</v>
      </c>
      <c r="GU68" s="1131">
        <v>249.57599999999999</v>
      </c>
      <c r="GV68" s="1131">
        <v>253.01366666666701</v>
      </c>
      <c r="GW68" s="1131">
        <v>254.68033333333301</v>
      </c>
      <c r="GX68" s="1131">
        <v>257.350666666667</v>
      </c>
      <c r="GY68" s="1131">
        <v>263.125333333333</v>
      </c>
    </row>
    <row r="69" spans="1:207" x14ac:dyDescent="0.35">
      <c r="A69" s="1131" t="s">
        <v>254</v>
      </c>
      <c r="B69" s="1131">
        <v>4942.2</v>
      </c>
      <c r="C69" s="1131">
        <v>4983.3999999999996</v>
      </c>
      <c r="D69" s="1131">
        <v>5023.3</v>
      </c>
      <c r="E69" s="1131">
        <v>5062.2</v>
      </c>
      <c r="F69" s="1131">
        <v>5101.1000000000004</v>
      </c>
      <c r="G69" s="1131">
        <v>5140.8</v>
      </c>
      <c r="H69" s="1131">
        <v>5181</v>
      </c>
      <c r="I69" s="1131">
        <v>5221.8999999999996</v>
      </c>
      <c r="J69" s="1131">
        <v>5263.6</v>
      </c>
      <c r="K69" s="1131">
        <v>5305.9</v>
      </c>
      <c r="L69" s="1131">
        <v>5348.8</v>
      </c>
      <c r="M69" s="1131">
        <v>5392.4</v>
      </c>
      <c r="N69" s="1131">
        <v>5437</v>
      </c>
      <c r="O69" s="1131">
        <v>5483.8</v>
      </c>
      <c r="P69" s="1131">
        <v>5531.1</v>
      </c>
      <c r="Q69" s="1131">
        <v>5579.5</v>
      </c>
      <c r="R69" s="1131">
        <v>5628.5</v>
      </c>
      <c r="S69" s="1131">
        <v>5677.8</v>
      </c>
      <c r="T69" s="1131">
        <v>5726.5</v>
      </c>
      <c r="U69" s="1131">
        <v>5774.5</v>
      </c>
      <c r="V69" s="1131">
        <v>5821.2</v>
      </c>
      <c r="W69" s="1131">
        <v>5866.9</v>
      </c>
      <c r="X69" s="1131">
        <v>5912.2</v>
      </c>
      <c r="Y69" s="1131">
        <v>5957.5</v>
      </c>
      <c r="Z69" s="1131">
        <v>6002.8</v>
      </c>
      <c r="AA69" s="1131">
        <v>6048.8</v>
      </c>
      <c r="AB69" s="1131">
        <v>6096.3</v>
      </c>
      <c r="AC69" s="1131">
        <v>6144.6</v>
      </c>
      <c r="AD69" s="1131">
        <v>6194.4</v>
      </c>
      <c r="AE69" s="1131">
        <v>6245.4</v>
      </c>
      <c r="AF69" s="1131">
        <v>6297.2</v>
      </c>
      <c r="AG69" s="1131">
        <v>6350.4</v>
      </c>
      <c r="AH69" s="1131">
        <v>6404.9</v>
      </c>
      <c r="AI69" s="1131">
        <v>6460.6</v>
      </c>
      <c r="AJ69" s="1131">
        <v>6517.8</v>
      </c>
      <c r="AK69" s="1131">
        <v>6576</v>
      </c>
      <c r="AL69" s="1131">
        <v>6635.8</v>
      </c>
      <c r="AM69" s="1131">
        <v>6693.6</v>
      </c>
      <c r="AN69" s="1131">
        <v>6748.6</v>
      </c>
      <c r="AO69" s="1131">
        <v>6800.1</v>
      </c>
      <c r="AP69" s="1131">
        <v>6847.5</v>
      </c>
      <c r="AQ69" s="1131">
        <v>6890.1</v>
      </c>
      <c r="AR69" s="1131">
        <v>6928.1</v>
      </c>
      <c r="AS69" s="1131">
        <v>6968</v>
      </c>
      <c r="AT69" s="1131">
        <v>7012.1</v>
      </c>
      <c r="AU69" s="1131">
        <v>7059.3</v>
      </c>
      <c r="AV69" s="1131">
        <v>7109.1</v>
      </c>
      <c r="AW69" s="1131">
        <v>7161.4</v>
      </c>
      <c r="AX69" s="1131">
        <v>7215.7</v>
      </c>
      <c r="AY69" s="1131">
        <v>7271.2</v>
      </c>
      <c r="AZ69" s="1131">
        <v>7327.8</v>
      </c>
      <c r="BA69" s="1131">
        <v>7385.4</v>
      </c>
      <c r="BB69" s="1131">
        <v>7443</v>
      </c>
      <c r="BC69" s="1131">
        <v>7501.9</v>
      </c>
      <c r="BD69" s="1131">
        <v>7562.5</v>
      </c>
      <c r="BE69" s="1131">
        <v>7625.6</v>
      </c>
      <c r="BF69" s="1131">
        <v>7691.2</v>
      </c>
      <c r="BG69" s="1131">
        <v>7759.3</v>
      </c>
      <c r="BH69" s="1131">
        <v>7829</v>
      </c>
      <c r="BI69" s="1131">
        <v>7899.9</v>
      </c>
      <c r="BJ69" s="1131">
        <v>7971.2</v>
      </c>
      <c r="BK69" s="1131">
        <v>8042.9</v>
      </c>
      <c r="BL69" s="1131">
        <v>8114.7</v>
      </c>
      <c r="BM69" s="1131">
        <v>8185.9</v>
      </c>
      <c r="BN69" s="1131">
        <v>8256.6</v>
      </c>
      <c r="BO69" s="1131">
        <v>8326.9</v>
      </c>
      <c r="BP69" s="1131">
        <v>8397.1</v>
      </c>
      <c r="BQ69" s="1131">
        <v>8467</v>
      </c>
      <c r="BR69" s="1131">
        <v>8536.4</v>
      </c>
      <c r="BS69" s="1131">
        <v>8605.2000000000007</v>
      </c>
      <c r="BT69" s="1131">
        <v>8673.5</v>
      </c>
      <c r="BU69" s="1131">
        <v>8741.7999999999993</v>
      </c>
      <c r="BV69" s="1131">
        <v>8809.4</v>
      </c>
      <c r="BW69" s="1131">
        <v>8877.1</v>
      </c>
      <c r="BX69" s="1131">
        <v>8944.4</v>
      </c>
      <c r="BY69" s="1131">
        <v>9011.7999999999993</v>
      </c>
      <c r="BZ69" s="1131">
        <v>9078.7999999999993</v>
      </c>
      <c r="CA69" s="1131">
        <v>9145.6</v>
      </c>
      <c r="CB69" s="1131">
        <v>9212.2000000000007</v>
      </c>
      <c r="CC69" s="1131">
        <v>9278.6</v>
      </c>
      <c r="CD69" s="1131">
        <v>9344.2999999999993</v>
      </c>
      <c r="CE69" s="1131">
        <v>9409.5</v>
      </c>
      <c r="CF69" s="1131">
        <v>9473.4</v>
      </c>
      <c r="CG69" s="1131">
        <v>9535.7999999999993</v>
      </c>
      <c r="CH69" s="1131">
        <v>9597.4</v>
      </c>
      <c r="CI69" s="1131">
        <v>9657.7999999999993</v>
      </c>
      <c r="CJ69" s="1131">
        <v>9717.7000000000007</v>
      </c>
      <c r="CK69" s="1131">
        <v>9777.7999999999993</v>
      </c>
      <c r="CL69" s="1131">
        <v>9838.1</v>
      </c>
      <c r="CM69" s="1131">
        <v>9899.4</v>
      </c>
      <c r="CN69" s="1131">
        <v>9962.2000000000007</v>
      </c>
      <c r="CO69" s="1131">
        <v>10025.9</v>
      </c>
      <c r="CP69" s="1131">
        <v>10090.700000000001</v>
      </c>
      <c r="CQ69" s="1131">
        <v>10157</v>
      </c>
      <c r="CR69" s="1131">
        <v>10224.299999999999</v>
      </c>
      <c r="CS69" s="1131">
        <v>10292.6</v>
      </c>
      <c r="CT69" s="1131">
        <v>10361.5</v>
      </c>
      <c r="CU69" s="1131">
        <v>10431</v>
      </c>
      <c r="CV69" s="1131">
        <v>10501.8</v>
      </c>
      <c r="CW69" s="1131">
        <v>10573.4</v>
      </c>
      <c r="CX69" s="1131">
        <v>10645.6</v>
      </c>
      <c r="CY69" s="1131">
        <v>10718.7</v>
      </c>
      <c r="CZ69" s="1131">
        <v>10792.5</v>
      </c>
      <c r="DA69" s="1131">
        <v>10868</v>
      </c>
      <c r="DB69" s="1131">
        <v>10944.9</v>
      </c>
      <c r="DC69" s="1131">
        <v>11026.5</v>
      </c>
      <c r="DD69" s="1131">
        <v>11113.8</v>
      </c>
      <c r="DE69" s="1131">
        <v>11206.7</v>
      </c>
      <c r="DF69" s="1131">
        <v>11304.9</v>
      </c>
      <c r="DG69" s="1131">
        <v>11407.8</v>
      </c>
      <c r="DH69" s="1131">
        <v>11515.8</v>
      </c>
      <c r="DI69" s="1131">
        <v>11627.7</v>
      </c>
      <c r="DJ69" s="1131">
        <v>11743.2</v>
      </c>
      <c r="DK69" s="1131">
        <v>11862.3</v>
      </c>
      <c r="DL69" s="1131">
        <v>11983.8</v>
      </c>
      <c r="DM69" s="1131">
        <v>12107.5</v>
      </c>
      <c r="DN69" s="1131">
        <v>12233.9</v>
      </c>
      <c r="DO69" s="1131">
        <v>12361.8</v>
      </c>
      <c r="DP69" s="1131">
        <v>12491.8</v>
      </c>
      <c r="DQ69" s="1131">
        <v>12624</v>
      </c>
      <c r="DR69" s="1131">
        <v>12757.5</v>
      </c>
      <c r="DS69" s="1131">
        <v>12888.3</v>
      </c>
      <c r="DT69" s="1131">
        <v>13014.4</v>
      </c>
      <c r="DU69" s="1131">
        <v>13134.8</v>
      </c>
      <c r="DV69" s="1131">
        <v>13249.5</v>
      </c>
      <c r="DW69" s="1131">
        <v>13358.1</v>
      </c>
      <c r="DX69" s="1131">
        <v>13461</v>
      </c>
      <c r="DY69" s="1131">
        <v>13558.2</v>
      </c>
      <c r="DZ69" s="1131">
        <v>13650.7</v>
      </c>
      <c r="EA69" s="1131">
        <v>13739.9</v>
      </c>
      <c r="EB69" s="1131">
        <v>13826.9</v>
      </c>
      <c r="EC69" s="1131">
        <v>13912.8</v>
      </c>
      <c r="ED69" s="1131">
        <v>13998.3</v>
      </c>
      <c r="EE69" s="1131">
        <v>14084.6</v>
      </c>
      <c r="EF69" s="1131">
        <v>14171.3</v>
      </c>
      <c r="EG69" s="1131">
        <v>14259.3</v>
      </c>
      <c r="EH69" s="1131">
        <v>14349.4</v>
      </c>
      <c r="EI69" s="1131">
        <v>14441.3</v>
      </c>
      <c r="EJ69" s="1131">
        <v>14535.5</v>
      </c>
      <c r="EK69" s="1131">
        <v>14631.1</v>
      </c>
      <c r="EL69" s="1131">
        <v>14725.1</v>
      </c>
      <c r="EM69" s="1131">
        <v>14816.5</v>
      </c>
      <c r="EN69" s="1131">
        <v>14906.4</v>
      </c>
      <c r="EO69" s="1131">
        <v>14994.3</v>
      </c>
      <c r="EP69" s="1131">
        <v>15079.8</v>
      </c>
      <c r="EQ69" s="1131">
        <v>15163.2</v>
      </c>
      <c r="ER69" s="1131">
        <v>15243</v>
      </c>
      <c r="ES69" s="1131">
        <v>15319</v>
      </c>
      <c r="ET69" s="1131">
        <v>15394.6</v>
      </c>
      <c r="EU69" s="1131">
        <v>15470.2</v>
      </c>
      <c r="EV69" s="1131">
        <v>15546.4</v>
      </c>
      <c r="EW69" s="1131">
        <v>15622</v>
      </c>
      <c r="EX69" s="1131">
        <v>15696.8</v>
      </c>
      <c r="EY69" s="1131">
        <v>15769.3</v>
      </c>
      <c r="EZ69" s="1131">
        <v>15838.1</v>
      </c>
      <c r="FA69" s="1131">
        <v>15903</v>
      </c>
      <c r="FB69" s="1131">
        <v>15962.6</v>
      </c>
      <c r="FC69" s="1131">
        <v>16018.4</v>
      </c>
      <c r="FD69" s="1131">
        <v>16070.9</v>
      </c>
      <c r="FE69" s="1131">
        <v>16122.2</v>
      </c>
      <c r="FF69" s="1131">
        <v>16173.8</v>
      </c>
      <c r="FG69" s="1131">
        <v>16227.2</v>
      </c>
      <c r="FH69" s="1131">
        <v>16283.3</v>
      </c>
      <c r="FI69" s="1131">
        <v>16341.6</v>
      </c>
      <c r="FJ69" s="1131">
        <v>16402.400000000001</v>
      </c>
      <c r="FK69" s="1131">
        <v>16465.5</v>
      </c>
      <c r="FL69" s="1131">
        <v>16531</v>
      </c>
      <c r="FM69" s="1131">
        <v>16598.2</v>
      </c>
      <c r="FN69" s="1131">
        <v>16667</v>
      </c>
      <c r="FO69" s="1131">
        <v>16737.8</v>
      </c>
      <c r="FP69" s="1131">
        <v>16810.099999999999</v>
      </c>
      <c r="FQ69" s="1131">
        <v>16883.7</v>
      </c>
      <c r="FR69" s="1131">
        <v>16958.3</v>
      </c>
      <c r="FS69" s="1131">
        <v>17034.099999999999</v>
      </c>
      <c r="FT69" s="1131">
        <v>17110.5</v>
      </c>
      <c r="FU69" s="1131">
        <v>17187.900000000001</v>
      </c>
      <c r="FV69" s="1131">
        <v>17266.3</v>
      </c>
      <c r="FW69" s="1131">
        <v>17345.599999999999</v>
      </c>
      <c r="FX69" s="1131">
        <v>17426.099999999999</v>
      </c>
      <c r="FY69" s="1131">
        <v>17507.2</v>
      </c>
      <c r="FZ69" s="1131">
        <v>17588.400000000001</v>
      </c>
      <c r="GA69" s="1131">
        <v>17669.599999999999</v>
      </c>
      <c r="GB69" s="1131">
        <v>17750</v>
      </c>
      <c r="GC69" s="1131">
        <v>17829</v>
      </c>
      <c r="GD69" s="1131">
        <v>17906.900000000001</v>
      </c>
      <c r="GE69" s="1131">
        <v>17983.7</v>
      </c>
      <c r="GF69" s="1131">
        <v>18059.3</v>
      </c>
      <c r="GG69" s="1131">
        <v>18134.2</v>
      </c>
      <c r="GH69" s="1131">
        <v>18209.5</v>
      </c>
      <c r="GI69" s="1131">
        <v>18284.5</v>
      </c>
      <c r="GJ69" s="1131">
        <v>18362.099999999999</v>
      </c>
      <c r="GK69" s="1131">
        <v>18441.599999999999</v>
      </c>
      <c r="GL69" s="1131">
        <v>18523.900000000001</v>
      </c>
      <c r="GM69" s="1131">
        <v>18609.599999999999</v>
      </c>
      <c r="GN69" s="1131">
        <v>18698.099999999999</v>
      </c>
      <c r="GO69" s="1131">
        <v>18787.900000000001</v>
      </c>
      <c r="GP69" s="1131">
        <v>18879</v>
      </c>
      <c r="GQ69" s="1131">
        <v>18971.400000000001</v>
      </c>
      <c r="GR69" s="1131">
        <v>19064.099999999999</v>
      </c>
      <c r="GS69" s="1131">
        <v>19157.099999999999</v>
      </c>
      <c r="GT69" s="1131">
        <v>19250.2</v>
      </c>
      <c r="GU69" s="1131">
        <v>19340.2</v>
      </c>
      <c r="GV69" s="1131">
        <v>19424.2</v>
      </c>
      <c r="GW69" s="1131">
        <v>19512</v>
      </c>
      <c r="GX69" s="1131">
        <v>19602.5</v>
      </c>
      <c r="GY69" s="1131">
        <v>19697.400000000001</v>
      </c>
    </row>
    <row r="70" spans="1:207" x14ac:dyDescent="0.35">
      <c r="A70" s="1131" t="s">
        <v>255</v>
      </c>
      <c r="B70" s="1131">
        <v>1052.4000000000001</v>
      </c>
      <c r="C70" s="1131">
        <v>1076</v>
      </c>
      <c r="D70" s="1131">
        <v>1093.5</v>
      </c>
      <c r="E70" s="1131">
        <v>1116.5</v>
      </c>
      <c r="F70" s="1131">
        <v>1142.2</v>
      </c>
      <c r="G70" s="1131">
        <v>1166.2</v>
      </c>
      <c r="H70" s="1131">
        <v>1187.3</v>
      </c>
      <c r="I70" s="1131">
        <v>1206.5999999999999</v>
      </c>
      <c r="J70" s="1131">
        <v>1234.7</v>
      </c>
      <c r="K70" s="1131">
        <v>1252.4000000000001</v>
      </c>
      <c r="L70" s="1131">
        <v>1274.7</v>
      </c>
      <c r="M70" s="1131">
        <v>1301.4000000000001</v>
      </c>
      <c r="N70" s="1131">
        <v>1327.3</v>
      </c>
      <c r="O70" s="1131">
        <v>1359.3</v>
      </c>
      <c r="P70" s="1131">
        <v>1397.7</v>
      </c>
      <c r="Q70" s="1131">
        <v>1438</v>
      </c>
      <c r="R70" s="1131">
        <v>1478</v>
      </c>
      <c r="S70" s="1131">
        <v>1526.2</v>
      </c>
      <c r="T70" s="1131">
        <v>1584.4</v>
      </c>
      <c r="U70" s="1131">
        <v>1644.7</v>
      </c>
      <c r="V70" s="1131">
        <v>1695.6</v>
      </c>
      <c r="W70" s="1131">
        <v>1734.4</v>
      </c>
      <c r="X70" s="1131">
        <v>1778.6</v>
      </c>
      <c r="Y70" s="1131">
        <v>1822.2</v>
      </c>
      <c r="Z70" s="1131">
        <v>1855.5</v>
      </c>
      <c r="AA70" s="1131">
        <v>1888.6</v>
      </c>
      <c r="AB70" s="1131">
        <v>1928</v>
      </c>
      <c r="AC70" s="1131">
        <v>1978.1</v>
      </c>
      <c r="AD70" s="1131">
        <v>2026.2</v>
      </c>
      <c r="AE70" s="1131">
        <v>2071.6999999999998</v>
      </c>
      <c r="AF70" s="1131">
        <v>2114.4</v>
      </c>
      <c r="AG70" s="1131">
        <v>2178.3000000000002</v>
      </c>
      <c r="AH70" s="1131">
        <v>2229</v>
      </c>
      <c r="AI70" s="1131">
        <v>2291.1999999999998</v>
      </c>
      <c r="AJ70" s="1131">
        <v>2350.9</v>
      </c>
      <c r="AK70" s="1131">
        <v>2420.3000000000002</v>
      </c>
      <c r="AL70" s="1131">
        <v>2486.9</v>
      </c>
      <c r="AM70" s="1131">
        <v>2569.9</v>
      </c>
      <c r="AN70" s="1131">
        <v>2647.7</v>
      </c>
      <c r="AO70" s="1131">
        <v>2717.5</v>
      </c>
      <c r="AP70" s="1131">
        <v>2793.8</v>
      </c>
      <c r="AQ70" s="1131">
        <v>2878.2</v>
      </c>
      <c r="AR70" s="1131">
        <v>2958.7</v>
      </c>
      <c r="AS70" s="1131">
        <v>3053.3</v>
      </c>
      <c r="AT70" s="1131">
        <v>3153.5</v>
      </c>
      <c r="AU70" s="1131">
        <v>3237.6</v>
      </c>
      <c r="AV70" s="1131">
        <v>3321.8</v>
      </c>
      <c r="AW70" s="1131">
        <v>3404.1</v>
      </c>
      <c r="AX70" s="1131">
        <v>3477.1</v>
      </c>
      <c r="AY70" s="1131">
        <v>3549.4</v>
      </c>
      <c r="AZ70" s="1131">
        <v>3627.7</v>
      </c>
      <c r="BA70" s="1131">
        <v>3694.2</v>
      </c>
      <c r="BB70" s="1131">
        <v>3751</v>
      </c>
      <c r="BC70" s="1131">
        <v>3808.7</v>
      </c>
      <c r="BD70" s="1131">
        <v>3880.4</v>
      </c>
      <c r="BE70" s="1131">
        <v>3942.4</v>
      </c>
      <c r="BF70" s="1131">
        <v>4016.6</v>
      </c>
      <c r="BG70" s="1131">
        <v>4086.8</v>
      </c>
      <c r="BH70" s="1131">
        <v>4160.2</v>
      </c>
      <c r="BI70" s="1131">
        <v>4229.3</v>
      </c>
      <c r="BJ70" s="1131">
        <v>4309.7</v>
      </c>
      <c r="BK70" s="1131">
        <v>4376.3999999999996</v>
      </c>
      <c r="BL70" s="1131">
        <v>4442.1000000000004</v>
      </c>
      <c r="BM70" s="1131">
        <v>4506.1000000000004</v>
      </c>
      <c r="BN70" s="1131">
        <v>4567.6000000000004</v>
      </c>
      <c r="BO70" s="1131">
        <v>4623.8999999999996</v>
      </c>
      <c r="BP70" s="1131">
        <v>4682.1000000000004</v>
      </c>
      <c r="BQ70" s="1131">
        <v>4746.7</v>
      </c>
      <c r="BR70" s="1131">
        <v>4816.1000000000004</v>
      </c>
      <c r="BS70" s="1131">
        <v>4888.5</v>
      </c>
      <c r="BT70" s="1131">
        <v>4964.7</v>
      </c>
      <c r="BU70" s="1131">
        <v>5043.5</v>
      </c>
      <c r="BV70" s="1131">
        <v>5122.5</v>
      </c>
      <c r="BW70" s="1131">
        <v>5212</v>
      </c>
      <c r="BX70" s="1131">
        <v>5314.3</v>
      </c>
      <c r="BY70" s="1131">
        <v>5400.6</v>
      </c>
      <c r="BZ70" s="1131">
        <v>5497.5</v>
      </c>
      <c r="CA70" s="1131">
        <v>5597</v>
      </c>
      <c r="CB70" s="1131">
        <v>5678.9</v>
      </c>
      <c r="CC70" s="1131">
        <v>5760.6</v>
      </c>
      <c r="CD70" s="1131">
        <v>5863.9</v>
      </c>
      <c r="CE70" s="1131">
        <v>5970.9</v>
      </c>
      <c r="CF70" s="1131">
        <v>6063</v>
      </c>
      <c r="CG70" s="1131">
        <v>6148.4</v>
      </c>
      <c r="CH70" s="1131">
        <v>6248.7</v>
      </c>
      <c r="CI70" s="1131">
        <v>6334.3</v>
      </c>
      <c r="CJ70" s="1131">
        <v>6423.3</v>
      </c>
      <c r="CK70" s="1131">
        <v>6501.3</v>
      </c>
      <c r="CL70" s="1131">
        <v>6565.9</v>
      </c>
      <c r="CM70" s="1131">
        <v>6646.5</v>
      </c>
      <c r="CN70" s="1131">
        <v>6721.3</v>
      </c>
      <c r="CO70" s="1131">
        <v>6810.8</v>
      </c>
      <c r="CP70" s="1131">
        <v>6893.2</v>
      </c>
      <c r="CQ70" s="1131">
        <v>6979.8</v>
      </c>
      <c r="CR70" s="1131">
        <v>7067.8</v>
      </c>
      <c r="CS70" s="1131">
        <v>7153.8</v>
      </c>
      <c r="CT70" s="1131">
        <v>7236.2</v>
      </c>
      <c r="CU70" s="1131">
        <v>7319.9</v>
      </c>
      <c r="CV70" s="1131">
        <v>7411.8</v>
      </c>
      <c r="CW70" s="1131">
        <v>7502.9</v>
      </c>
      <c r="CX70" s="1131">
        <v>7595.1</v>
      </c>
      <c r="CY70" s="1131">
        <v>7684</v>
      </c>
      <c r="CZ70" s="1131">
        <v>7774.9</v>
      </c>
      <c r="DA70" s="1131">
        <v>7867.1</v>
      </c>
      <c r="DB70" s="1131">
        <v>7960.9</v>
      </c>
      <c r="DC70" s="1131">
        <v>8053.4</v>
      </c>
      <c r="DD70" s="1131">
        <v>8143.7</v>
      </c>
      <c r="DE70" s="1131">
        <v>8255.7000000000007</v>
      </c>
      <c r="DF70" s="1131">
        <v>8377.7000000000007</v>
      </c>
      <c r="DG70" s="1131">
        <v>8471.1</v>
      </c>
      <c r="DH70" s="1131">
        <v>8588.4</v>
      </c>
      <c r="DI70" s="1131">
        <v>8700.2999999999993</v>
      </c>
      <c r="DJ70" s="1131">
        <v>8799.6</v>
      </c>
      <c r="DK70" s="1131">
        <v>8909.7999999999993</v>
      </c>
      <c r="DL70" s="1131">
        <v>9039.7999999999993</v>
      </c>
      <c r="DM70" s="1131">
        <v>9158.2000000000007</v>
      </c>
      <c r="DN70" s="1131">
        <v>9288.7000000000007</v>
      </c>
      <c r="DO70" s="1131">
        <v>9419.9</v>
      </c>
      <c r="DP70" s="1131">
        <v>9551.5</v>
      </c>
      <c r="DQ70" s="1131">
        <v>9704.5</v>
      </c>
      <c r="DR70" s="1131">
        <v>9873.9</v>
      </c>
      <c r="DS70" s="1131">
        <v>10035.5</v>
      </c>
      <c r="DT70" s="1131">
        <v>10191.4</v>
      </c>
      <c r="DU70" s="1131">
        <v>10340</v>
      </c>
      <c r="DV70" s="1131">
        <v>10494.1</v>
      </c>
      <c r="DW70" s="1131">
        <v>10644.1</v>
      </c>
      <c r="DX70" s="1131">
        <v>10769.2</v>
      </c>
      <c r="DY70" s="1131">
        <v>10882.9</v>
      </c>
      <c r="DZ70" s="1131">
        <v>10993.3</v>
      </c>
      <c r="EA70" s="1131">
        <v>11104.7</v>
      </c>
      <c r="EB70" s="1131">
        <v>11226.6</v>
      </c>
      <c r="EC70" s="1131">
        <v>11360.4</v>
      </c>
      <c r="ED70" s="1131">
        <v>11482</v>
      </c>
      <c r="EE70" s="1131">
        <v>11586.9</v>
      </c>
      <c r="EF70" s="1131">
        <v>11721.3</v>
      </c>
      <c r="EG70" s="1131">
        <v>11863.9</v>
      </c>
      <c r="EH70" s="1131">
        <v>12027.7</v>
      </c>
      <c r="EI70" s="1131">
        <v>12203.5</v>
      </c>
      <c r="EJ70" s="1131">
        <v>12363.2</v>
      </c>
      <c r="EK70" s="1131">
        <v>12540.5</v>
      </c>
      <c r="EL70" s="1131">
        <v>12721.1</v>
      </c>
      <c r="EM70" s="1131">
        <v>12889.7</v>
      </c>
      <c r="EN70" s="1131">
        <v>13085.3</v>
      </c>
      <c r="EO70" s="1131">
        <v>13268.4</v>
      </c>
      <c r="EP70" s="1131">
        <v>13437.1</v>
      </c>
      <c r="EQ70" s="1131">
        <v>13624.5</v>
      </c>
      <c r="ER70" s="1131">
        <v>13792</v>
      </c>
      <c r="ES70" s="1131">
        <v>13912</v>
      </c>
      <c r="ET70" s="1131">
        <v>14118.1</v>
      </c>
      <c r="EU70" s="1131">
        <v>14279.2</v>
      </c>
      <c r="EV70" s="1131">
        <v>14423.4</v>
      </c>
      <c r="EW70" s="1131">
        <v>14551.1</v>
      </c>
      <c r="EX70" s="1131">
        <v>14674.8</v>
      </c>
      <c r="EY70" s="1131">
        <v>14821.6</v>
      </c>
      <c r="EZ70" s="1131">
        <v>14997.2</v>
      </c>
      <c r="FA70" s="1131">
        <v>15105.6</v>
      </c>
      <c r="FB70" s="1131">
        <v>15160.7</v>
      </c>
      <c r="FC70" s="1131">
        <v>15191.5</v>
      </c>
      <c r="FD70" s="1131">
        <v>15257.4</v>
      </c>
      <c r="FE70" s="1131">
        <v>15357.7</v>
      </c>
      <c r="FF70" s="1131">
        <v>15446</v>
      </c>
      <c r="FG70" s="1131">
        <v>15568.9</v>
      </c>
      <c r="FH70" s="1131">
        <v>15668.1</v>
      </c>
      <c r="FI70" s="1131">
        <v>15812.7</v>
      </c>
      <c r="FJ70" s="1131">
        <v>15956.6</v>
      </c>
      <c r="FK70" s="1131">
        <v>16123.3</v>
      </c>
      <c r="FL70" s="1131">
        <v>16291.9</v>
      </c>
      <c r="FM70" s="1131">
        <v>16382.9</v>
      </c>
      <c r="FN70" s="1131">
        <v>16553.8</v>
      </c>
      <c r="FO70" s="1131">
        <v>16689.8</v>
      </c>
      <c r="FP70" s="1131">
        <v>16848</v>
      </c>
      <c r="FQ70" s="1131">
        <v>17008.2</v>
      </c>
      <c r="FR70" s="1131">
        <v>17151.400000000001</v>
      </c>
      <c r="FS70" s="1131">
        <v>17277.8</v>
      </c>
      <c r="FT70" s="1131">
        <v>17438.5</v>
      </c>
      <c r="FU70" s="1131">
        <v>17620.599999999999</v>
      </c>
      <c r="FV70" s="1131">
        <v>17773.5</v>
      </c>
      <c r="FW70" s="1131">
        <v>17954.7</v>
      </c>
      <c r="FX70" s="1131">
        <v>18115.7</v>
      </c>
      <c r="FY70" s="1131">
        <v>18229.099999999999</v>
      </c>
      <c r="FZ70" s="1131">
        <v>18297.400000000001</v>
      </c>
      <c r="GA70" s="1131">
        <v>18481.8</v>
      </c>
      <c r="GB70" s="1131">
        <v>18624.400000000001</v>
      </c>
      <c r="GC70" s="1131">
        <v>18709.3</v>
      </c>
      <c r="GD70" s="1131">
        <v>18778</v>
      </c>
      <c r="GE70" s="1131">
        <v>18989.400000000001</v>
      </c>
      <c r="GF70" s="1131">
        <v>19133.900000000001</v>
      </c>
      <c r="GG70" s="1131">
        <v>19307.3</v>
      </c>
      <c r="GH70" s="1131">
        <v>19485.900000000001</v>
      </c>
      <c r="GI70" s="1131">
        <v>19626.5</v>
      </c>
      <c r="GJ70" s="1131">
        <v>19807.599999999999</v>
      </c>
      <c r="GK70" s="1131">
        <v>20027.3</v>
      </c>
      <c r="GL70" s="1131">
        <v>20235</v>
      </c>
      <c r="GM70" s="1131">
        <v>20503.3</v>
      </c>
      <c r="GN70" s="1131">
        <v>20682.7</v>
      </c>
      <c r="GO70" s="1131">
        <v>20881.099999999999</v>
      </c>
      <c r="GP70" s="1131">
        <v>21035.8</v>
      </c>
      <c r="GQ70" s="1131">
        <v>21274.7</v>
      </c>
      <c r="GR70" s="1131">
        <v>21452.9</v>
      </c>
      <c r="GS70" s="1131">
        <v>21638</v>
      </c>
      <c r="GT70" s="1131">
        <v>21832.6</v>
      </c>
      <c r="GU70" s="1131">
        <v>21819</v>
      </c>
      <c r="GV70" s="1131">
        <v>22112.5</v>
      </c>
      <c r="GW70" s="1131">
        <v>22315.4</v>
      </c>
      <c r="GX70" s="1131">
        <v>22645</v>
      </c>
      <c r="GY70" s="1131">
        <v>22983.3</v>
      </c>
    </row>
    <row r="71" spans="1:207" x14ac:dyDescent="0.35">
      <c r="A71" s="1131" t="s">
        <v>256</v>
      </c>
      <c r="B71" s="1131">
        <v>1</v>
      </c>
      <c r="C71" s="1131">
        <v>1</v>
      </c>
      <c r="D71" s="1131">
        <v>1</v>
      </c>
      <c r="E71" s="1131">
        <v>1</v>
      </c>
      <c r="F71" s="1131">
        <v>-1</v>
      </c>
      <c r="G71" s="1131">
        <v>-1</v>
      </c>
      <c r="H71" s="1131">
        <v>-1</v>
      </c>
      <c r="I71" s="1131">
        <v>-1</v>
      </c>
      <c r="J71" s="1131">
        <v>-1</v>
      </c>
      <c r="K71" s="1131">
        <v>-1</v>
      </c>
      <c r="L71" s="1131">
        <v>-1</v>
      </c>
      <c r="M71" s="1131">
        <v>-1</v>
      </c>
      <c r="N71" s="1131">
        <v>-1</v>
      </c>
      <c r="O71" s="1131">
        <v>-1</v>
      </c>
      <c r="P71" s="1131">
        <v>-1</v>
      </c>
      <c r="Q71" s="1131">
        <v>1</v>
      </c>
      <c r="R71" s="1131">
        <v>1</v>
      </c>
      <c r="S71" s="1131">
        <v>1</v>
      </c>
      <c r="T71" s="1131">
        <v>1</v>
      </c>
      <c r="U71" s="1131">
        <v>1</v>
      </c>
      <c r="V71" s="1131">
        <v>1</v>
      </c>
      <c r="W71" s="1131">
        <v>-1</v>
      </c>
      <c r="X71" s="1131">
        <v>-1</v>
      </c>
      <c r="Y71" s="1131">
        <v>-1</v>
      </c>
      <c r="Z71" s="1131">
        <v>-1</v>
      </c>
      <c r="AA71" s="1131">
        <v>-1</v>
      </c>
      <c r="AB71" s="1131">
        <v>-1</v>
      </c>
      <c r="AC71" s="1131">
        <v>-1</v>
      </c>
      <c r="AD71" s="1131">
        <v>-1</v>
      </c>
      <c r="AE71" s="1131">
        <v>-1</v>
      </c>
      <c r="AF71" s="1131">
        <v>-1</v>
      </c>
      <c r="AG71" s="1131">
        <v>-1</v>
      </c>
      <c r="AH71" s="1131">
        <v>-1</v>
      </c>
      <c r="AI71" s="1131">
        <v>-1</v>
      </c>
      <c r="AJ71" s="1131">
        <v>-1</v>
      </c>
      <c r="AK71" s="1131">
        <v>-1</v>
      </c>
      <c r="AL71" s="1131">
        <v>-1</v>
      </c>
      <c r="AM71" s="1131">
        <v>-1</v>
      </c>
      <c r="AN71" s="1131">
        <v>-1</v>
      </c>
      <c r="AO71" s="1131">
        <v>-1</v>
      </c>
      <c r="AP71" s="1131">
        <v>1</v>
      </c>
      <c r="AQ71" s="1131">
        <v>1</v>
      </c>
      <c r="AR71" s="1131">
        <v>1</v>
      </c>
      <c r="AS71" s="1131">
        <v>-1</v>
      </c>
      <c r="AT71" s="1131">
        <v>-1</v>
      </c>
      <c r="AU71" s="1131">
        <v>-1</v>
      </c>
      <c r="AV71" s="1131">
        <v>1</v>
      </c>
      <c r="AW71" s="1131">
        <v>1</v>
      </c>
      <c r="AX71" s="1131">
        <v>1</v>
      </c>
      <c r="AY71" s="1131">
        <v>1</v>
      </c>
      <c r="AZ71" s="1131">
        <v>1</v>
      </c>
      <c r="BA71" s="1131">
        <v>1</v>
      </c>
      <c r="BB71" s="1131">
        <v>-1</v>
      </c>
      <c r="BC71" s="1131">
        <v>-1</v>
      </c>
      <c r="BD71" s="1131">
        <v>-1</v>
      </c>
      <c r="BE71" s="1131">
        <v>-1</v>
      </c>
      <c r="BF71" s="1131">
        <v>-1</v>
      </c>
      <c r="BG71" s="1131">
        <v>-1</v>
      </c>
      <c r="BH71" s="1131">
        <v>-1</v>
      </c>
      <c r="BI71" s="1131">
        <v>-1</v>
      </c>
      <c r="BJ71" s="1131">
        <v>-1</v>
      </c>
      <c r="BK71" s="1131">
        <v>-1</v>
      </c>
      <c r="BL71" s="1131">
        <v>-1</v>
      </c>
      <c r="BM71" s="1131">
        <v>-1</v>
      </c>
      <c r="BN71" s="1131">
        <v>-1</v>
      </c>
      <c r="BO71" s="1131">
        <v>-1</v>
      </c>
      <c r="BP71" s="1131">
        <v>-1</v>
      </c>
      <c r="BQ71" s="1131">
        <v>-1</v>
      </c>
      <c r="BR71" s="1131">
        <v>-1</v>
      </c>
      <c r="BS71" s="1131">
        <v>-1</v>
      </c>
      <c r="BT71" s="1131">
        <v>-1</v>
      </c>
      <c r="BU71" s="1131">
        <v>-1</v>
      </c>
      <c r="BV71" s="1131">
        <v>-1</v>
      </c>
      <c r="BW71" s="1131">
        <v>-1</v>
      </c>
      <c r="BX71" s="1131">
        <v>-1</v>
      </c>
      <c r="BY71" s="1131">
        <v>-1</v>
      </c>
      <c r="BZ71" s="1131">
        <v>-1</v>
      </c>
      <c r="CA71" s="1131">
        <v>-1</v>
      </c>
      <c r="CB71" s="1131">
        <v>-1</v>
      </c>
      <c r="CC71" s="1131">
        <v>-1</v>
      </c>
      <c r="CD71" s="1131">
        <v>-1</v>
      </c>
      <c r="CE71" s="1131">
        <v>-1</v>
      </c>
      <c r="CF71" s="1131">
        <v>1</v>
      </c>
      <c r="CG71" s="1131">
        <v>1</v>
      </c>
      <c r="CH71" s="1131">
        <v>1</v>
      </c>
      <c r="CI71" s="1131">
        <v>-1</v>
      </c>
      <c r="CJ71" s="1131">
        <v>-1</v>
      </c>
      <c r="CK71" s="1131">
        <v>-1</v>
      </c>
      <c r="CL71" s="1131">
        <v>-1</v>
      </c>
      <c r="CM71" s="1131">
        <v>-1</v>
      </c>
      <c r="CN71" s="1131">
        <v>-1</v>
      </c>
      <c r="CO71" s="1131">
        <v>-1</v>
      </c>
      <c r="CP71" s="1131">
        <v>-1</v>
      </c>
      <c r="CQ71" s="1131">
        <v>-1</v>
      </c>
      <c r="CR71" s="1131">
        <v>-1</v>
      </c>
      <c r="CS71" s="1131">
        <v>-1</v>
      </c>
      <c r="CT71" s="1131">
        <v>-1</v>
      </c>
      <c r="CU71" s="1131">
        <v>-1</v>
      </c>
      <c r="CV71" s="1131">
        <v>-1</v>
      </c>
      <c r="CW71" s="1131">
        <v>-1</v>
      </c>
      <c r="CX71" s="1131">
        <v>-1</v>
      </c>
      <c r="CY71" s="1131">
        <v>-1</v>
      </c>
      <c r="CZ71" s="1131">
        <v>-1</v>
      </c>
      <c r="DA71" s="1131">
        <v>-1</v>
      </c>
      <c r="DB71" s="1131">
        <v>-1</v>
      </c>
      <c r="DC71" s="1131">
        <v>-1</v>
      </c>
      <c r="DD71" s="1131">
        <v>-1</v>
      </c>
      <c r="DE71" s="1131">
        <v>-1</v>
      </c>
      <c r="DF71" s="1131">
        <v>-1</v>
      </c>
      <c r="DG71" s="1131">
        <v>-1</v>
      </c>
      <c r="DH71" s="1131">
        <v>-1</v>
      </c>
      <c r="DI71" s="1131">
        <v>-1</v>
      </c>
      <c r="DJ71" s="1131">
        <v>-1</v>
      </c>
      <c r="DK71" s="1131">
        <v>-1</v>
      </c>
      <c r="DL71" s="1131">
        <v>-1</v>
      </c>
      <c r="DM71" s="1131">
        <v>-1</v>
      </c>
      <c r="DN71" s="1131">
        <v>-1</v>
      </c>
      <c r="DO71" s="1131">
        <v>-1</v>
      </c>
      <c r="DP71" s="1131">
        <v>-1</v>
      </c>
      <c r="DQ71" s="1131">
        <v>-1</v>
      </c>
      <c r="DR71" s="1131">
        <v>-1</v>
      </c>
      <c r="DS71" s="1131">
        <v>-1</v>
      </c>
      <c r="DT71" s="1131">
        <v>-1</v>
      </c>
      <c r="DU71" s="1131">
        <v>-1</v>
      </c>
      <c r="DV71" s="1131">
        <v>1</v>
      </c>
      <c r="DW71" s="1131">
        <v>1</v>
      </c>
      <c r="DX71" s="1131">
        <v>1</v>
      </c>
      <c r="DY71" s="1131">
        <v>1</v>
      </c>
      <c r="DZ71" s="1131">
        <v>-1</v>
      </c>
      <c r="EA71" s="1131">
        <v>-1</v>
      </c>
      <c r="EB71" s="1131">
        <v>-1</v>
      </c>
      <c r="EC71" s="1131">
        <v>-1</v>
      </c>
      <c r="ED71" s="1131">
        <v>-1</v>
      </c>
      <c r="EE71" s="1131">
        <v>-1</v>
      </c>
      <c r="EF71" s="1131">
        <v>-1</v>
      </c>
      <c r="EG71" s="1131">
        <v>-1</v>
      </c>
      <c r="EH71" s="1131">
        <v>-1</v>
      </c>
      <c r="EI71" s="1131">
        <v>-1</v>
      </c>
      <c r="EJ71" s="1131">
        <v>-1</v>
      </c>
      <c r="EK71" s="1131">
        <v>-1</v>
      </c>
      <c r="EL71" s="1131">
        <v>-1</v>
      </c>
      <c r="EM71" s="1131">
        <v>-1</v>
      </c>
      <c r="EN71" s="1131">
        <v>-1</v>
      </c>
      <c r="EO71" s="1131">
        <v>-1</v>
      </c>
      <c r="EP71" s="1131">
        <v>-1</v>
      </c>
      <c r="EQ71" s="1131">
        <v>-1</v>
      </c>
      <c r="ER71" s="1131">
        <v>-1</v>
      </c>
      <c r="ES71" s="1131">
        <v>-1</v>
      </c>
      <c r="ET71" s="1131">
        <v>-1</v>
      </c>
      <c r="EU71" s="1131">
        <v>-1</v>
      </c>
      <c r="EV71" s="1131">
        <v>-1</v>
      </c>
      <c r="EW71" s="1131">
        <v>1</v>
      </c>
      <c r="EX71" s="1131">
        <v>1</v>
      </c>
      <c r="EY71" s="1131">
        <v>1</v>
      </c>
      <c r="EZ71" s="1131">
        <v>1</v>
      </c>
      <c r="FA71" s="1131">
        <v>1</v>
      </c>
      <c r="FB71" s="1131">
        <v>1</v>
      </c>
      <c r="FC71" s="1131">
        <v>1</v>
      </c>
      <c r="FD71" s="1131">
        <v>-1</v>
      </c>
      <c r="FE71" s="1131">
        <v>-1</v>
      </c>
      <c r="FF71" s="1131">
        <v>-1</v>
      </c>
      <c r="FG71" s="1131">
        <v>-1</v>
      </c>
      <c r="FH71" s="1131">
        <v>-1</v>
      </c>
      <c r="FI71" s="1131">
        <v>-1</v>
      </c>
      <c r="FJ71" s="1131">
        <v>-1</v>
      </c>
      <c r="FK71" s="1131">
        <v>-1</v>
      </c>
      <c r="FL71" s="1131">
        <v>-1</v>
      </c>
      <c r="FM71" s="1131">
        <v>-1</v>
      </c>
      <c r="FN71" s="1131">
        <v>-1</v>
      </c>
      <c r="FO71" s="1131">
        <v>-1</v>
      </c>
      <c r="FP71" s="1131">
        <v>-1</v>
      </c>
      <c r="FQ71" s="1131">
        <v>-1</v>
      </c>
      <c r="FR71" s="1131">
        <v>-1</v>
      </c>
      <c r="FS71" s="1131">
        <v>-1</v>
      </c>
      <c r="FT71" s="1131">
        <v>-1</v>
      </c>
      <c r="FU71" s="1131">
        <v>-1</v>
      </c>
      <c r="FV71" s="1131">
        <v>-1</v>
      </c>
      <c r="FW71" s="1131">
        <v>-1</v>
      </c>
      <c r="FX71" s="1131">
        <v>-1</v>
      </c>
      <c r="FY71" s="1131">
        <v>-1</v>
      </c>
      <c r="FZ71" s="1131">
        <v>-1</v>
      </c>
      <c r="GA71" s="1131">
        <v>-1</v>
      </c>
      <c r="GB71" s="1131">
        <v>-1</v>
      </c>
      <c r="GC71" s="1131">
        <v>-1</v>
      </c>
      <c r="GD71" s="1131">
        <v>-1</v>
      </c>
      <c r="GE71" s="1131">
        <v>-1</v>
      </c>
      <c r="GF71" s="1131">
        <v>-1</v>
      </c>
      <c r="GG71" s="1131">
        <v>-1</v>
      </c>
      <c r="GH71" s="1131">
        <v>-1</v>
      </c>
      <c r="GI71" s="1131">
        <v>-1</v>
      </c>
      <c r="GJ71" s="1131">
        <v>-1</v>
      </c>
      <c r="GK71" s="1131">
        <v>-1</v>
      </c>
      <c r="GL71" s="1131">
        <v>-1</v>
      </c>
      <c r="GM71" s="1131">
        <v>-1</v>
      </c>
      <c r="GN71" s="1131">
        <v>-1</v>
      </c>
      <c r="GO71" s="1131">
        <v>-1</v>
      </c>
      <c r="GP71" s="1131">
        <v>-1</v>
      </c>
      <c r="GQ71" s="1131">
        <v>-1</v>
      </c>
      <c r="GR71" s="1131">
        <v>-1</v>
      </c>
      <c r="GS71" s="1131">
        <v>1</v>
      </c>
      <c r="GT71" s="1131">
        <v>1</v>
      </c>
      <c r="GU71" s="1131">
        <v>1</v>
      </c>
      <c r="GV71" s="1131">
        <v>-1</v>
      </c>
      <c r="GW71" s="1131">
        <v>-1</v>
      </c>
      <c r="GX71" s="1131">
        <v>-1</v>
      </c>
      <c r="GY71" s="1131">
        <v>-1</v>
      </c>
    </row>
    <row r="72" spans="1:207" x14ac:dyDescent="0.35">
      <c r="A72" s="1131" t="s">
        <v>257</v>
      </c>
      <c r="B72" s="1131">
        <v>2613.3333333333298</v>
      </c>
      <c r="C72" s="1131">
        <v>2648.3333333333298</v>
      </c>
      <c r="D72" s="1131">
        <v>2681.6666666666702</v>
      </c>
      <c r="E72" s="1131">
        <v>2716.3333333333298</v>
      </c>
      <c r="F72" s="1131">
        <v>2719.3333333333298</v>
      </c>
      <c r="G72" s="1131">
        <v>2739.6666666666702</v>
      </c>
      <c r="H72" s="1131">
        <v>2751.6666666666702</v>
      </c>
      <c r="I72" s="1131">
        <v>2781</v>
      </c>
      <c r="J72" s="1131">
        <v>2815</v>
      </c>
      <c r="K72" s="1131">
        <v>2849</v>
      </c>
      <c r="L72" s="1131">
        <v>2874</v>
      </c>
      <c r="M72" s="1131">
        <v>2901.3333333333298</v>
      </c>
      <c r="N72" s="1131">
        <v>2899.6666666666702</v>
      </c>
      <c r="O72" s="1131">
        <v>2911.6666666666702</v>
      </c>
      <c r="P72" s="1131">
        <v>2926.3333333333298</v>
      </c>
      <c r="Q72" s="1131">
        <v>2953.3333333333298</v>
      </c>
      <c r="R72" s="1131">
        <v>2988.6666666666702</v>
      </c>
      <c r="S72" s="1131">
        <v>3018</v>
      </c>
      <c r="T72" s="1131">
        <v>3048.3333333333298</v>
      </c>
      <c r="U72" s="1131">
        <v>3099</v>
      </c>
      <c r="V72" s="1131">
        <v>3161.6666666666702</v>
      </c>
      <c r="W72" s="1131">
        <v>3177.3333333333298</v>
      </c>
      <c r="X72" s="1131">
        <v>3178</v>
      </c>
      <c r="Y72" s="1131">
        <v>3197.3333333333298</v>
      </c>
      <c r="Z72" s="1131">
        <v>3214.3333333333298</v>
      </c>
      <c r="AA72" s="1131">
        <v>3241.6666666666702</v>
      </c>
      <c r="AB72" s="1131">
        <v>3290.6666666666702</v>
      </c>
      <c r="AC72" s="1131">
        <v>3342</v>
      </c>
      <c r="AD72" s="1131">
        <v>3341.3333333333298</v>
      </c>
      <c r="AE72" s="1131">
        <v>3374.6666666666702</v>
      </c>
      <c r="AF72" s="1131">
        <v>3385</v>
      </c>
      <c r="AG72" s="1131">
        <v>3404.6666666666702</v>
      </c>
      <c r="AH72" s="1131">
        <v>3442.3333333333298</v>
      </c>
      <c r="AI72" s="1131">
        <v>3479</v>
      </c>
      <c r="AJ72" s="1131">
        <v>3477.3333333333298</v>
      </c>
      <c r="AK72" s="1131">
        <v>3494</v>
      </c>
      <c r="AL72" s="1131">
        <v>3504.3333333333298</v>
      </c>
      <c r="AM72" s="1131">
        <v>3518</v>
      </c>
      <c r="AN72" s="1131">
        <v>3560.6666666666702</v>
      </c>
      <c r="AO72" s="1131">
        <v>3579.3333333333298</v>
      </c>
      <c r="AP72" s="1131">
        <v>3582</v>
      </c>
      <c r="AQ72" s="1131">
        <v>3602.6666666666702</v>
      </c>
      <c r="AR72" s="1131">
        <v>3624</v>
      </c>
      <c r="AS72" s="1131">
        <v>3630.6666666666702</v>
      </c>
      <c r="AT72" s="1131">
        <v>3636</v>
      </c>
      <c r="AU72" s="1131">
        <v>3631.6666666666702</v>
      </c>
      <c r="AV72" s="1131">
        <v>3640</v>
      </c>
      <c r="AW72" s="1131">
        <v>3653</v>
      </c>
      <c r="AX72" s="1131">
        <v>3645.6666666666702</v>
      </c>
      <c r="AY72" s="1131">
        <v>3647.3333333333298</v>
      </c>
      <c r="AZ72" s="1131">
        <v>3625.6666666666702</v>
      </c>
      <c r="BA72" s="1131">
        <v>3640.3333333333298</v>
      </c>
      <c r="BB72" s="1131">
        <v>3650.3333333333298</v>
      </c>
      <c r="BC72" s="1131">
        <v>3656</v>
      </c>
      <c r="BD72" s="1131">
        <v>3671.3333333333298</v>
      </c>
      <c r="BE72" s="1131">
        <v>3671.6666666666702</v>
      </c>
      <c r="BF72" s="1131">
        <v>3687</v>
      </c>
      <c r="BG72" s="1131">
        <v>3720</v>
      </c>
      <c r="BH72" s="1131">
        <v>3758</v>
      </c>
      <c r="BI72" s="1131">
        <v>3773</v>
      </c>
      <c r="BJ72" s="1131">
        <v>3798.3333333333298</v>
      </c>
      <c r="BK72" s="1131">
        <v>3819.3333333333298</v>
      </c>
      <c r="BL72" s="1131">
        <v>3844.3333333333298</v>
      </c>
      <c r="BM72" s="1131">
        <v>3864.3333333333298</v>
      </c>
      <c r="BN72" s="1131">
        <v>3872.3333333333298</v>
      </c>
      <c r="BO72" s="1131">
        <v>3883</v>
      </c>
      <c r="BP72" s="1131">
        <v>3889.3333333333298</v>
      </c>
      <c r="BQ72" s="1131">
        <v>3926.6666666666702</v>
      </c>
      <c r="BR72" s="1131">
        <v>3943.6666666666702</v>
      </c>
      <c r="BS72" s="1131">
        <v>3953</v>
      </c>
      <c r="BT72" s="1131">
        <v>3969</v>
      </c>
      <c r="BU72" s="1131">
        <v>4000.6666666666702</v>
      </c>
      <c r="BV72" s="1131">
        <v>4030.6666666666702</v>
      </c>
      <c r="BW72" s="1131">
        <v>4065.3333333333298</v>
      </c>
      <c r="BX72" s="1131">
        <v>4094.3333333333298</v>
      </c>
      <c r="BY72" s="1131">
        <v>4114.6666666666697</v>
      </c>
      <c r="BZ72" s="1131">
        <v>4135.6666666666697</v>
      </c>
      <c r="CA72" s="1131">
        <v>4169</v>
      </c>
      <c r="CB72" s="1131">
        <v>4201.3333333333303</v>
      </c>
      <c r="CC72" s="1131">
        <v>4221</v>
      </c>
      <c r="CD72" s="1131">
        <v>4258</v>
      </c>
      <c r="CE72" s="1131">
        <v>4295.6666666666697</v>
      </c>
      <c r="CF72" s="1131">
        <v>4322.6666666666697</v>
      </c>
      <c r="CG72" s="1131">
        <v>4342.6666666666697</v>
      </c>
      <c r="CH72" s="1131">
        <v>4358</v>
      </c>
      <c r="CI72" s="1131">
        <v>4362.3333333333303</v>
      </c>
      <c r="CJ72" s="1131">
        <v>4345</v>
      </c>
      <c r="CK72" s="1131">
        <v>4354.3333333333303</v>
      </c>
      <c r="CL72" s="1131">
        <v>4372</v>
      </c>
      <c r="CM72" s="1131">
        <v>4395.6666666666697</v>
      </c>
      <c r="CN72" s="1131">
        <v>4425.3333333333303</v>
      </c>
      <c r="CO72" s="1131">
        <v>4438</v>
      </c>
      <c r="CP72" s="1131">
        <v>4456</v>
      </c>
      <c r="CQ72" s="1131">
        <v>4478</v>
      </c>
      <c r="CR72" s="1131">
        <v>4496</v>
      </c>
      <c r="CS72" s="1131">
        <v>4515</v>
      </c>
      <c r="CT72" s="1131">
        <v>4523.6666666666697</v>
      </c>
      <c r="CU72" s="1131">
        <v>4555.3333333333303</v>
      </c>
      <c r="CV72" s="1131">
        <v>4600</v>
      </c>
      <c r="CW72" s="1131">
        <v>4626.3333333333303</v>
      </c>
      <c r="CX72" s="1131">
        <v>4649.6666666666697</v>
      </c>
      <c r="CY72" s="1131">
        <v>4643</v>
      </c>
      <c r="CZ72" s="1131">
        <v>4623.6666666666697</v>
      </c>
      <c r="DA72" s="1131">
        <v>4624.6666666666697</v>
      </c>
      <c r="DB72" s="1131">
        <v>4621.3333333333303</v>
      </c>
      <c r="DC72" s="1131">
        <v>4618.3333333333303</v>
      </c>
      <c r="DD72" s="1131">
        <v>4600.3333333333303</v>
      </c>
      <c r="DE72" s="1131">
        <v>4581.3333333333303</v>
      </c>
      <c r="DF72" s="1131">
        <v>4574.3333333333303</v>
      </c>
      <c r="DG72" s="1131">
        <v>4577</v>
      </c>
      <c r="DH72" s="1131">
        <v>4589</v>
      </c>
      <c r="DI72" s="1131">
        <v>4583</v>
      </c>
      <c r="DJ72" s="1131">
        <v>4578</v>
      </c>
      <c r="DK72" s="1131">
        <v>4596.6666666666697</v>
      </c>
      <c r="DL72" s="1131">
        <v>4631.6666666666697</v>
      </c>
      <c r="DM72" s="1131">
        <v>4640.6666666666697</v>
      </c>
      <c r="DN72" s="1131">
        <v>4669</v>
      </c>
      <c r="DO72" s="1131">
        <v>4688.3333333333303</v>
      </c>
      <c r="DP72" s="1131">
        <v>4717.3333333333303</v>
      </c>
      <c r="DQ72" s="1131">
        <v>4757.3333333333303</v>
      </c>
      <c r="DR72" s="1131">
        <v>4768</v>
      </c>
      <c r="DS72" s="1131">
        <v>4779.3333333333303</v>
      </c>
      <c r="DT72" s="1131">
        <v>4793.3333333333303</v>
      </c>
      <c r="DU72" s="1131">
        <v>4809</v>
      </c>
      <c r="DV72" s="1131">
        <v>4832</v>
      </c>
      <c r="DW72" s="1131">
        <v>4877.6666666666697</v>
      </c>
      <c r="DX72" s="1131">
        <v>4936.6666666666697</v>
      </c>
      <c r="DY72" s="1131">
        <v>4977.3333333333303</v>
      </c>
      <c r="DZ72" s="1131">
        <v>5004.3333333333303</v>
      </c>
      <c r="EA72" s="1131">
        <v>5039</v>
      </c>
      <c r="EB72" s="1131">
        <v>5052.6666666666697</v>
      </c>
      <c r="EC72" s="1131">
        <v>5020.6666666666697</v>
      </c>
      <c r="ED72" s="1131">
        <v>5029.3333333333303</v>
      </c>
      <c r="EE72" s="1131">
        <v>5007.6666666666697</v>
      </c>
      <c r="EF72" s="1131">
        <v>4978.6666666666697</v>
      </c>
      <c r="EG72" s="1131">
        <v>4985.3333333333303</v>
      </c>
      <c r="EH72" s="1131">
        <v>4968.3333333333303</v>
      </c>
      <c r="EI72" s="1131">
        <v>4974</v>
      </c>
      <c r="EJ72" s="1131">
        <v>4984</v>
      </c>
      <c r="EK72" s="1131">
        <v>4995.3333333333303</v>
      </c>
      <c r="EL72" s="1131">
        <v>5015.6666666666697</v>
      </c>
      <c r="EM72" s="1131">
        <v>5023.3333333333303</v>
      </c>
      <c r="EN72" s="1131">
        <v>5039.3333333333303</v>
      </c>
      <c r="EO72" s="1131">
        <v>5047.6666666666697</v>
      </c>
      <c r="EP72" s="1131">
        <v>5047</v>
      </c>
      <c r="EQ72" s="1131">
        <v>5068.3333333333303</v>
      </c>
      <c r="ER72" s="1131">
        <v>5086</v>
      </c>
      <c r="ES72" s="1131">
        <v>5098.3333333333303</v>
      </c>
      <c r="ET72" s="1131">
        <v>5106.3333333333303</v>
      </c>
      <c r="EU72" s="1131">
        <v>5124.3333333333303</v>
      </c>
      <c r="EV72" s="1131">
        <v>5122</v>
      </c>
      <c r="EW72" s="1131">
        <v>5136</v>
      </c>
      <c r="EX72" s="1131">
        <v>5148.6666666666697</v>
      </c>
      <c r="EY72" s="1131">
        <v>5166</v>
      </c>
      <c r="EZ72" s="1131">
        <v>5196.3333333333303</v>
      </c>
      <c r="FA72" s="1131">
        <v>5189</v>
      </c>
      <c r="FB72" s="1131">
        <v>5192</v>
      </c>
      <c r="FC72" s="1131">
        <v>5181.6666666666697</v>
      </c>
      <c r="FD72" s="1131">
        <v>5145.3333333333303</v>
      </c>
      <c r="FE72" s="1131">
        <v>5153.3333333333303</v>
      </c>
      <c r="FF72" s="1131">
        <v>5144</v>
      </c>
      <c r="FG72" s="1131">
        <v>5136.6666666666697</v>
      </c>
      <c r="FH72" s="1131">
        <v>5129.3333333333303</v>
      </c>
      <c r="FI72" s="1131">
        <v>5137</v>
      </c>
      <c r="FJ72" s="1131">
        <v>5113.3333333333303</v>
      </c>
      <c r="FK72" s="1131">
        <v>5084.3333333333303</v>
      </c>
      <c r="FL72" s="1131">
        <v>5069.6666666666697</v>
      </c>
      <c r="FM72" s="1131">
        <v>5051</v>
      </c>
      <c r="FN72" s="1131">
        <v>5048</v>
      </c>
      <c r="FO72" s="1131">
        <v>5055.3333333333303</v>
      </c>
      <c r="FP72" s="1131">
        <v>5064.6666666666697</v>
      </c>
      <c r="FQ72" s="1131">
        <v>5051.6666666666697</v>
      </c>
      <c r="FR72" s="1131">
        <v>5042</v>
      </c>
      <c r="FS72" s="1131">
        <v>5044.6666666666697</v>
      </c>
      <c r="FT72" s="1131">
        <v>5040</v>
      </c>
      <c r="FU72" s="1131">
        <v>5055.3333333333303</v>
      </c>
      <c r="FV72" s="1131">
        <v>5054.6666666666697</v>
      </c>
      <c r="FW72" s="1131">
        <v>5054.6666666666697</v>
      </c>
      <c r="FX72" s="1131">
        <v>5030.6666666666697</v>
      </c>
      <c r="FY72" s="1131">
        <v>5052.6666666666697</v>
      </c>
      <c r="FZ72" s="1131">
        <v>5067.6666666666697</v>
      </c>
      <c r="GA72" s="1131">
        <v>5072.3333333333303</v>
      </c>
      <c r="GB72" s="1131">
        <v>5077.6666666666697</v>
      </c>
      <c r="GC72" s="1131">
        <v>5087.3333333333303</v>
      </c>
      <c r="GD72" s="1131">
        <v>5089</v>
      </c>
      <c r="GE72" s="1131">
        <v>5098.6666666666697</v>
      </c>
      <c r="GF72" s="1131">
        <v>5126.6666666666697</v>
      </c>
      <c r="GG72" s="1131">
        <v>5135.3333333333303</v>
      </c>
      <c r="GH72" s="1131">
        <v>5158</v>
      </c>
      <c r="GI72" s="1131">
        <v>5170.3333333333303</v>
      </c>
      <c r="GJ72" s="1131">
        <v>5168.3333333333303</v>
      </c>
      <c r="GK72" s="1131">
        <v>5160.3333333333303</v>
      </c>
      <c r="GL72" s="1131">
        <v>5150.3333333333303</v>
      </c>
      <c r="GM72" s="1131">
        <v>5173</v>
      </c>
      <c r="GN72" s="1131">
        <v>5185.3333333333303</v>
      </c>
      <c r="GO72" s="1131">
        <v>5177</v>
      </c>
      <c r="GP72" s="1131">
        <v>5171.3333333333303</v>
      </c>
      <c r="GQ72" s="1131">
        <v>5177.3333333333303</v>
      </c>
      <c r="GR72" s="1131">
        <v>5218.3333333333303</v>
      </c>
      <c r="GS72" s="1131">
        <v>5250.3333333333303</v>
      </c>
      <c r="GT72" s="1131">
        <v>5276.3333333333303</v>
      </c>
      <c r="GU72" s="1131">
        <v>5049.3333333333303</v>
      </c>
      <c r="GV72" s="1131">
        <v>5036.3333333333303</v>
      </c>
      <c r="GW72" s="1131">
        <v>4935.3333333333303</v>
      </c>
      <c r="GX72" s="1131">
        <v>4976.6666666666697</v>
      </c>
      <c r="GY72" s="1131">
        <v>5023</v>
      </c>
    </row>
    <row r="73" spans="1:207" x14ac:dyDescent="0.35">
      <c r="A73" s="1131" t="s">
        <v>258</v>
      </c>
      <c r="B73" s="1131">
        <v>7048.6666666666697</v>
      </c>
      <c r="C73" s="1131">
        <v>7104.3333333333303</v>
      </c>
      <c r="D73" s="1131">
        <v>7204.3333333333303</v>
      </c>
      <c r="E73" s="1131">
        <v>7279.3333333333303</v>
      </c>
      <c r="F73" s="1131">
        <v>7353.3333333333303</v>
      </c>
      <c r="G73" s="1131">
        <v>7419.6666666666697</v>
      </c>
      <c r="H73" s="1131">
        <v>7443.6666666666697</v>
      </c>
      <c r="I73" s="1131">
        <v>7534</v>
      </c>
      <c r="J73" s="1131">
        <v>7651.6666666666697</v>
      </c>
      <c r="K73" s="1131">
        <v>7726.3333333333303</v>
      </c>
      <c r="L73" s="1131">
        <v>7855</v>
      </c>
      <c r="M73" s="1131">
        <v>7931.3333333333303</v>
      </c>
      <c r="N73" s="1131">
        <v>8016</v>
      </c>
      <c r="O73" s="1131">
        <v>8115</v>
      </c>
      <c r="P73" s="1131">
        <v>8183.6666666666697</v>
      </c>
      <c r="Q73" s="1131">
        <v>8272.3333333333303</v>
      </c>
      <c r="R73" s="1131">
        <v>8307.6666666666697</v>
      </c>
      <c r="S73" s="1131">
        <v>8346.3333333333303</v>
      </c>
      <c r="T73" s="1131">
        <v>8424.6666666666697</v>
      </c>
      <c r="U73" s="1131">
        <v>8551.3333333333303</v>
      </c>
      <c r="V73" s="1131">
        <v>8673</v>
      </c>
      <c r="W73" s="1131">
        <v>8751.3333333333303</v>
      </c>
      <c r="X73" s="1131">
        <v>8786.3333333333303</v>
      </c>
      <c r="Y73" s="1131">
        <v>8824.6666666666697</v>
      </c>
      <c r="Z73" s="1131">
        <v>8883</v>
      </c>
      <c r="AA73" s="1131">
        <v>8868.6666666666697</v>
      </c>
      <c r="AB73" s="1131">
        <v>8845</v>
      </c>
      <c r="AC73" s="1131">
        <v>8861</v>
      </c>
      <c r="AD73" s="1131">
        <v>8860.6666666666697</v>
      </c>
      <c r="AE73" s="1131">
        <v>8907.3333333333303</v>
      </c>
      <c r="AF73" s="1131">
        <v>9099.3333333333303</v>
      </c>
      <c r="AG73" s="1131">
        <v>9231</v>
      </c>
      <c r="AH73" s="1131">
        <v>9348.3333333333303</v>
      </c>
      <c r="AI73" s="1131">
        <v>9466</v>
      </c>
      <c r="AJ73" s="1131">
        <v>9492.3333333333303</v>
      </c>
      <c r="AK73" s="1131">
        <v>9482.6666666666697</v>
      </c>
      <c r="AL73" s="1131">
        <v>9531.3333333333303</v>
      </c>
      <c r="AM73" s="1131">
        <v>9604.3333333333303</v>
      </c>
      <c r="AN73" s="1131">
        <v>9710.6666666666697</v>
      </c>
      <c r="AO73" s="1131">
        <v>9697.3333333333303</v>
      </c>
      <c r="AP73" s="1131">
        <v>9741.3333333333303</v>
      </c>
      <c r="AQ73" s="1131">
        <v>9749.3333333333303</v>
      </c>
      <c r="AR73" s="1131">
        <v>9782.3333333333303</v>
      </c>
      <c r="AS73" s="1131">
        <v>9793</v>
      </c>
      <c r="AT73" s="1131">
        <v>9750.3333333333303</v>
      </c>
      <c r="AU73" s="1131">
        <v>9665</v>
      </c>
      <c r="AV73" s="1131">
        <v>9547.6666666666697</v>
      </c>
      <c r="AW73" s="1131">
        <v>9507</v>
      </c>
      <c r="AX73" s="1131">
        <v>9484.3333333333303</v>
      </c>
      <c r="AY73" s="1131">
        <v>9495.6666666666697</v>
      </c>
      <c r="AZ73" s="1131">
        <v>9409.6666666666697</v>
      </c>
      <c r="BA73" s="1131">
        <v>9437</v>
      </c>
      <c r="BB73" s="1131">
        <v>9447.3333333333303</v>
      </c>
      <c r="BC73" s="1131">
        <v>9445.3333333333303</v>
      </c>
      <c r="BD73" s="1131">
        <v>9433</v>
      </c>
      <c r="BE73" s="1131">
        <v>9401.6666666666697</v>
      </c>
      <c r="BF73" s="1131">
        <v>9412</v>
      </c>
      <c r="BG73" s="1131">
        <v>9445.3333333333303</v>
      </c>
      <c r="BH73" s="1131">
        <v>9509</v>
      </c>
      <c r="BI73" s="1131">
        <v>9555</v>
      </c>
      <c r="BJ73" s="1131">
        <v>9595.6666666666697</v>
      </c>
      <c r="BK73" s="1131">
        <v>9640.3333333333303</v>
      </c>
      <c r="BL73" s="1131">
        <v>9746.6666666666697</v>
      </c>
      <c r="BM73" s="1131">
        <v>9764.3333333333303</v>
      </c>
      <c r="BN73" s="1131">
        <v>9815.3333333333303</v>
      </c>
      <c r="BO73" s="1131">
        <v>9854.3333333333303</v>
      </c>
      <c r="BP73" s="1131">
        <v>9906.6666666666697</v>
      </c>
      <c r="BQ73" s="1131">
        <v>10024.333333333299</v>
      </c>
      <c r="BR73" s="1131">
        <v>10039.333333333299</v>
      </c>
      <c r="BS73" s="1131">
        <v>10083.333333333299</v>
      </c>
      <c r="BT73" s="1131">
        <v>10092.333333333299</v>
      </c>
      <c r="BU73" s="1131">
        <v>10184.666666666701</v>
      </c>
      <c r="BV73" s="1131">
        <v>10250.666666666701</v>
      </c>
      <c r="BW73" s="1131">
        <v>10315.333333333299</v>
      </c>
      <c r="BX73" s="1131">
        <v>10341.666666666701</v>
      </c>
      <c r="BY73" s="1131">
        <v>10446.666666666701</v>
      </c>
      <c r="BZ73" s="1131">
        <v>10510.666666666701</v>
      </c>
      <c r="CA73" s="1131">
        <v>10566.333333333299</v>
      </c>
      <c r="CB73" s="1131">
        <v>10640.666666666701</v>
      </c>
      <c r="CC73" s="1131">
        <v>10719.666666666701</v>
      </c>
      <c r="CD73" s="1131">
        <v>10814</v>
      </c>
      <c r="CE73" s="1131">
        <v>10873</v>
      </c>
      <c r="CF73" s="1131">
        <v>10967.333333333299</v>
      </c>
      <c r="CG73" s="1131">
        <v>11000.333333333299</v>
      </c>
      <c r="CH73" s="1131">
        <v>11027</v>
      </c>
      <c r="CI73" s="1131">
        <v>11057.333333333299</v>
      </c>
      <c r="CJ73" s="1131">
        <v>11099.333333333299</v>
      </c>
      <c r="CK73" s="1131">
        <v>11139.333333333299</v>
      </c>
      <c r="CL73" s="1131">
        <v>11199</v>
      </c>
      <c r="CM73" s="1131">
        <v>11238</v>
      </c>
      <c r="CN73" s="1131">
        <v>11306.666666666701</v>
      </c>
      <c r="CO73" s="1131">
        <v>11319.666666666701</v>
      </c>
      <c r="CP73" s="1131">
        <v>11366.666666666701</v>
      </c>
      <c r="CQ73" s="1131">
        <v>11407.666666666701</v>
      </c>
      <c r="CR73" s="1131">
        <v>11483</v>
      </c>
      <c r="CS73" s="1131">
        <v>11520.666666666701</v>
      </c>
      <c r="CT73" s="1131">
        <v>11591.333333333299</v>
      </c>
      <c r="CU73" s="1131">
        <v>11672.333333333299</v>
      </c>
      <c r="CV73" s="1131">
        <v>11710.333333333299</v>
      </c>
      <c r="CW73" s="1131">
        <v>11752</v>
      </c>
      <c r="CX73" s="1131">
        <v>11791.333333333299</v>
      </c>
      <c r="CY73" s="1131">
        <v>11828.666666666701</v>
      </c>
      <c r="CZ73" s="1131">
        <v>11868</v>
      </c>
      <c r="DA73" s="1131">
        <v>11923</v>
      </c>
      <c r="DB73" s="1131">
        <v>11966</v>
      </c>
      <c r="DC73" s="1131">
        <v>12017.333333333299</v>
      </c>
      <c r="DD73" s="1131">
        <v>12067</v>
      </c>
      <c r="DE73" s="1131">
        <v>12139</v>
      </c>
      <c r="DF73" s="1131">
        <v>12185.666666666701</v>
      </c>
      <c r="DG73" s="1131">
        <v>12229.666666666701</v>
      </c>
      <c r="DH73" s="1131">
        <v>12296</v>
      </c>
      <c r="DI73" s="1131">
        <v>12380</v>
      </c>
      <c r="DJ73" s="1131">
        <v>12437.333333333299</v>
      </c>
      <c r="DK73" s="1131">
        <v>12501.333333333299</v>
      </c>
      <c r="DL73" s="1131">
        <v>12553.333333333299</v>
      </c>
      <c r="DM73" s="1131">
        <v>12616.333333333299</v>
      </c>
      <c r="DN73" s="1131">
        <v>12694.666666666701</v>
      </c>
      <c r="DO73" s="1131">
        <v>12783.333333333299</v>
      </c>
      <c r="DP73" s="1131">
        <v>12887.333333333299</v>
      </c>
      <c r="DQ73" s="1131">
        <v>12972.333333333299</v>
      </c>
      <c r="DR73" s="1131">
        <v>13050.333333333299</v>
      </c>
      <c r="DS73" s="1131">
        <v>13113</v>
      </c>
      <c r="DT73" s="1131">
        <v>13168</v>
      </c>
      <c r="DU73" s="1131">
        <v>13220.666666666701</v>
      </c>
      <c r="DV73" s="1131">
        <v>13310</v>
      </c>
      <c r="DW73" s="1131">
        <v>13410.666666666701</v>
      </c>
      <c r="DX73" s="1131">
        <v>13500.666666666701</v>
      </c>
      <c r="DY73" s="1131">
        <v>13583.666666666701</v>
      </c>
      <c r="DZ73" s="1131">
        <v>13639</v>
      </c>
      <c r="EA73" s="1131">
        <v>13699.333333333299</v>
      </c>
      <c r="EB73" s="1131">
        <v>13744.666666666701</v>
      </c>
      <c r="EC73" s="1131">
        <v>13775</v>
      </c>
      <c r="ED73" s="1131">
        <v>13801</v>
      </c>
      <c r="EE73" s="1131">
        <v>13820</v>
      </c>
      <c r="EF73" s="1131">
        <v>13832.333333333299</v>
      </c>
      <c r="EG73" s="1131">
        <v>13824.333333333299</v>
      </c>
      <c r="EH73" s="1131">
        <v>13859</v>
      </c>
      <c r="EI73" s="1131">
        <v>13898</v>
      </c>
      <c r="EJ73" s="1131">
        <v>13909.333333333299</v>
      </c>
      <c r="EK73" s="1131">
        <v>13958.666666666701</v>
      </c>
      <c r="EL73" s="1131">
        <v>13994.666666666701</v>
      </c>
      <c r="EM73" s="1131">
        <v>14012</v>
      </c>
      <c r="EN73" s="1131">
        <v>14085.333333333299</v>
      </c>
      <c r="EO73" s="1131">
        <v>14072.333333333299</v>
      </c>
      <c r="EP73" s="1131">
        <v>14098</v>
      </c>
      <c r="EQ73" s="1131">
        <v>14119.666666666701</v>
      </c>
      <c r="ER73" s="1131">
        <v>14201</v>
      </c>
      <c r="ES73" s="1131">
        <v>14251.333333333299</v>
      </c>
      <c r="ET73" s="1131">
        <v>14287.333333333299</v>
      </c>
      <c r="EU73" s="1131">
        <v>14336</v>
      </c>
      <c r="EV73" s="1131">
        <v>14369.333333333299</v>
      </c>
      <c r="EW73" s="1131">
        <v>14455</v>
      </c>
      <c r="EX73" s="1131">
        <v>14521.666666666701</v>
      </c>
      <c r="EY73" s="1131">
        <v>14560.333333333299</v>
      </c>
      <c r="EZ73" s="1131">
        <v>14594</v>
      </c>
      <c r="FA73" s="1131">
        <v>14591</v>
      </c>
      <c r="FB73" s="1131">
        <v>14587</v>
      </c>
      <c r="FC73" s="1131">
        <v>14576.333333333299</v>
      </c>
      <c r="FD73" s="1131">
        <v>14532</v>
      </c>
      <c r="FE73" s="1131">
        <v>14521</v>
      </c>
      <c r="FF73" s="1131">
        <v>14466</v>
      </c>
      <c r="FG73" s="1131">
        <v>14434</v>
      </c>
      <c r="FH73" s="1131">
        <v>14327.666666666701</v>
      </c>
      <c r="FI73" s="1131">
        <v>14279</v>
      </c>
      <c r="FJ73" s="1131">
        <v>14232.666666666701</v>
      </c>
      <c r="FK73" s="1131">
        <v>14207.666666666701</v>
      </c>
      <c r="FL73" s="1131">
        <v>14094</v>
      </c>
      <c r="FM73" s="1131">
        <v>14080.666666666701</v>
      </c>
      <c r="FN73" s="1131">
        <v>14067.666666666701</v>
      </c>
      <c r="FO73" s="1131">
        <v>14044.333333333299</v>
      </c>
      <c r="FP73" s="1131">
        <v>14034.333333333299</v>
      </c>
      <c r="FQ73" s="1131">
        <v>14026.333333333299</v>
      </c>
      <c r="FR73" s="1131">
        <v>14029.333333333299</v>
      </c>
      <c r="FS73" s="1131">
        <v>14033</v>
      </c>
      <c r="FT73" s="1131">
        <v>14031</v>
      </c>
      <c r="FU73" s="1131">
        <v>14033.666666666701</v>
      </c>
      <c r="FV73" s="1131">
        <v>14037.666666666701</v>
      </c>
      <c r="FW73" s="1131">
        <v>14077</v>
      </c>
      <c r="FX73" s="1131">
        <v>14120</v>
      </c>
      <c r="FY73" s="1131">
        <v>14140</v>
      </c>
      <c r="FZ73" s="1131">
        <v>14155</v>
      </c>
      <c r="GA73" s="1131">
        <v>14181.666666666701</v>
      </c>
      <c r="GB73" s="1131">
        <v>14214</v>
      </c>
      <c r="GC73" s="1131">
        <v>14223.666666666701</v>
      </c>
      <c r="GD73" s="1131">
        <v>14277</v>
      </c>
      <c r="GE73" s="1131">
        <v>14297.666666666701</v>
      </c>
      <c r="GF73" s="1131">
        <v>14369</v>
      </c>
      <c r="GG73" s="1131">
        <v>14351</v>
      </c>
      <c r="GH73" s="1131">
        <v>14347</v>
      </c>
      <c r="GI73" s="1131">
        <v>14363</v>
      </c>
      <c r="GJ73" s="1131">
        <v>14401.666666666701</v>
      </c>
      <c r="GK73" s="1131">
        <v>14428.666666666701</v>
      </c>
      <c r="GL73" s="1131">
        <v>14442.333333333299</v>
      </c>
      <c r="GM73" s="1131">
        <v>14468.666666666701</v>
      </c>
      <c r="GN73" s="1131">
        <v>14494.333333333299</v>
      </c>
      <c r="GO73" s="1131">
        <v>14510</v>
      </c>
      <c r="GP73" s="1131">
        <v>14527.666666666701</v>
      </c>
      <c r="GQ73" s="1131">
        <v>14558.333333333299</v>
      </c>
      <c r="GR73" s="1131">
        <v>14590</v>
      </c>
      <c r="GS73" s="1131">
        <v>14620.333333333299</v>
      </c>
      <c r="GT73" s="1131">
        <v>14658.333333333299</v>
      </c>
      <c r="GU73" s="1131">
        <v>13569.666666666701</v>
      </c>
      <c r="GV73" s="1131">
        <v>13736.666666666701</v>
      </c>
      <c r="GW73" s="1131">
        <v>13655.333333333299</v>
      </c>
      <c r="GX73" s="1131">
        <v>13671.333333333299</v>
      </c>
      <c r="GY73" s="1131">
        <v>13769.333333333299</v>
      </c>
    </row>
    <row r="74" spans="1:207" x14ac:dyDescent="0.35">
      <c r="A74" s="1131" t="s">
        <v>259</v>
      </c>
      <c r="B74" s="1131">
        <v>23545.666666666701</v>
      </c>
      <c r="C74" s="1131">
        <v>24037</v>
      </c>
      <c r="D74" s="1131">
        <v>25485.666666666701</v>
      </c>
      <c r="E74" s="1131">
        <v>25754.666666666701</v>
      </c>
      <c r="F74" s="1131">
        <v>25713</v>
      </c>
      <c r="G74" s="1131">
        <v>25998.666666666701</v>
      </c>
      <c r="H74" s="1131">
        <v>25691</v>
      </c>
      <c r="I74" s="1131">
        <v>26178.666666666701</v>
      </c>
      <c r="J74" s="1131">
        <v>25519</v>
      </c>
      <c r="K74" s="1131">
        <v>24875</v>
      </c>
      <c r="L74" s="1131">
        <v>25641</v>
      </c>
      <c r="M74" s="1131">
        <v>27114.333333333299</v>
      </c>
      <c r="N74" s="1131">
        <v>27472.666666666701</v>
      </c>
      <c r="O74" s="1131">
        <v>27079.333333333299</v>
      </c>
      <c r="P74" s="1131">
        <v>27510</v>
      </c>
      <c r="Q74" s="1131">
        <v>28620</v>
      </c>
      <c r="R74" s="1131">
        <v>30923.666666666701</v>
      </c>
      <c r="S74" s="1131">
        <v>33400.666666666701</v>
      </c>
      <c r="T74" s="1131">
        <v>33701.666666666701</v>
      </c>
      <c r="U74" s="1131">
        <v>33884</v>
      </c>
      <c r="V74" s="1131">
        <v>37820.333333333299</v>
      </c>
      <c r="W74" s="1131">
        <v>35429.666666666701</v>
      </c>
      <c r="X74" s="1131">
        <v>36988.333333333299</v>
      </c>
      <c r="Y74" s="1131">
        <v>39554</v>
      </c>
      <c r="Z74" s="1131">
        <v>42554</v>
      </c>
      <c r="AA74" s="1131">
        <v>38830.666666666701</v>
      </c>
      <c r="AB74" s="1131">
        <v>36130</v>
      </c>
      <c r="AC74" s="1131">
        <v>34359.666666666701</v>
      </c>
      <c r="AD74" s="1131">
        <v>36034</v>
      </c>
      <c r="AE74" s="1131">
        <v>37037.666666666701</v>
      </c>
      <c r="AF74" s="1131">
        <v>35666.333333333299</v>
      </c>
      <c r="AG74" s="1131">
        <v>35160</v>
      </c>
      <c r="AH74" s="1131">
        <v>34095.333333333299</v>
      </c>
      <c r="AI74" s="1131">
        <v>41889.666666666701</v>
      </c>
      <c r="AJ74" s="1131">
        <v>43760.666666666701</v>
      </c>
      <c r="AK74" s="1131">
        <v>45015.333333333299</v>
      </c>
      <c r="AL74" s="1131">
        <v>40794</v>
      </c>
      <c r="AM74" s="1131">
        <v>45875.333333333299</v>
      </c>
      <c r="AN74" s="1131">
        <v>49343.666666666701</v>
      </c>
      <c r="AO74" s="1131">
        <v>52609</v>
      </c>
      <c r="AP74" s="1131">
        <v>55934.333333333299</v>
      </c>
      <c r="AQ74" s="1131">
        <v>54112</v>
      </c>
      <c r="AR74" s="1131">
        <v>52797</v>
      </c>
      <c r="AS74" s="1131">
        <v>54381</v>
      </c>
      <c r="AT74" s="1131">
        <v>60484</v>
      </c>
      <c r="AU74" s="1131">
        <v>53862</v>
      </c>
      <c r="AV74" s="1131">
        <v>52044</v>
      </c>
      <c r="AW74" s="1131">
        <v>54313.666666666701</v>
      </c>
      <c r="AX74" s="1131">
        <v>51944</v>
      </c>
      <c r="AY74" s="1131">
        <v>52182.666666666701</v>
      </c>
      <c r="AZ74" s="1131">
        <v>52486.333333333299</v>
      </c>
      <c r="BA74" s="1131">
        <v>54765.333333333299</v>
      </c>
      <c r="BB74" s="1131">
        <v>52678.333333333299</v>
      </c>
      <c r="BC74" s="1131">
        <v>51386</v>
      </c>
      <c r="BD74" s="1131">
        <v>53662.333333333299</v>
      </c>
      <c r="BE74" s="1131">
        <v>53249</v>
      </c>
      <c r="BF74" s="1131">
        <v>55752.333333333299</v>
      </c>
      <c r="BG74" s="1131">
        <v>57382.666666666701</v>
      </c>
      <c r="BH74" s="1131">
        <v>59910.333333333299</v>
      </c>
      <c r="BI74" s="1131">
        <v>60890.666666666701</v>
      </c>
      <c r="BJ74" s="1131">
        <v>62514.666666666701</v>
      </c>
      <c r="BK74" s="1131">
        <v>65739.333333333299</v>
      </c>
      <c r="BL74" s="1131">
        <v>67220</v>
      </c>
      <c r="BM74" s="1131">
        <v>66558.333333333299</v>
      </c>
      <c r="BN74" s="1131">
        <v>70815.333333333299</v>
      </c>
      <c r="BO74" s="1131">
        <v>72215.333333333299</v>
      </c>
      <c r="BP74" s="1131">
        <v>73843.333333333299</v>
      </c>
      <c r="BQ74" s="1131">
        <v>71122.666666666701</v>
      </c>
      <c r="BR74" s="1131">
        <v>75290</v>
      </c>
      <c r="BS74" s="1131">
        <v>75025.666666666701</v>
      </c>
      <c r="BT74" s="1131">
        <v>77047</v>
      </c>
      <c r="BU74" s="1131">
        <v>78058</v>
      </c>
      <c r="BV74" s="1131">
        <v>79349.666666666701</v>
      </c>
      <c r="BW74" s="1131">
        <v>83348</v>
      </c>
      <c r="BX74" s="1131">
        <v>82022.666666666701</v>
      </c>
      <c r="BY74" s="1131">
        <v>84604</v>
      </c>
      <c r="BZ74" s="1131">
        <v>83566.666666666701</v>
      </c>
      <c r="CA74" s="1131">
        <v>85684</v>
      </c>
      <c r="CB74" s="1131">
        <v>85730.333333333299</v>
      </c>
      <c r="CC74" s="1131">
        <v>89358.333333333299</v>
      </c>
      <c r="CD74" s="1131">
        <v>94388.333333333299</v>
      </c>
      <c r="CE74" s="1131">
        <v>93807</v>
      </c>
      <c r="CF74" s="1131">
        <v>94972</v>
      </c>
      <c r="CG74" s="1131">
        <v>98807.666666666701</v>
      </c>
      <c r="CH74" s="1131">
        <v>95253.666666666701</v>
      </c>
      <c r="CI74" s="1131">
        <v>96128.666666666701</v>
      </c>
      <c r="CJ74" s="1131">
        <v>97326.333333333299</v>
      </c>
      <c r="CK74" s="1131">
        <v>99221</v>
      </c>
      <c r="CL74" s="1131">
        <v>106368.66666666701</v>
      </c>
      <c r="CM74" s="1131">
        <v>103446</v>
      </c>
      <c r="CN74" s="1131">
        <v>99580.333333333299</v>
      </c>
      <c r="CO74" s="1131">
        <v>98022.333333333299</v>
      </c>
      <c r="CP74" s="1131">
        <v>102495</v>
      </c>
      <c r="CQ74" s="1131">
        <v>111962</v>
      </c>
      <c r="CR74" s="1131">
        <v>116124.66666666701</v>
      </c>
      <c r="CS74" s="1131">
        <v>118029</v>
      </c>
      <c r="CT74" s="1131">
        <v>111803</v>
      </c>
      <c r="CU74" s="1131">
        <v>113545</v>
      </c>
      <c r="CV74" s="1131">
        <v>118942</v>
      </c>
      <c r="CW74" s="1131">
        <v>117294.33333333299</v>
      </c>
      <c r="CX74" s="1131">
        <v>116848.66666666701</v>
      </c>
      <c r="CY74" s="1131">
        <v>124434.33333333299</v>
      </c>
      <c r="CZ74" s="1131">
        <v>125240</v>
      </c>
      <c r="DA74" s="1131">
        <v>127572.66666666701</v>
      </c>
      <c r="DB74" s="1131">
        <v>126179.33333333299</v>
      </c>
      <c r="DC74" s="1131">
        <v>131672</v>
      </c>
      <c r="DD74" s="1131">
        <v>131615</v>
      </c>
      <c r="DE74" s="1131">
        <v>135638.66666666701</v>
      </c>
      <c r="DF74" s="1131">
        <v>135471.66666666701</v>
      </c>
      <c r="DG74" s="1131">
        <v>139479.33333333299</v>
      </c>
      <c r="DH74" s="1131">
        <v>141385.33333333299</v>
      </c>
      <c r="DI74" s="1131">
        <v>140102.66666666701</v>
      </c>
      <c r="DJ74" s="1131">
        <v>133975</v>
      </c>
      <c r="DK74" s="1131">
        <v>137818</v>
      </c>
      <c r="DL74" s="1131">
        <v>143529.33333333299</v>
      </c>
      <c r="DM74" s="1131">
        <v>144434.66666666701</v>
      </c>
      <c r="DN74" s="1131">
        <v>150497</v>
      </c>
      <c r="DO74" s="1131">
        <v>152515.33333333299</v>
      </c>
      <c r="DP74" s="1131">
        <v>155465.33333333299</v>
      </c>
      <c r="DQ74" s="1131">
        <v>163365.33333333299</v>
      </c>
      <c r="DR74" s="1131">
        <v>168776.33333333299</v>
      </c>
      <c r="DS74" s="1131">
        <v>165200.66666666701</v>
      </c>
      <c r="DT74" s="1131">
        <v>166145</v>
      </c>
      <c r="DU74" s="1131">
        <v>170616.66666666701</v>
      </c>
      <c r="DV74" s="1131">
        <v>176411.33333333299</v>
      </c>
      <c r="DW74" s="1131">
        <v>189275.66666666701</v>
      </c>
      <c r="DX74" s="1131">
        <v>187116</v>
      </c>
      <c r="DY74" s="1131">
        <v>193037.66666666701</v>
      </c>
      <c r="DZ74" s="1131">
        <v>198023.33333333299</v>
      </c>
      <c r="EA74" s="1131">
        <v>194794</v>
      </c>
      <c r="EB74" s="1131">
        <v>196443.66666666701</v>
      </c>
      <c r="EC74" s="1131">
        <v>199770.66666666701</v>
      </c>
      <c r="ED74" s="1131">
        <v>197410.66666666701</v>
      </c>
      <c r="EE74" s="1131">
        <v>195858</v>
      </c>
      <c r="EF74" s="1131">
        <v>200686</v>
      </c>
      <c r="EG74" s="1131">
        <v>199340</v>
      </c>
      <c r="EH74" s="1131">
        <v>197322.33333333299</v>
      </c>
      <c r="EI74" s="1131">
        <v>202356.33333333299</v>
      </c>
      <c r="EJ74" s="1131">
        <v>202328</v>
      </c>
      <c r="EK74" s="1131">
        <v>204931</v>
      </c>
      <c r="EL74" s="1131">
        <v>207202</v>
      </c>
      <c r="EM74" s="1131">
        <v>215946</v>
      </c>
      <c r="EN74" s="1131">
        <v>219407.66666666701</v>
      </c>
      <c r="EO74" s="1131">
        <v>222763.66666666701</v>
      </c>
      <c r="EP74" s="1131">
        <v>230117.66666666701</v>
      </c>
      <c r="EQ74" s="1131">
        <v>238436</v>
      </c>
      <c r="ER74" s="1131">
        <v>238965</v>
      </c>
      <c r="ES74" s="1131">
        <v>242956.33333333299</v>
      </c>
      <c r="ET74" s="1131">
        <v>258254.33333333299</v>
      </c>
      <c r="EU74" s="1131">
        <v>266203.66666666698</v>
      </c>
      <c r="EV74" s="1131">
        <v>271640.33333333302</v>
      </c>
      <c r="EW74" s="1131">
        <v>276454.66666666698</v>
      </c>
      <c r="EX74" s="1131">
        <v>278038.33333333302</v>
      </c>
      <c r="EY74" s="1131">
        <v>283074.33333333302</v>
      </c>
      <c r="EZ74" s="1131">
        <v>287093.66666666698</v>
      </c>
      <c r="FA74" s="1131">
        <v>288334</v>
      </c>
      <c r="FB74" s="1131">
        <v>289591.33333333302</v>
      </c>
      <c r="FC74" s="1131">
        <v>292223.66666666698</v>
      </c>
      <c r="FD74" s="1131">
        <v>287368</v>
      </c>
      <c r="FE74" s="1131">
        <v>274301</v>
      </c>
      <c r="FF74" s="1131">
        <v>268022</v>
      </c>
      <c r="FG74" s="1131">
        <v>274526.66666666698</v>
      </c>
      <c r="FH74" s="1131">
        <v>277232.33333333302</v>
      </c>
      <c r="FI74" s="1131">
        <v>269906.33333333302</v>
      </c>
      <c r="FJ74" s="1131">
        <v>258077</v>
      </c>
      <c r="FK74" s="1131">
        <v>251739</v>
      </c>
      <c r="FL74" s="1131">
        <v>253215.33333333299</v>
      </c>
      <c r="FM74" s="1131">
        <v>258046</v>
      </c>
      <c r="FN74" s="1131">
        <v>254528.33333333299</v>
      </c>
      <c r="FO74" s="1131">
        <v>254598.66666666701</v>
      </c>
      <c r="FP74" s="1131">
        <v>252248.66666666701</v>
      </c>
      <c r="FQ74" s="1131">
        <v>246424.33333333299</v>
      </c>
      <c r="FR74" s="1131">
        <v>242924.33333333299</v>
      </c>
      <c r="FS74" s="1131">
        <v>245991.66666666701</v>
      </c>
      <c r="FT74" s="1131">
        <v>249225</v>
      </c>
      <c r="FU74" s="1131">
        <v>247543.33333333299</v>
      </c>
      <c r="FV74" s="1131">
        <v>242281</v>
      </c>
      <c r="FW74" s="1131">
        <v>251080</v>
      </c>
      <c r="FX74" s="1131">
        <v>258128</v>
      </c>
      <c r="FY74" s="1131">
        <v>260687.66666666701</v>
      </c>
      <c r="FZ74" s="1131">
        <v>260300</v>
      </c>
      <c r="GA74" s="1131">
        <v>273597.33333333302</v>
      </c>
      <c r="GB74" s="1131">
        <v>278438.66666666698</v>
      </c>
      <c r="GC74" s="1131">
        <v>269445</v>
      </c>
      <c r="GD74" s="1131">
        <v>278949.33333333302</v>
      </c>
      <c r="GE74" s="1131">
        <v>274095</v>
      </c>
      <c r="GF74" s="1131">
        <v>271667</v>
      </c>
      <c r="GG74" s="1131">
        <v>276420.33333333302</v>
      </c>
      <c r="GH74" s="1131">
        <v>272574.33333333302</v>
      </c>
      <c r="GI74" s="1131">
        <v>274286.33333333302</v>
      </c>
      <c r="GJ74" s="1131">
        <v>274862.66666666698</v>
      </c>
      <c r="GK74" s="1131">
        <v>280795.33333333302</v>
      </c>
      <c r="GL74" s="1131">
        <v>282163</v>
      </c>
      <c r="GM74" s="1131">
        <v>291235.66666666698</v>
      </c>
      <c r="GN74" s="1131">
        <v>292706.66666666698</v>
      </c>
      <c r="GO74" s="1131">
        <v>285420</v>
      </c>
      <c r="GP74" s="1131">
        <v>304217</v>
      </c>
      <c r="GQ74" s="1131">
        <v>321543</v>
      </c>
      <c r="GR74" s="1131">
        <v>322016</v>
      </c>
      <c r="GS74" s="1131">
        <v>324071.66666666698</v>
      </c>
      <c r="GT74" s="1131">
        <v>341494</v>
      </c>
      <c r="GU74" s="1131">
        <v>335548.33333333302</v>
      </c>
      <c r="GV74" s="1131">
        <v>323099.33333333302</v>
      </c>
      <c r="GW74" s="1131">
        <v>328325</v>
      </c>
      <c r="GX74" s="1131">
        <v>322875.33333333302</v>
      </c>
      <c r="GY74" s="1131">
        <v>317506.66666666698</v>
      </c>
    </row>
    <row r="75" spans="1:207" x14ac:dyDescent="0.35">
      <c r="A75" s="1131" t="s">
        <v>673</v>
      </c>
      <c r="B75" s="1131">
        <v>1.4432117337345E-2</v>
      </c>
      <c r="C75" s="1131">
        <v>1.4432117337345E-2</v>
      </c>
      <c r="D75" s="1131">
        <v>8.2024190184901702E-3</v>
      </c>
      <c r="E75" s="1131">
        <v>1.30998345284059E-2</v>
      </c>
      <c r="F75" s="1131">
        <v>1.51535774238918E-2</v>
      </c>
      <c r="G75" s="1131">
        <v>1.336312849162E-2</v>
      </c>
      <c r="H75" s="1131">
        <v>1.0099673635000301E-2</v>
      </c>
      <c r="I75" s="1131">
        <v>8.2521940357158704E-3</v>
      </c>
      <c r="J75" s="1131">
        <v>1.60661701022E-2</v>
      </c>
      <c r="K75" s="1131">
        <v>6.0947022972339697E-3</v>
      </c>
      <c r="L75" s="1131">
        <v>9.0654918241124295E-3</v>
      </c>
      <c r="M75" s="1131">
        <v>1.13350125944585E-2</v>
      </c>
      <c r="N75" s="1131">
        <v>1.2702366127023801E-2</v>
      </c>
      <c r="O75" s="1131">
        <v>1.6560091818330801E-2</v>
      </c>
      <c r="P75" s="1131">
        <v>1.9072580645161302E-2</v>
      </c>
      <c r="Q75" s="1131">
        <v>1.73307482293357E-2</v>
      </c>
      <c r="R75" s="1131">
        <v>2.0263700361712999E-2</v>
      </c>
      <c r="S75" s="1131">
        <v>2.2224763647453499E-2</v>
      </c>
      <c r="T75" s="1131">
        <v>3.0803654670893001E-2</v>
      </c>
      <c r="U75" s="1131">
        <v>3.03172822980355E-2</v>
      </c>
      <c r="V75" s="1131">
        <v>2.2648267144211399E-2</v>
      </c>
      <c r="W75" s="1131">
        <v>1.4489767889026299E-2</v>
      </c>
      <c r="X75" s="1131">
        <v>1.76673661409328E-2</v>
      </c>
      <c r="Y75" s="1131">
        <v>1.6695490222163E-2</v>
      </c>
      <c r="Z75" s="1131">
        <v>1.0958456002617E-2</v>
      </c>
      <c r="AA75" s="1131">
        <v>9.9660249150623804E-3</v>
      </c>
      <c r="AB75" s="1131">
        <v>1.2751097299202201E-2</v>
      </c>
      <c r="AC75" s="1131">
        <v>1.6987757426212498E-2</v>
      </c>
      <c r="AD75" s="1131">
        <v>1.6175189747418099E-2</v>
      </c>
      <c r="AE75" s="1131">
        <v>1.5795273662299499E-2</v>
      </c>
      <c r="AF75" s="1131">
        <v>1.37716972034716E-2</v>
      </c>
      <c r="AG75" s="1131">
        <v>1.67058054160103E-2</v>
      </c>
      <c r="AH75" s="1131">
        <v>1.6372832792445099E-2</v>
      </c>
      <c r="AI75" s="1131">
        <v>1.9963754566637099E-2</v>
      </c>
      <c r="AJ75" s="1131">
        <v>1.7655187974165799E-2</v>
      </c>
      <c r="AK75" s="1131">
        <v>1.9759997782889501E-2</v>
      </c>
      <c r="AL75" s="1131">
        <v>1.8670507663876498E-2</v>
      </c>
      <c r="AM75" s="1131">
        <v>2.41442787396953E-2</v>
      </c>
      <c r="AN75" s="1131">
        <v>2.0891945399603901E-2</v>
      </c>
      <c r="AO75" s="1131">
        <v>1.8244450114825301E-2</v>
      </c>
      <c r="AP75" s="1131">
        <v>2.1851898258363499E-2</v>
      </c>
      <c r="AQ75" s="1131">
        <v>2.3738872403560801E-2</v>
      </c>
      <c r="AR75" s="1131">
        <v>2.23020721044438E-2</v>
      </c>
      <c r="AS75" s="1131">
        <v>2.6502015184178399E-2</v>
      </c>
      <c r="AT75" s="1131">
        <v>2.65026137375306E-2</v>
      </c>
      <c r="AU75" s="1131">
        <v>1.8791140366482901E-2</v>
      </c>
      <c r="AV75" s="1131">
        <v>1.9426800253203199E-2</v>
      </c>
      <c r="AW75" s="1131">
        <v>1.65299873669786E-2</v>
      </c>
      <c r="AX75" s="1131">
        <v>1.4323328067404001E-2</v>
      </c>
      <c r="AY75" s="1131">
        <v>1.32904163638252E-2</v>
      </c>
      <c r="AZ75" s="1131">
        <v>1.3874372374218701E-2</v>
      </c>
      <c r="BA75" s="1131">
        <v>1.01269404915911E-2</v>
      </c>
      <c r="BB75" s="1131">
        <v>7.9843115282252092E-3</v>
      </c>
      <c r="BC75" s="1131">
        <v>7.4247597871834898E-3</v>
      </c>
      <c r="BD75" s="1131">
        <v>1.0621526819847699E-2</v>
      </c>
      <c r="BE75" s="1131">
        <v>7.4875694647558201E-3</v>
      </c>
      <c r="BF75" s="1131">
        <v>9.8511680117672196E-3</v>
      </c>
      <c r="BG75" s="1131">
        <v>8.9884625704319508E-3</v>
      </c>
      <c r="BH75" s="1131">
        <v>9.0223564495603998E-3</v>
      </c>
      <c r="BI75" s="1131">
        <v>7.0027483904972999E-3</v>
      </c>
      <c r="BJ75" s="1131">
        <v>1.0225445844393799E-2</v>
      </c>
      <c r="BK75" s="1131">
        <v>5.92143002535117E-3</v>
      </c>
      <c r="BL75" s="1131">
        <v>6.6407902724381403E-3</v>
      </c>
      <c r="BM75" s="1131">
        <v>5.18986879134542E-3</v>
      </c>
      <c r="BN75" s="1131">
        <v>4.9449151001708103E-3</v>
      </c>
      <c r="BO75" s="1131">
        <v>3.5095336300157202E-3</v>
      </c>
      <c r="BP75" s="1131">
        <v>4.7411306605133997E-3</v>
      </c>
      <c r="BQ75" s="1131">
        <v>5.9388176190904298E-3</v>
      </c>
      <c r="BR75" s="1131">
        <v>5.7967395569507004E-3</v>
      </c>
      <c r="BS75" s="1131">
        <v>6.79186394992115E-3</v>
      </c>
      <c r="BT75" s="1131">
        <v>7.7147990277239798E-3</v>
      </c>
      <c r="BU75" s="1131">
        <v>7.4984269034468198E-3</v>
      </c>
      <c r="BV75" s="1131">
        <v>7.7375479259556004E-3</v>
      </c>
      <c r="BW75" s="1131">
        <v>9.98502246630051E-3</v>
      </c>
      <c r="BX75" s="1131">
        <v>1.2238566826324701E-2</v>
      </c>
      <c r="BY75" s="1131">
        <v>9.2110802391176493E-3</v>
      </c>
      <c r="BZ75" s="1131">
        <v>9.6108923446573992E-3</v>
      </c>
      <c r="CA75" s="1131">
        <v>1.08250148740661E-2</v>
      </c>
      <c r="CB75" s="1131">
        <v>7.42278828703635E-3</v>
      </c>
      <c r="CC75" s="1131">
        <v>6.8163006962365102E-3</v>
      </c>
      <c r="CD75" s="1131">
        <v>1.08967229234167E-2</v>
      </c>
      <c r="CE75" s="1131">
        <v>1.1193851354583499E-2</v>
      </c>
      <c r="CF75" s="1131">
        <v>8.6414886067964804E-3</v>
      </c>
      <c r="CG75" s="1131">
        <v>7.6450447915199504E-3</v>
      </c>
      <c r="CH75" s="1131">
        <v>9.7126543784522602E-3</v>
      </c>
      <c r="CI75" s="1131">
        <v>7.2067365315466904E-3</v>
      </c>
      <c r="CJ75" s="1131">
        <v>7.6738828626787799E-3</v>
      </c>
      <c r="CK75" s="1131">
        <v>5.8137774413322702E-3</v>
      </c>
      <c r="CL75" s="1131">
        <v>4.0039738688022498E-3</v>
      </c>
      <c r="CM75" s="1131">
        <v>5.9670164917540198E-3</v>
      </c>
      <c r="CN75" s="1131">
        <v>4.7840472145219701E-3</v>
      </c>
      <c r="CO75" s="1131">
        <v>7.0454916269895298E-3</v>
      </c>
      <c r="CP75" s="1131">
        <v>5.9504521754498701E-3</v>
      </c>
      <c r="CQ75" s="1131">
        <v>5.9006120237781196E-3</v>
      </c>
      <c r="CR75" s="1131">
        <v>5.0217609641782799E-3</v>
      </c>
      <c r="CS75" s="1131">
        <v>5.8801378790949198E-3</v>
      </c>
      <c r="CT75" s="1131">
        <v>5.1114438749064704E-3</v>
      </c>
      <c r="CU75" s="1131">
        <v>4.7702952425974204E-3</v>
      </c>
      <c r="CV75" s="1131">
        <v>5.33219275734242E-3</v>
      </c>
      <c r="CW75" s="1131">
        <v>5.5733613183197601E-3</v>
      </c>
      <c r="CX75" s="1131">
        <v>5.6976039037051097E-3</v>
      </c>
      <c r="CY75" s="1131">
        <v>4.9080786975359602E-3</v>
      </c>
      <c r="CZ75" s="1131">
        <v>4.47942395445211E-3</v>
      </c>
      <c r="DA75" s="1131">
        <v>4.7234030729905703E-3</v>
      </c>
      <c r="DB75" s="1131">
        <v>4.6044080639362503E-3</v>
      </c>
      <c r="DC75" s="1131">
        <v>4.0878122634366897E-3</v>
      </c>
      <c r="DD75" s="1131">
        <v>4.8525057572101904E-3</v>
      </c>
      <c r="DE75" s="1131">
        <v>4.2288489346029596E-3</v>
      </c>
      <c r="DF75" s="1131">
        <v>4.4827211475766404E-3</v>
      </c>
      <c r="DG75" s="1131">
        <v>4.9766045492656303E-3</v>
      </c>
      <c r="DH75" s="1131">
        <v>2.9738676427053501E-3</v>
      </c>
      <c r="DI75" s="1131">
        <v>3.5822097001410001E-3</v>
      </c>
      <c r="DJ75" s="1131">
        <v>1.0160156145557801E-3</v>
      </c>
      <c r="DK75" s="1131">
        <v>2.59088116669792E-3</v>
      </c>
      <c r="DL75" s="1131">
        <v>3.87627877237851E-3</v>
      </c>
      <c r="DM75" s="1131">
        <v>2.6803603890504001E-3</v>
      </c>
      <c r="DN75" s="1131">
        <v>2.6996625421822399E-3</v>
      </c>
      <c r="DO75" s="1131">
        <v>4.5269173408648599E-3</v>
      </c>
      <c r="DP75" s="1131">
        <v>3.83645154509149E-3</v>
      </c>
      <c r="DQ75" s="1131">
        <v>5.2615046332653596E-3</v>
      </c>
      <c r="DR75" s="1131">
        <v>6.6661458740202599E-3</v>
      </c>
      <c r="DS75" s="1131">
        <v>6.0141234900024099E-3</v>
      </c>
      <c r="DT75" s="1131">
        <v>6.26100818945008E-3</v>
      </c>
      <c r="DU75" s="1131">
        <v>5.4171457774372404E-3</v>
      </c>
      <c r="DV75" s="1131">
        <v>6.8493150684931798E-3</v>
      </c>
      <c r="DW75" s="1131">
        <v>6.6638900458142504E-3</v>
      </c>
      <c r="DX75" s="1131">
        <v>3.0340642669976999E-3</v>
      </c>
      <c r="DY75" s="1131">
        <v>3.2248790670348399E-3</v>
      </c>
      <c r="DZ75" s="1131">
        <v>2.6663011923600002E-3</v>
      </c>
      <c r="EA75" s="1131">
        <v>3.96396396396392E-3</v>
      </c>
      <c r="EB75" s="1131">
        <v>4.4681535757606899E-3</v>
      </c>
      <c r="EC75" s="1131">
        <v>5.8160310516910396E-3</v>
      </c>
      <c r="ED75" s="1131">
        <v>5.4026241317211001E-3</v>
      </c>
      <c r="EE75" s="1131">
        <v>3.4239898620656E-3</v>
      </c>
      <c r="EF75" s="1131">
        <v>5.7438463126449103E-3</v>
      </c>
      <c r="EG75" s="1131">
        <v>5.7955615657676596E-3</v>
      </c>
      <c r="EH75" s="1131">
        <v>7.1666946771986604E-3</v>
      </c>
      <c r="EI75" s="1131">
        <v>8.1169024660603401E-3</v>
      </c>
      <c r="EJ75" s="1131">
        <v>6.33719555450463E-3</v>
      </c>
      <c r="EK75" s="1131">
        <v>7.7071290944123998E-3</v>
      </c>
      <c r="EL75" s="1131">
        <v>7.6715011891992403E-3</v>
      </c>
      <c r="EM75" s="1131">
        <v>7.3122758301513704E-3</v>
      </c>
      <c r="EN75" s="1131">
        <v>9.4415474030002892E-3</v>
      </c>
      <c r="EO75" s="1131">
        <v>7.9650448318238105E-3</v>
      </c>
      <c r="EP75" s="1131">
        <v>6.9990065926126598E-3</v>
      </c>
      <c r="EQ75" s="1131">
        <v>8.84489484776463E-3</v>
      </c>
      <c r="ER75" s="1131">
        <v>7.3227917726934599E-3</v>
      </c>
      <c r="ES75" s="1131">
        <v>3.8057626969067999E-3</v>
      </c>
      <c r="ET75" s="1131">
        <v>1.00113190544744E-2</v>
      </c>
      <c r="EU75" s="1131">
        <v>6.3432998215606799E-3</v>
      </c>
      <c r="EV75" s="1131">
        <v>4.2274383453526597E-3</v>
      </c>
      <c r="EW75" s="1131">
        <v>4.8448569152257396E-3</v>
      </c>
      <c r="EX75" s="1131">
        <v>4.31791882741184E-3</v>
      </c>
      <c r="EY75" s="1131">
        <v>3.6272470261908799E-3</v>
      </c>
      <c r="EZ75" s="1131">
        <v>7.7491363273982598E-3</v>
      </c>
      <c r="FA75" s="1131">
        <v>1.80372136196771E-3</v>
      </c>
      <c r="FB75" s="1131">
        <v>2.7375625164527401E-4</v>
      </c>
      <c r="FC75" s="1131">
        <v>-1.3789328533383399E-3</v>
      </c>
      <c r="FD75" s="1131">
        <v>6.1136291767671701E-4</v>
      </c>
      <c r="FE75" s="1131">
        <v>3.6764705882352802E-3</v>
      </c>
      <c r="FF75" s="1131">
        <v>2.5294667128477099E-3</v>
      </c>
      <c r="FG75" s="1131">
        <v>4.65880776398153E-3</v>
      </c>
      <c r="FH75" s="1131">
        <v>3.6368183570751902E-3</v>
      </c>
      <c r="FI75" s="1131">
        <v>5.7313730376278302E-3</v>
      </c>
      <c r="FJ75" s="1131">
        <v>4.9037826230591301E-3</v>
      </c>
      <c r="FK75" s="1131">
        <v>7.22218227021032E-3</v>
      </c>
      <c r="FL75" s="1131">
        <v>5.2936496603497299E-3</v>
      </c>
      <c r="FM75" s="1131">
        <v>1.2783961201692201E-3</v>
      </c>
      <c r="FN75" s="1131">
        <v>5.9784976744656796E-3</v>
      </c>
      <c r="FO75" s="1131">
        <v>4.16007735930779E-3</v>
      </c>
      <c r="FP75" s="1131">
        <v>6.1590931888855201E-3</v>
      </c>
      <c r="FQ75" s="1131">
        <v>4.2470888498964401E-3</v>
      </c>
      <c r="FR75" s="1131">
        <v>3.9114464409808498E-3</v>
      </c>
      <c r="FS75" s="1131">
        <v>3.0062101973813401E-3</v>
      </c>
      <c r="FT75" s="1131">
        <v>5.3732697085617804E-3</v>
      </c>
      <c r="FU75" s="1131">
        <v>5.6583605464191099E-3</v>
      </c>
      <c r="FV75" s="1131">
        <v>4.0468064358849497E-3</v>
      </c>
      <c r="FW75" s="1131">
        <v>5.7009663477880501E-3</v>
      </c>
      <c r="FX75" s="1131">
        <v>4.6063813349812603E-3</v>
      </c>
      <c r="FY75" s="1131">
        <v>7.2095281123529798E-4</v>
      </c>
      <c r="FZ75" s="1131">
        <v>-1.1526934603856E-4</v>
      </c>
      <c r="GA75" s="1131">
        <v>5.6776697536795604E-3</v>
      </c>
      <c r="GB75" s="1131">
        <v>2.4454782533933602E-3</v>
      </c>
      <c r="GC75" s="1131">
        <v>-6.6705419338730602E-5</v>
      </c>
      <c r="GD75" s="1131">
        <v>-5.6226889795296697E-4</v>
      </c>
      <c r="GE75" s="1131">
        <v>6.7033459517700199E-3</v>
      </c>
      <c r="GF75" s="1131">
        <v>3.0120481927711201E-3</v>
      </c>
      <c r="GG75" s="1131">
        <v>5.4394016658168001E-3</v>
      </c>
      <c r="GH75" s="1131">
        <v>5.0436742744435197E-3</v>
      </c>
      <c r="GI75" s="1131">
        <v>3.30819479099498E-3</v>
      </c>
      <c r="GJ75" s="1131">
        <v>5.4116485502182501E-3</v>
      </c>
      <c r="GK75" s="1131">
        <v>6.6331918993534104E-3</v>
      </c>
      <c r="GL75" s="1131">
        <v>6.0188849417437398E-3</v>
      </c>
      <c r="GM75" s="1131">
        <v>7.7210187353631303E-3</v>
      </c>
      <c r="GN75" s="1131">
        <v>4.45731508043146E-3</v>
      </c>
      <c r="GO75" s="1131">
        <v>4.9165363724275003E-3</v>
      </c>
      <c r="GP75" s="1131">
        <v>2.7969889649341901E-3</v>
      </c>
      <c r="GQ75" s="1131">
        <v>5.7398073577155104E-3</v>
      </c>
      <c r="GR75" s="1131">
        <v>3.4063954628953401E-3</v>
      </c>
      <c r="GS75" s="1131">
        <v>3.7591980377520398E-3</v>
      </c>
      <c r="GT75" s="1131">
        <v>3.9841695662568002E-3</v>
      </c>
      <c r="GU75" s="1131">
        <v>-3.7743502914540099E-3</v>
      </c>
      <c r="GV75" s="1131">
        <v>8.9847657321919794E-3</v>
      </c>
      <c r="GW75" s="1131">
        <v>5.5007720381807798E-3</v>
      </c>
      <c r="GX75" s="1131">
        <v>1.0601076685483799E-2</v>
      </c>
      <c r="GY75" s="1131">
        <v>1.48498609983942E-2</v>
      </c>
    </row>
    <row r="76" spans="1:207" x14ac:dyDescent="0.35">
      <c r="A76" s="1131" t="s">
        <v>674</v>
      </c>
      <c r="B76" s="1131">
        <v>1.1084103062712699E-2</v>
      </c>
      <c r="C76" s="1131">
        <v>1.1084103062712699E-2</v>
      </c>
      <c r="D76" s="1131">
        <v>9.7124723531110107E-3</v>
      </c>
      <c r="E76" s="1131">
        <v>1.29523809523808E-2</v>
      </c>
      <c r="F76" s="1131">
        <v>9.4960511470478792E-3</v>
      </c>
      <c r="G76" s="1131">
        <v>1.1362578001303801E-2</v>
      </c>
      <c r="H76" s="1131">
        <v>9.8535776775023898E-3</v>
      </c>
      <c r="I76" s="1131">
        <v>6.2009848623016898E-3</v>
      </c>
      <c r="J76" s="1131">
        <v>1.05582744245059E-2</v>
      </c>
      <c r="K76" s="1131">
        <v>5.7396529303619399E-3</v>
      </c>
      <c r="L76" s="1131">
        <v>8.7832716572295907E-3</v>
      </c>
      <c r="M76" s="1131">
        <v>8.1764341907539801E-3</v>
      </c>
      <c r="N76" s="1131">
        <v>1.20555872166936E-2</v>
      </c>
      <c r="O76" s="1131">
        <v>1.9232435242138201E-2</v>
      </c>
      <c r="P76" s="1131">
        <v>1.81895452613683E-2</v>
      </c>
      <c r="Q76" s="1131">
        <v>2.0452458468987599E-2</v>
      </c>
      <c r="R76" s="1131">
        <v>2.9777486910994602E-2</v>
      </c>
      <c r="S76" s="1131">
        <v>2.8320622815379799E-2</v>
      </c>
      <c r="T76" s="1131">
        <v>2.69612576770057E-2</v>
      </c>
      <c r="U76" s="1131">
        <v>2.5425960055666299E-2</v>
      </c>
      <c r="V76" s="1131">
        <v>1.8816711293694801E-2</v>
      </c>
      <c r="W76" s="1131">
        <v>1.2276785714285801E-2</v>
      </c>
      <c r="X76" s="1131">
        <v>1.8707543479034E-2</v>
      </c>
      <c r="Y76" s="1131">
        <v>1.6792933701078799E-2</v>
      </c>
      <c r="Z76" s="1131">
        <v>1.0987501716797099E-2</v>
      </c>
      <c r="AA76" s="1131">
        <v>8.3888058687677809E-3</v>
      </c>
      <c r="AB76" s="1131">
        <v>1.5189788151291701E-2</v>
      </c>
      <c r="AC76" s="1131">
        <v>1.5791918253599501E-2</v>
      </c>
      <c r="AD76" s="1131">
        <v>1.8028610621203301E-2</v>
      </c>
      <c r="AE76" s="1131">
        <v>1.7131857555341599E-2</v>
      </c>
      <c r="AF76" s="1131">
        <v>1.50454201362602E-2</v>
      </c>
      <c r="AG76" s="1131">
        <v>1.4200926012243299E-2</v>
      </c>
      <c r="AH76" s="1131">
        <v>1.6422574912678501E-2</v>
      </c>
      <c r="AI76" s="1131">
        <v>2.05281244347983E-2</v>
      </c>
      <c r="AJ76" s="1131">
        <v>1.7545414266725699E-2</v>
      </c>
      <c r="AK76" s="1131">
        <v>1.8897500653139599E-2</v>
      </c>
      <c r="AL76" s="1131">
        <v>1.8860398860398801E-2</v>
      </c>
      <c r="AM76" s="1131">
        <v>2.7319501146468202E-2</v>
      </c>
      <c r="AN76" s="1131">
        <v>2.4796537739187201E-2</v>
      </c>
      <c r="AO76" s="1131">
        <v>2.4223107569721E-2</v>
      </c>
      <c r="AP76" s="1131">
        <v>3.0003630517089399E-2</v>
      </c>
      <c r="AQ76" s="1131">
        <v>2.4471915204310201E-2</v>
      </c>
      <c r="AR76" s="1131">
        <v>2.3395836917254401E-2</v>
      </c>
      <c r="AS76" s="1131">
        <v>2.47340489397978E-2</v>
      </c>
      <c r="AT76" s="1131">
        <v>2.59414618142619E-2</v>
      </c>
      <c r="AU76" s="1131">
        <v>1.6788487894015401E-2</v>
      </c>
      <c r="AV76" s="1131">
        <v>1.6466359654049099E-2</v>
      </c>
      <c r="AW76" s="1131">
        <v>1.53155940594061E-2</v>
      </c>
      <c r="AX76" s="1131">
        <v>1.2711956640038199E-2</v>
      </c>
      <c r="AY76" s="1131">
        <v>9.6292315959161101E-3</v>
      </c>
      <c r="AZ76" s="1131">
        <v>1.5796308517659102E-2</v>
      </c>
      <c r="BA76" s="1131">
        <v>1.1023787069055701E-2</v>
      </c>
      <c r="BB76" s="1131">
        <v>8.2709728239465097E-3</v>
      </c>
      <c r="BC76" s="1131">
        <v>9.1488486842106198E-3</v>
      </c>
      <c r="BD76" s="1131">
        <v>1.31404706122031E-2</v>
      </c>
      <c r="BE76" s="1131">
        <v>6.5956163281721799E-3</v>
      </c>
      <c r="BF76" s="1131">
        <v>1.08074633425226E-2</v>
      </c>
      <c r="BG76" s="1131">
        <v>9.6839858495227898E-3</v>
      </c>
      <c r="BH76" s="1131">
        <v>7.7120319442540702E-3</v>
      </c>
      <c r="BI76" s="1131">
        <v>6.1767962239964698E-3</v>
      </c>
      <c r="BJ76" s="1131">
        <v>1.1795139089978901E-2</v>
      </c>
      <c r="BK76" s="1131">
        <v>8.1088300389224894E-3</v>
      </c>
      <c r="BL76" s="1131">
        <v>7.8354183621325308E-3</v>
      </c>
      <c r="BM76" s="1131">
        <v>6.9857843045200204E-3</v>
      </c>
      <c r="BN76" s="1131">
        <v>7.08651138504002E-3</v>
      </c>
      <c r="BO76" s="1131">
        <v>-1.0554969168380399E-3</v>
      </c>
      <c r="BP76" s="1131">
        <v>5.2645237830422102E-3</v>
      </c>
      <c r="BQ76" s="1131">
        <v>6.0483127420247803E-3</v>
      </c>
      <c r="BR76" s="1131">
        <v>9.4211664650463208E-3</v>
      </c>
      <c r="BS76" s="1131">
        <v>9.6419233004068107E-3</v>
      </c>
      <c r="BT76" s="1131">
        <v>9.4779058683884792E-3</v>
      </c>
      <c r="BU76" s="1131">
        <v>8.6406556208800094E-3</v>
      </c>
      <c r="BV76" s="1131">
        <v>7.8954340722423594E-3</v>
      </c>
      <c r="BW76" s="1131">
        <v>1.10406224808104E-2</v>
      </c>
      <c r="BX76" s="1131">
        <v>1.23240657283505E-2</v>
      </c>
      <c r="BY76" s="1131">
        <v>1.01022207763299E-2</v>
      </c>
      <c r="BZ76" s="1131">
        <v>1.14928889868289E-2</v>
      </c>
      <c r="CA76" s="1131">
        <v>1.34738817851219E-2</v>
      </c>
      <c r="CB76" s="1131">
        <v>5.9032658123190397E-3</v>
      </c>
      <c r="CC76" s="1131">
        <v>7.8577064702787195E-3</v>
      </c>
      <c r="CD76" s="1131">
        <v>1.4500081552764501E-2</v>
      </c>
      <c r="CE76" s="1131">
        <v>9.0837473271274706E-3</v>
      </c>
      <c r="CF76" s="1131">
        <v>1.2698362118411801E-2</v>
      </c>
      <c r="CG76" s="1131">
        <v>1.3231384024795101E-2</v>
      </c>
      <c r="CH76" s="1131">
        <v>5.2482842147758601E-3</v>
      </c>
      <c r="CI76" s="1131">
        <v>5.4680259499535503E-3</v>
      </c>
      <c r="CJ76" s="1131">
        <v>6.7901803545642502E-3</v>
      </c>
      <c r="CK76" s="1131">
        <v>7.26318359375E-3</v>
      </c>
      <c r="CL76" s="1131">
        <v>6.2564382233532001E-3</v>
      </c>
      <c r="CM76" s="1131">
        <v>6.6541211893114101E-3</v>
      </c>
      <c r="CN76" s="1131">
        <v>6.3858106390295398E-3</v>
      </c>
      <c r="CO76" s="1131">
        <v>6.9694177787025203E-3</v>
      </c>
      <c r="CP76" s="1131">
        <v>5.9619556395083002E-3</v>
      </c>
      <c r="CQ76" s="1131">
        <v>6.7041236962166496E-3</v>
      </c>
      <c r="CR76" s="1131">
        <v>4.3570762415483504E-3</v>
      </c>
      <c r="CS76" s="1131">
        <v>5.7600510714854699E-3</v>
      </c>
      <c r="CT76" s="1131">
        <v>3.5776110790537402E-3</v>
      </c>
      <c r="CU76" s="1131">
        <v>5.5772769089237296E-3</v>
      </c>
      <c r="CV76" s="1131">
        <v>7.1902338612841498E-3</v>
      </c>
      <c r="CW76" s="1131">
        <v>4.6835748449451896E-3</v>
      </c>
      <c r="CX76" s="1131">
        <v>4.9018915368206403E-3</v>
      </c>
      <c r="CY76" s="1131">
        <v>5.8057804768332196E-3</v>
      </c>
      <c r="CZ76" s="1131">
        <v>4.0950956687024797E-3</v>
      </c>
      <c r="DA76" s="1131">
        <v>4.3985412432838702E-3</v>
      </c>
      <c r="DB76" s="1131">
        <v>5.5572493694391297E-3</v>
      </c>
      <c r="DC76" s="1131">
        <v>6.6842156038533504E-3</v>
      </c>
      <c r="DD76" s="1131">
        <v>4.2713980614423903E-3</v>
      </c>
      <c r="DE76" s="1131">
        <v>6.8160750313539503E-3</v>
      </c>
      <c r="DF76" s="1131">
        <v>4.4139948006933797E-3</v>
      </c>
      <c r="DG76" s="1131">
        <v>2.50734679571862E-3</v>
      </c>
      <c r="DH76" s="1131">
        <v>2.6355421686745698E-3</v>
      </c>
      <c r="DI76" s="1131">
        <v>3.1382436564562099E-3</v>
      </c>
      <c r="DJ76" s="1131">
        <v>8.0216048557346694E-5</v>
      </c>
      <c r="DK76" s="1131">
        <v>1.80471632533008E-3</v>
      </c>
      <c r="DL76" s="1131">
        <v>3.0825071057794E-3</v>
      </c>
      <c r="DM76" s="1131">
        <v>2.6473327125182702E-3</v>
      </c>
      <c r="DN76" s="1131">
        <v>1.9636720667648398E-3</v>
      </c>
      <c r="DO76" s="1131">
        <v>5.6940821272031296E-3</v>
      </c>
      <c r="DP76" s="1131">
        <v>5.5038382029572999E-3</v>
      </c>
      <c r="DQ76" s="1131">
        <v>6.06298697047092E-3</v>
      </c>
      <c r="DR76" s="1131">
        <v>8.1220388400062796E-3</v>
      </c>
      <c r="DS76" s="1131">
        <v>4.7642410783452797E-3</v>
      </c>
      <c r="DT76" s="1131">
        <v>6.4507009676051403E-3</v>
      </c>
      <c r="DU76" s="1131">
        <v>5.6560652681845198E-3</v>
      </c>
      <c r="DV76" s="1131">
        <v>7.4016707716526601E-3</v>
      </c>
      <c r="DW76" s="1131">
        <v>4.6881498191533302E-3</v>
      </c>
      <c r="DX76" s="1131">
        <v>5.0174985261097803E-4</v>
      </c>
      <c r="DY76" s="1131">
        <v>4.1373603640870699E-4</v>
      </c>
      <c r="DZ76" s="1131">
        <v>2.0051632954858302E-3</v>
      </c>
      <c r="EA76" s="1131">
        <v>7.41676463966789E-3</v>
      </c>
      <c r="EB76" s="1131">
        <v>5.1771015680286397E-3</v>
      </c>
      <c r="EC76" s="1131">
        <v>4.6687416629613799E-3</v>
      </c>
      <c r="ED76" s="1131">
        <v>7.6467261685231299E-3</v>
      </c>
      <c r="EE76" s="1131">
        <v>1.0004392172173701E-3</v>
      </c>
      <c r="EF76" s="1131">
        <v>6.5938619798648901E-3</v>
      </c>
      <c r="EG76" s="1131">
        <v>4.9160279462867598E-3</v>
      </c>
      <c r="EH76" s="1131">
        <v>7.7114937404358904E-3</v>
      </c>
      <c r="EI76" s="1131">
        <v>6.7317924742624803E-3</v>
      </c>
      <c r="EJ76" s="1131">
        <v>4.9170981994395299E-3</v>
      </c>
      <c r="EK76" s="1131">
        <v>8.5450892329512803E-3</v>
      </c>
      <c r="EL76" s="1131">
        <v>5.8125227051668603E-3</v>
      </c>
      <c r="EM76" s="1131">
        <v>6.3148819163685302E-3</v>
      </c>
      <c r="EN76" s="1131">
        <v>1.08022368619098E-2</v>
      </c>
      <c r="EO76" s="1131">
        <v>7.9606890864105696E-3</v>
      </c>
      <c r="EP76" s="1131">
        <v>5.1932408322823403E-3</v>
      </c>
      <c r="EQ76" s="1131">
        <v>8.772723161798E-3</v>
      </c>
      <c r="ER76" s="1131">
        <v>7.1947283485744896E-3</v>
      </c>
      <c r="ES76" s="1131">
        <v>-1.6467498942963599E-3</v>
      </c>
      <c r="ET76" s="1131">
        <v>9.1389340882241897E-3</v>
      </c>
      <c r="EU76" s="1131">
        <v>8.4929207253770008E-3</v>
      </c>
      <c r="EV76" s="1131">
        <v>5.6507693150085201E-3</v>
      </c>
      <c r="EW76" s="1131">
        <v>1.0170857335758E-2</v>
      </c>
      <c r="EX76" s="1131">
        <v>8.1388454697353101E-3</v>
      </c>
      <c r="EY76" s="1131">
        <v>9.7305389221558104E-3</v>
      </c>
      <c r="EZ76" s="1131">
        <v>1.06745737583394E-2</v>
      </c>
      <c r="FA76" s="1131">
        <v>-1.59684821559547E-2</v>
      </c>
      <c r="FB76" s="1131">
        <v>-6.7508571671954804E-3</v>
      </c>
      <c r="FC76" s="1131">
        <v>3.9772727272726601E-3</v>
      </c>
      <c r="FD76" s="1131">
        <v>6.88727296024605E-3</v>
      </c>
      <c r="FE76" s="1131">
        <v>7.7203698990413504E-3</v>
      </c>
      <c r="FF76" s="1131">
        <v>3.8621821855531202E-3</v>
      </c>
      <c r="FG76" s="1131">
        <v>1.5515090522166799E-3</v>
      </c>
      <c r="FH76" s="1131">
        <v>1.925915071332E-3</v>
      </c>
      <c r="FI76" s="1131">
        <v>6.4038945707927102E-3</v>
      </c>
      <c r="FJ76" s="1131">
        <v>8.3976914133865304E-3</v>
      </c>
      <c r="FK76" s="1131">
        <v>9.8306655000257592E-3</v>
      </c>
      <c r="FL76" s="1131">
        <v>4.6279306829766203E-3</v>
      </c>
      <c r="FM76" s="1131">
        <v>3.2976845181322801E-3</v>
      </c>
      <c r="FN76" s="1131">
        <v>6.6242579314110799E-3</v>
      </c>
      <c r="FO76" s="1131">
        <v>2.4212831796171E-3</v>
      </c>
      <c r="FP76" s="1131">
        <v>2.90653971435728E-3</v>
      </c>
      <c r="FQ76" s="1131">
        <v>5.6063558686854104E-3</v>
      </c>
      <c r="FR76" s="1131">
        <v>3.60741756603655E-3</v>
      </c>
      <c r="FS76" s="1131">
        <v>7.1294893503259804E-4</v>
      </c>
      <c r="FT76" s="1131">
        <v>4.0569557000227404E-3</v>
      </c>
      <c r="FU76" s="1131">
        <v>4.1883888007410199E-3</v>
      </c>
      <c r="FV76" s="1131">
        <v>4.8088246839914604E-3</v>
      </c>
      <c r="FW76" s="1131">
        <v>5.0104506475494599E-3</v>
      </c>
      <c r="FX76" s="1131">
        <v>2.8280158213393998E-3</v>
      </c>
      <c r="FY76" s="1131">
        <v>-1.15321252059308E-3</v>
      </c>
      <c r="FZ76" s="1131">
        <v>-4.1524774184784601E-3</v>
      </c>
      <c r="GA76" s="1131">
        <v>4.8517677776371802E-3</v>
      </c>
      <c r="GB76" s="1131">
        <v>2.4141708922735799E-3</v>
      </c>
      <c r="GC76" s="1131">
        <v>-9.8655575974471209E-4</v>
      </c>
      <c r="GD76" s="1131">
        <v>5.3249167376656604E-4</v>
      </c>
      <c r="GE76" s="1131">
        <v>6.2800576720243298E-3</v>
      </c>
      <c r="GF76" s="1131">
        <v>3.7502884837294901E-3</v>
      </c>
      <c r="GG76" s="1131">
        <v>4.7326167346859504E-3</v>
      </c>
      <c r="GH76" s="1131">
        <v>5.50173538273779E-3</v>
      </c>
      <c r="GI76" s="1131">
        <v>2.8259034830682198E-3</v>
      </c>
      <c r="GJ76" s="1131">
        <v>3.7351892653496601E-3</v>
      </c>
      <c r="GK76" s="1131">
        <v>6.6889001940722004E-3</v>
      </c>
      <c r="GL76" s="1131">
        <v>6.56023059070154E-3</v>
      </c>
      <c r="GM76" s="1131">
        <v>5.8294671662466602E-3</v>
      </c>
      <c r="GN76" s="1131">
        <v>3.3461510019967599E-3</v>
      </c>
      <c r="GO76" s="1131">
        <v>4.0535809702799703E-3</v>
      </c>
      <c r="GP76" s="1131">
        <v>1.0460059090158201E-3</v>
      </c>
      <c r="GQ76" s="1131">
        <v>6.7369385884510401E-3</v>
      </c>
      <c r="GR76" s="1131">
        <v>2.78599717758476E-3</v>
      </c>
      <c r="GS76" s="1131">
        <v>4.2763366956899401E-3</v>
      </c>
      <c r="GT76" s="1131">
        <v>3.1280512060174498E-3</v>
      </c>
      <c r="GU76" s="1131">
        <v>-4.0826258584330003E-3</v>
      </c>
      <c r="GV76" s="1131">
        <v>9.0674630107234807E-3</v>
      </c>
      <c r="GW76" s="1131">
        <v>3.7755477234613401E-3</v>
      </c>
      <c r="GX76" s="1131">
        <v>9.4793081266528693E-3</v>
      </c>
      <c r="GY76" s="1131">
        <v>1.5780297197072201E-2</v>
      </c>
    </row>
    <row r="77" spans="1:207" x14ac:dyDescent="0.35">
      <c r="A77" s="1131" t="s">
        <v>675</v>
      </c>
      <c r="B77" s="1131">
        <v>1.32057313943541E-2</v>
      </c>
      <c r="C77" s="1131">
        <v>1.32057313943541E-2</v>
      </c>
      <c r="D77" s="1131">
        <v>1.7043955464091501E-2</v>
      </c>
      <c r="E77" s="1131">
        <v>1.2711424717235501E-2</v>
      </c>
      <c r="F77" s="1131">
        <v>3.1661458066499303E-2</v>
      </c>
      <c r="G77" s="1131">
        <v>1.86720961414313E-2</v>
      </c>
      <c r="H77" s="1131">
        <v>1.4478623312046E-2</v>
      </c>
      <c r="I77" s="1131">
        <v>2.03267659778954E-2</v>
      </c>
      <c r="J77" s="1131">
        <v>4.11623416380162E-2</v>
      </c>
      <c r="K77" s="1131">
        <v>1.00873026643145E-2</v>
      </c>
      <c r="L77" s="1131">
        <v>8.1952530228392995E-3</v>
      </c>
      <c r="M77" s="1131">
        <v>2.17652023275441E-2</v>
      </c>
      <c r="N77" s="1131">
        <v>1.60848584967179E-2</v>
      </c>
      <c r="O77" s="1131">
        <v>1.74132546100201E-2</v>
      </c>
      <c r="P77" s="1131">
        <v>2.0689655172413599E-2</v>
      </c>
      <c r="Q77" s="1131">
        <v>2.13826631509559E-2</v>
      </c>
      <c r="R77" s="1131">
        <v>1.0245653664636501E-2</v>
      </c>
      <c r="S77" s="1131">
        <v>1.8087442603314002E-2</v>
      </c>
      <c r="T77" s="1131">
        <v>2.9178759118362301E-2</v>
      </c>
      <c r="U77" s="1131">
        <v>3.32291746055942E-2</v>
      </c>
      <c r="V77" s="1131">
        <v>1.8182488751198499E-2</v>
      </c>
      <c r="W77" s="1131">
        <v>1.4452856159669699E-2</v>
      </c>
      <c r="X77" s="1131">
        <v>1.34971077626223E-2</v>
      </c>
      <c r="Y77" s="1131">
        <v>2.29706877113867E-2</v>
      </c>
      <c r="Z77" s="1131">
        <v>1.4602562336409899E-2</v>
      </c>
      <c r="AA77" s="1131">
        <v>8.3842498302784101E-3</v>
      </c>
      <c r="AB77" s="1131">
        <v>1.1445113946208001E-2</v>
      </c>
      <c r="AC77" s="1131">
        <v>2.67580790095516E-2</v>
      </c>
      <c r="AD77" s="1131">
        <v>1.41324430326408E-2</v>
      </c>
      <c r="AE77" s="1131">
        <v>1.1378527823057601E-2</v>
      </c>
      <c r="AF77" s="1131">
        <v>4.9300003160255299E-3</v>
      </c>
      <c r="AG77" s="1131">
        <v>2.89946224724047E-2</v>
      </c>
      <c r="AH77" s="1131">
        <v>1.14299685217445E-2</v>
      </c>
      <c r="AI77" s="1131">
        <v>1.9640429067834898E-2</v>
      </c>
      <c r="AJ77" s="1131">
        <v>1.6713587198103501E-2</v>
      </c>
      <c r="AK77" s="1131">
        <v>1.7254947681366602E-2</v>
      </c>
      <c r="AL77" s="1131">
        <v>1.8423540872754201E-2</v>
      </c>
      <c r="AM77" s="1131">
        <v>1.51080351114115E-2</v>
      </c>
      <c r="AN77" s="1131">
        <v>2.3336382029322901E-2</v>
      </c>
      <c r="AO77" s="1131">
        <v>2.2018795872491299E-2</v>
      </c>
      <c r="AP77" s="1131">
        <v>1.97689209243164E-2</v>
      </c>
      <c r="AQ77" s="1131">
        <v>3.8667428927810402E-2</v>
      </c>
      <c r="AR77" s="1131">
        <v>1.0132599449587099E-2</v>
      </c>
      <c r="AS77" s="1131">
        <v>3.0092879256966101E-2</v>
      </c>
      <c r="AT77" s="1131">
        <v>1.9980764606876599E-2</v>
      </c>
      <c r="AU77" s="1131">
        <v>2.32432050163833E-2</v>
      </c>
      <c r="AV77" s="1131">
        <v>2.19549842191353E-2</v>
      </c>
      <c r="AW77" s="1131">
        <v>1.9138863841298599E-2</v>
      </c>
      <c r="AX77" s="1131">
        <v>1.5992390895618099E-2</v>
      </c>
      <c r="AY77" s="1131">
        <v>1.9790124531916801E-2</v>
      </c>
      <c r="AZ77" s="1131">
        <v>8.4114344271044601E-3</v>
      </c>
      <c r="BA77" s="1131">
        <v>1.17921033132211E-2</v>
      </c>
      <c r="BB77" s="1131">
        <v>1.8831603615667701E-3</v>
      </c>
      <c r="BC77" s="1131">
        <v>7.7273296854769597E-3</v>
      </c>
      <c r="BD77" s="1131">
        <v>1.1066898781397499E-2</v>
      </c>
      <c r="BE77" s="1131">
        <v>6.5387611199934099E-3</v>
      </c>
      <c r="BF77" s="1131">
        <v>1.2951837898381099E-2</v>
      </c>
      <c r="BG77" s="1131">
        <v>9.9716531633864403E-3</v>
      </c>
      <c r="BH77" s="1131">
        <v>1.48695184823935E-2</v>
      </c>
      <c r="BI77" s="1131">
        <v>1.23175898321042E-2</v>
      </c>
      <c r="BJ77" s="1131">
        <v>-3.9913198480974197E-3</v>
      </c>
      <c r="BK77" s="1131">
        <v>2.3538108392016101E-3</v>
      </c>
      <c r="BL77" s="1131">
        <v>5.3370077823275998E-3</v>
      </c>
      <c r="BM77" s="1131">
        <v>6.5634531485272403E-3</v>
      </c>
      <c r="BN77" s="1131">
        <v>-2.53154846381043E-3</v>
      </c>
      <c r="BO77" s="1131">
        <v>-2.48029225149005E-3</v>
      </c>
      <c r="BP77" s="1131">
        <v>1.4070661706597799E-3</v>
      </c>
      <c r="BQ77" s="1131">
        <v>1.13561997151312E-3</v>
      </c>
      <c r="BR77" s="1131">
        <v>-1.71111068386742E-3</v>
      </c>
      <c r="BS77" s="1131">
        <v>4.7569524689932098E-3</v>
      </c>
      <c r="BT77" s="1131">
        <v>7.2262367982212101E-3</v>
      </c>
      <c r="BU77" s="1131">
        <v>2.0933241988276802E-3</v>
      </c>
      <c r="BV77" s="1131">
        <v>1.36351551521137E-2</v>
      </c>
      <c r="BW77" s="1131">
        <v>9.8358812949641498E-3</v>
      </c>
      <c r="BX77" s="1131">
        <v>5.7141796998201296E-3</v>
      </c>
      <c r="BY77" s="1131">
        <v>8.0429448984487006E-3</v>
      </c>
      <c r="BZ77" s="1131">
        <v>7.42977399579092E-3</v>
      </c>
      <c r="CA77" s="1131">
        <v>7.3386496158107696E-3</v>
      </c>
      <c r="CB77" s="1131">
        <v>4.9770083851772302E-3</v>
      </c>
      <c r="CC77" s="1131">
        <v>3.5886669896465499E-3</v>
      </c>
      <c r="CD77" s="1131">
        <v>7.0086356403427103E-3</v>
      </c>
      <c r="CE77" s="1131">
        <v>1.7168829785345199E-2</v>
      </c>
      <c r="CF77" s="1131">
        <v>1.34403909931913E-3</v>
      </c>
      <c r="CG77" s="1131">
        <v>1.19057995014555E-2</v>
      </c>
      <c r="CH77" s="1131">
        <v>8.9750215331609907E-3</v>
      </c>
      <c r="CI77" s="1131">
        <v>4.9341824452373596E-3</v>
      </c>
      <c r="CJ77" s="1131">
        <v>1.2844036697247801E-2</v>
      </c>
      <c r="CK77" s="1131">
        <v>1.0114734299516899E-2</v>
      </c>
      <c r="CL77" s="1131">
        <v>1.4613328019394999E-3</v>
      </c>
      <c r="CM77" s="1131">
        <v>3.6480010612367502E-3</v>
      </c>
      <c r="CN77" s="1131">
        <v>8.7233796487518108E-3</v>
      </c>
      <c r="CO77" s="1131">
        <v>6.2894111866349496E-3</v>
      </c>
      <c r="CP77" s="1131">
        <v>2.49027490681808E-3</v>
      </c>
      <c r="CQ77" s="1131">
        <v>4.3999220678010396E-3</v>
      </c>
      <c r="CR77" s="1131">
        <v>7.2418085123580099E-3</v>
      </c>
      <c r="CS77" s="1131">
        <v>8.9711286931681792E-3</v>
      </c>
      <c r="CT77" s="1131">
        <v>4.58088118339428E-3</v>
      </c>
      <c r="CU77" s="1131">
        <v>8.3916526805789503E-3</v>
      </c>
      <c r="CV77" s="1131">
        <v>5.7467654817233704E-3</v>
      </c>
      <c r="CW77" s="1131">
        <v>8.2118212757984494E-3</v>
      </c>
      <c r="CX77" s="1131">
        <v>8.4236605760297199E-3</v>
      </c>
      <c r="CY77" s="1131">
        <v>6.6642098151221702E-3</v>
      </c>
      <c r="CZ77" s="1131">
        <v>5.1709936239665603E-3</v>
      </c>
      <c r="DA77" s="1131">
        <v>1.3809429867824E-2</v>
      </c>
      <c r="DB77" s="1131">
        <v>2.3500531381441801E-3</v>
      </c>
      <c r="DC77" s="1131">
        <v>-5.3610895406486199E-3</v>
      </c>
      <c r="DD77" s="1131">
        <v>5.8103745965016902E-3</v>
      </c>
      <c r="DE77" s="1131">
        <v>3.4332457606875998E-3</v>
      </c>
      <c r="DF77" s="1131">
        <v>3.40662283181103E-3</v>
      </c>
      <c r="DG77" s="1131">
        <v>6.5825562260011204E-3</v>
      </c>
      <c r="DH77" s="1131">
        <v>2.29766551292454E-3</v>
      </c>
      <c r="DI77" s="1131">
        <v>7.0094487957561603E-3</v>
      </c>
      <c r="DJ77" s="1131">
        <v>-4.1880691104366798E-3</v>
      </c>
      <c r="DK77" s="1131">
        <v>6.4330827508389801E-3</v>
      </c>
      <c r="DL77" s="1131">
        <v>6.5375655212580597E-3</v>
      </c>
      <c r="DM77" s="1131">
        <v>3.2113874061536801E-3</v>
      </c>
      <c r="DN77" s="1131">
        <v>2.9703969661576402E-3</v>
      </c>
      <c r="DO77" s="1131">
        <v>8.4103684747760497E-3</v>
      </c>
      <c r="DP77" s="1131">
        <v>9.0815773716175201E-3</v>
      </c>
      <c r="DQ77" s="1131">
        <v>1.22917814606027E-2</v>
      </c>
      <c r="DR77" s="1131">
        <v>9.7419363843178602E-3</v>
      </c>
      <c r="DS77" s="1131">
        <v>3.84259195267256E-3</v>
      </c>
      <c r="DT77" s="1131">
        <v>7.16006884681586E-3</v>
      </c>
      <c r="DU77" s="1131">
        <v>4.5252580490806604E-3</v>
      </c>
      <c r="DV77" s="1131">
        <v>1.7012357776688999E-3</v>
      </c>
      <c r="DW77" s="1131">
        <v>5.2580807325988098E-3</v>
      </c>
      <c r="DX77" s="1131">
        <v>6.4064442882629802E-3</v>
      </c>
      <c r="DY77" s="1131">
        <v>6.4731003733446996E-3</v>
      </c>
      <c r="DZ77" s="1131">
        <v>6.4848420153715801E-3</v>
      </c>
      <c r="EA77" s="1131">
        <v>9.4524724910511893E-3</v>
      </c>
      <c r="EB77" s="1131">
        <v>8.5891020842361297E-3</v>
      </c>
      <c r="EC77" s="1131">
        <v>1.85293696368347E-2</v>
      </c>
      <c r="ED77" s="1131">
        <v>1.11480439785221E-2</v>
      </c>
      <c r="EE77" s="1131">
        <v>7.1056491174834599E-3</v>
      </c>
      <c r="EF77" s="1131">
        <v>9.0516483792402198E-3</v>
      </c>
      <c r="EG77" s="1131">
        <v>7.4898911353034102E-3</v>
      </c>
      <c r="EH77" s="1131">
        <v>8.5085888585647602E-3</v>
      </c>
      <c r="EI77" s="1131">
        <v>8.6817035241104606E-3</v>
      </c>
      <c r="EJ77" s="1131">
        <v>9.1532625189680895E-3</v>
      </c>
      <c r="EK77" s="1131">
        <v>9.7318625269160498E-3</v>
      </c>
      <c r="EL77" s="1131">
        <v>1.3164478543687101E-2</v>
      </c>
      <c r="EM77" s="1131">
        <v>9.0189668755804604E-3</v>
      </c>
      <c r="EN77" s="1131">
        <v>1.0441673464631099E-2</v>
      </c>
      <c r="EO77" s="1131">
        <v>7.1852005628214597E-3</v>
      </c>
      <c r="EP77" s="1131">
        <v>8.4164481443735895E-3</v>
      </c>
      <c r="EQ77" s="1131">
        <v>6.9608466569768303E-3</v>
      </c>
      <c r="ER77" s="1131">
        <v>7.4089109915760299E-3</v>
      </c>
      <c r="ES77" s="1131">
        <v>5.2051850359326997E-3</v>
      </c>
      <c r="ET77" s="1131">
        <v>8.5524337687501503E-3</v>
      </c>
      <c r="EU77" s="1131">
        <v>7.9940817295483003E-3</v>
      </c>
      <c r="EV77" s="1131">
        <v>6.8900548794514904E-3</v>
      </c>
      <c r="EW77" s="1131">
        <v>8.0178416013925204E-3</v>
      </c>
      <c r="EX77" s="1131">
        <v>8.4289368315399998E-3</v>
      </c>
      <c r="EY77" s="1131">
        <v>1.02420856610801E-2</v>
      </c>
      <c r="EZ77" s="1131">
        <v>7.5003972668044004E-3</v>
      </c>
      <c r="FA77" s="1131">
        <v>-4.7632566795998699E-3</v>
      </c>
      <c r="FB77" s="1131">
        <v>-8.3888008452193095E-3</v>
      </c>
      <c r="FC77" s="1131">
        <v>1.81128537333874E-4</v>
      </c>
      <c r="FD77" s="1131">
        <v>3.0573221267029501E-3</v>
      </c>
      <c r="FE77" s="1131">
        <v>7.6890399320306297E-3</v>
      </c>
      <c r="FF77" s="1131">
        <v>6.3656675519581096E-3</v>
      </c>
      <c r="FG77" s="1131">
        <v>7.6658847184987201E-3</v>
      </c>
      <c r="FH77" s="1131">
        <v>3.97006859280813E-3</v>
      </c>
      <c r="FI77" s="1131">
        <v>8.1364775056416098E-3</v>
      </c>
      <c r="FJ77" s="1131">
        <v>8.9846798373516296E-3</v>
      </c>
      <c r="FK77" s="1131">
        <v>9.0471489777432801E-3</v>
      </c>
      <c r="FL77" s="1131">
        <v>3.4795062126835598E-3</v>
      </c>
      <c r="FM77" s="1131">
        <v>-1.3367237203131301E-3</v>
      </c>
      <c r="FN77" s="1131">
        <v>3.4620184372609101E-3</v>
      </c>
      <c r="FO77" s="1131">
        <v>2.2064428130139598E-3</v>
      </c>
      <c r="FP77" s="1131">
        <v>1.9213833960451999E-3</v>
      </c>
      <c r="FQ77" s="1131">
        <v>1.2385137834598501E-3</v>
      </c>
      <c r="FR77" s="1131">
        <v>-4.9878296955352397E-5</v>
      </c>
      <c r="FS77" s="1131">
        <v>1.9752790829916699E-3</v>
      </c>
      <c r="FT77" s="1131">
        <v>3.23585929488135E-3</v>
      </c>
      <c r="FU77" s="1131">
        <v>1.5214068795776199E-2</v>
      </c>
      <c r="FV77" s="1131">
        <v>-2.5807712986949398E-3</v>
      </c>
      <c r="FW77" s="1131">
        <v>4.4202252256666501E-3</v>
      </c>
      <c r="FX77" s="1131">
        <v>4.6739915302198599E-3</v>
      </c>
      <c r="FY77" s="1131">
        <v>1.3403133225202699E-3</v>
      </c>
      <c r="FZ77" s="1131">
        <v>-1.6101029107944401E-3</v>
      </c>
      <c r="GA77" s="1131">
        <v>1.9624415882175698E-3</v>
      </c>
      <c r="GB77" s="1131">
        <v>1.53197265719696E-3</v>
      </c>
      <c r="GC77" s="1131">
        <v>-7.9385824789679504E-4</v>
      </c>
      <c r="GD77" s="1131">
        <v>-2.4997335555317899E-3</v>
      </c>
      <c r="GE77" s="1131">
        <v>5.3810962283760101E-3</v>
      </c>
      <c r="GF77" s="1131">
        <v>3.8837952988686202E-3</v>
      </c>
      <c r="GG77" s="1131">
        <v>4.8215265280195903E-3</v>
      </c>
      <c r="GH77" s="1131">
        <v>5.2485394119337102E-3</v>
      </c>
      <c r="GI77" s="1131">
        <v>3.7919929876712999E-3</v>
      </c>
      <c r="GJ77" s="1131">
        <v>4.7837807054178496E-3</v>
      </c>
      <c r="GK77" s="1131">
        <v>7.3020971093897798E-3</v>
      </c>
      <c r="GL77" s="1131">
        <v>9.5842750368084796E-3</v>
      </c>
      <c r="GM77" s="1131">
        <v>7.3568343318934897E-3</v>
      </c>
      <c r="GN77" s="1131">
        <v>5.7724049535716696E-3</v>
      </c>
      <c r="GO77" s="1131">
        <v>7.8387868675107199E-3</v>
      </c>
      <c r="GP77" s="1131">
        <v>1.0461392911724101E-2</v>
      </c>
      <c r="GQ77" s="1131">
        <v>-6.9770791695925602E-3</v>
      </c>
      <c r="GR77" s="1131">
        <v>3.3543965259330601E-3</v>
      </c>
      <c r="GS77" s="1131">
        <v>3.5690728542643298E-3</v>
      </c>
      <c r="GT77" s="1131">
        <v>2.9891597940001598E-3</v>
      </c>
      <c r="GU77" s="1131">
        <v>3.94973070017901E-4</v>
      </c>
      <c r="GV77" s="1131">
        <v>7.4028211478411902E-3</v>
      </c>
      <c r="GW77" s="1131">
        <v>6.1459530235417103E-3</v>
      </c>
      <c r="GX77" s="1131">
        <v>9.7911631653961901E-3</v>
      </c>
      <c r="GY77" s="1131">
        <v>1.0195940910884001E-2</v>
      </c>
    </row>
    <row r="78" spans="1:207" x14ac:dyDescent="0.35">
      <c r="A78" s="1131" t="s">
        <v>676</v>
      </c>
      <c r="B78" s="1131">
        <v>2.12315774113527E-2</v>
      </c>
      <c r="C78" s="1131">
        <v>2.12315774113527E-2</v>
      </c>
      <c r="D78" s="1131">
        <v>1.8075301850396502E-2</v>
      </c>
      <c r="E78" s="1131">
        <v>1.8947368421052602E-2</v>
      </c>
      <c r="F78" s="1131">
        <v>2.26584022038567E-2</v>
      </c>
      <c r="G78" s="1131">
        <v>1.8115698026803101E-2</v>
      </c>
      <c r="H78" s="1131">
        <v>1.4089165233496501E-2</v>
      </c>
      <c r="I78" s="1131">
        <v>1.0892961972474E-2</v>
      </c>
      <c r="J78" s="1131">
        <v>2.23899858046199E-2</v>
      </c>
      <c r="K78" s="1131">
        <v>1.1801830230356599E-2</v>
      </c>
      <c r="L78" s="1131">
        <v>1.5219560878243501E-2</v>
      </c>
      <c r="M78" s="1131">
        <v>1.37625952322438E-2</v>
      </c>
      <c r="N78" s="1131">
        <v>1.9696969696969501E-2</v>
      </c>
      <c r="O78" s="1131">
        <v>1.7771173848439799E-2</v>
      </c>
      <c r="P78" s="1131">
        <v>1.3431441252044001E-2</v>
      </c>
      <c r="Q78" s="1131">
        <v>1.8958165264492299E-2</v>
      </c>
      <c r="R78" s="1131">
        <v>2.9010914437595601E-2</v>
      </c>
      <c r="S78" s="1131">
        <v>3.4787865464937402E-2</v>
      </c>
      <c r="T78" s="1131">
        <v>3.6486271177439002E-2</v>
      </c>
      <c r="U78" s="1131">
        <v>2.9411764705882502E-2</v>
      </c>
      <c r="V78" s="1131">
        <v>2.0109507217521201E-2</v>
      </c>
      <c r="W78" s="1131">
        <v>1.9810676295501001E-2</v>
      </c>
      <c r="X78" s="1131">
        <v>1.2775119617225E-2</v>
      </c>
      <c r="Y78" s="1131">
        <v>1.28029479850709E-2</v>
      </c>
      <c r="Z78" s="1131">
        <v>1.1288366452094399E-2</v>
      </c>
      <c r="AA78" s="1131">
        <v>1.2130996309963201E-2</v>
      </c>
      <c r="AB78" s="1131">
        <v>7.4283370550973799E-3</v>
      </c>
      <c r="AC78" s="1131">
        <v>1.19424590608883E-2</v>
      </c>
      <c r="AD78" s="1131">
        <v>1.88645507375951E-2</v>
      </c>
      <c r="AE78" s="1131">
        <v>1.79010179010177E-2</v>
      </c>
      <c r="AF78" s="1131">
        <v>1.7025862068965399E-2</v>
      </c>
      <c r="AG78" s="1131">
        <v>1.6867980504344099E-2</v>
      </c>
      <c r="AH78" s="1131">
        <v>1.41291209936232E-2</v>
      </c>
      <c r="AI78" s="1131">
        <v>1.66858457997698E-2</v>
      </c>
      <c r="AJ78" s="1131">
        <v>1.52397121836849E-2</v>
      </c>
      <c r="AK78" s="1131">
        <v>1.43340633087798E-2</v>
      </c>
      <c r="AL78" s="1131">
        <v>2.3788027477919398E-2</v>
      </c>
      <c r="AM78" s="1131">
        <v>2.2890226601740799E-2</v>
      </c>
      <c r="AN78" s="1131">
        <v>3.3885598620586203E-2</v>
      </c>
      <c r="AO78" s="1131">
        <v>1.95417301138423E-2</v>
      </c>
      <c r="AP78" s="1131">
        <v>2.6030368763557701E-2</v>
      </c>
      <c r="AQ78" s="1131">
        <v>2.7449485322150101E-2</v>
      </c>
      <c r="AR78" s="1131">
        <v>2.8841288581548299E-2</v>
      </c>
      <c r="AS78" s="1131">
        <v>2.7213114754098398E-2</v>
      </c>
      <c r="AT78" s="1131">
        <v>3.25247366741142E-2</v>
      </c>
      <c r="AU78" s="1131">
        <v>2.15153482333303E-2</v>
      </c>
      <c r="AV78" s="1131">
        <v>1.35875321531245E-2</v>
      </c>
      <c r="AW78" s="1131">
        <v>1.5793873529587499E-2</v>
      </c>
      <c r="AX78" s="1131">
        <v>1.68415483643416E-2</v>
      </c>
      <c r="AY78" s="1131">
        <v>1.6071222106601901E-2</v>
      </c>
      <c r="AZ78" s="1131">
        <v>1.5703231679563098E-2</v>
      </c>
      <c r="BA78" s="1131">
        <v>1.2715662110687901E-2</v>
      </c>
      <c r="BB78" s="1131">
        <v>7.1906632003981797E-3</v>
      </c>
      <c r="BC78" s="1131">
        <v>1.09561205997035E-2</v>
      </c>
      <c r="BD78" s="1131">
        <v>9.6694461797539599E-3</v>
      </c>
      <c r="BE78" s="1131">
        <v>7.6130524843300903E-3</v>
      </c>
      <c r="BF78" s="1131">
        <v>1.44970098248611E-2</v>
      </c>
      <c r="BG78" s="1131">
        <v>9.5265664885917402E-3</v>
      </c>
      <c r="BH78" s="1131">
        <v>9.3323948802170893E-3</v>
      </c>
      <c r="BI78" s="1131">
        <v>9.9176115085617394E-3</v>
      </c>
      <c r="BJ78" s="1131">
        <v>1.1789376774160599E-2</v>
      </c>
      <c r="BK78" s="1131">
        <v>9.8574461631786292E-3</v>
      </c>
      <c r="BL78" s="1131">
        <v>8.2845272062870307E-3</v>
      </c>
      <c r="BM78" s="1131">
        <v>9.2590294154153395E-3</v>
      </c>
      <c r="BN78" s="1131">
        <v>4.1566235427221701E-3</v>
      </c>
      <c r="BO78" s="1131">
        <v>4.4088470864869196E-3</v>
      </c>
      <c r="BP78" s="1131">
        <v>8.6570585509790892E-3</v>
      </c>
      <c r="BQ78" s="1131">
        <v>1.2716986606063499E-2</v>
      </c>
      <c r="BR78" s="1131">
        <v>1.4300038197096999E-2</v>
      </c>
      <c r="BS78" s="1131">
        <v>1.22155012121354E-2</v>
      </c>
      <c r="BT78" s="1131">
        <v>1.1975073245593699E-2</v>
      </c>
      <c r="BU78" s="1131">
        <v>5.9511500195308402E-3</v>
      </c>
      <c r="BV78" s="1131">
        <v>5.1393330287803404E-3</v>
      </c>
      <c r="BW78" s="1131">
        <v>9.7488921713440001E-3</v>
      </c>
      <c r="BX78" s="1131">
        <v>8.4169779898277692E-3</v>
      </c>
      <c r="BY78" s="1131">
        <v>1.14488484199249E-2</v>
      </c>
      <c r="BZ78" s="1131">
        <v>1.31506365702434E-2</v>
      </c>
      <c r="CA78" s="1131">
        <v>1.35679595792408E-2</v>
      </c>
      <c r="CB78" s="1131">
        <v>9.3682853459389204E-3</v>
      </c>
      <c r="CC78" s="1131">
        <v>1.2921491825613101E-2</v>
      </c>
      <c r="CD78" s="1131">
        <v>1.4143706786037E-2</v>
      </c>
      <c r="CE78" s="1131">
        <v>1.0319960212201501E-2</v>
      </c>
      <c r="CF78" s="1131">
        <v>1.35988841941175E-2</v>
      </c>
      <c r="CG78" s="1131">
        <v>1.5743570026509199E-2</v>
      </c>
      <c r="CH78" s="1131">
        <v>4.20360593684621E-3</v>
      </c>
      <c r="CI78" s="1131">
        <v>6.0508669602825603E-3</v>
      </c>
      <c r="CJ78" s="1131">
        <v>8.2427875608841496E-3</v>
      </c>
      <c r="CK78" s="1131">
        <v>8.7230338946586699E-3</v>
      </c>
      <c r="CL78" s="1131">
        <v>7.1352399418322899E-3</v>
      </c>
      <c r="CM78" s="1131">
        <v>1.1936160791637101E-2</v>
      </c>
      <c r="CN78" s="1131">
        <v>7.3816182485779702E-3</v>
      </c>
      <c r="CO78" s="1131">
        <v>6.8176238409094498E-3</v>
      </c>
      <c r="CP78" s="1131">
        <v>5.8148259303723001E-3</v>
      </c>
      <c r="CQ78" s="1131">
        <v>5.8931035768901002E-3</v>
      </c>
      <c r="CR78" s="1131">
        <v>2.8551299640327001E-3</v>
      </c>
      <c r="CS78" s="1131">
        <v>5.0469570361606503E-3</v>
      </c>
      <c r="CT78" s="1131">
        <v>8.1670192219258607E-3</v>
      </c>
      <c r="CU78" s="1131">
        <v>5.5647795070152802E-3</v>
      </c>
      <c r="CV78" s="1131">
        <v>8.7455093079797895E-3</v>
      </c>
      <c r="CW78" s="1131">
        <v>8.4898194114684192E-3</v>
      </c>
      <c r="CX78" s="1131">
        <v>5.5825069558392802E-3</v>
      </c>
      <c r="CY78" s="1131">
        <v>7.5912098047215002E-3</v>
      </c>
      <c r="CZ78" s="1131">
        <v>4.1190656410077199E-3</v>
      </c>
      <c r="DA78" s="1131">
        <v>3.82167838297431E-3</v>
      </c>
      <c r="DB78" s="1131">
        <v>9.98934702502563E-3</v>
      </c>
      <c r="DC78" s="1131">
        <v>1.3660021095223099E-3</v>
      </c>
      <c r="DD78" s="1131">
        <v>6.3199336924990596E-3</v>
      </c>
      <c r="DE78" s="1131">
        <v>7.1725179312949203E-3</v>
      </c>
      <c r="DF78" s="1131">
        <v>6.62736813411491E-3</v>
      </c>
      <c r="DG78" s="1131">
        <v>3.2326309554033799E-3</v>
      </c>
      <c r="DH78" s="1131">
        <v>4.3525204129832903E-3</v>
      </c>
      <c r="DI78" s="1131">
        <v>7.8274599388585796E-3</v>
      </c>
      <c r="DJ78" s="1131">
        <v>1.34999999999996E-3</v>
      </c>
      <c r="DK78" s="1131">
        <v>4.4273564021903898E-3</v>
      </c>
      <c r="DL78" s="1131">
        <v>7.4900160737070296E-3</v>
      </c>
      <c r="DM78" s="1131">
        <v>8.3554005822463803E-3</v>
      </c>
      <c r="DN78" s="1131">
        <v>7.6826463535974998E-3</v>
      </c>
      <c r="DO78" s="1131">
        <v>1.35323254232897E-2</v>
      </c>
      <c r="DP78" s="1131">
        <v>1.20100935892931E-2</v>
      </c>
      <c r="DQ78" s="1131">
        <v>1.14888110343085E-2</v>
      </c>
      <c r="DR78" s="1131">
        <v>1.2778107155116099E-2</v>
      </c>
      <c r="DS78" s="1131">
        <v>1.0614206707439299E-2</v>
      </c>
      <c r="DT78" s="1131">
        <v>1.07313801408493E-2</v>
      </c>
      <c r="DU78" s="1131">
        <v>1.2487557687087101E-2</v>
      </c>
      <c r="DV78" s="1131">
        <v>1.19462567402508E-2</v>
      </c>
      <c r="DW78" s="1131">
        <v>3.9154498351388102E-3</v>
      </c>
      <c r="DX78" s="1131">
        <v>2.6245564646199E-3</v>
      </c>
      <c r="DY78" s="1131">
        <v>1.9449847179771099E-3</v>
      </c>
      <c r="DZ78" s="1131">
        <v>6.0863473158769797E-3</v>
      </c>
      <c r="EA78" s="1131">
        <v>8.9945017481249893E-3</v>
      </c>
      <c r="EB78" s="1131">
        <v>7.1889692455895399E-3</v>
      </c>
      <c r="EC78" s="1131">
        <v>8.3510585145107896E-3</v>
      </c>
      <c r="ED78" s="1131">
        <v>1.42420295599976E-2</v>
      </c>
      <c r="EE78" s="1131">
        <v>7.2583121632563397E-4</v>
      </c>
      <c r="EF78" s="1131">
        <v>6.7090690992272998E-3</v>
      </c>
      <c r="EG78" s="1131">
        <v>7.8420505715275403E-3</v>
      </c>
      <c r="EH78" s="1131">
        <v>1.2647612763090999E-2</v>
      </c>
      <c r="EI78" s="1131">
        <v>1.4281641574238601E-2</v>
      </c>
      <c r="EJ78" s="1131">
        <v>1.61953073762264E-2</v>
      </c>
      <c r="EK78" s="1131">
        <v>1.7227980980730299E-2</v>
      </c>
      <c r="EL78" s="1131">
        <v>8.9860289262084798E-3</v>
      </c>
      <c r="EM78" s="1131">
        <v>1.2794353545075399E-2</v>
      </c>
      <c r="EN78" s="1131">
        <v>1.5977800866678701E-2</v>
      </c>
      <c r="EO78" s="1131">
        <v>1.6337627676689299E-2</v>
      </c>
      <c r="EP78" s="1131">
        <v>7.11717570834303E-3</v>
      </c>
      <c r="EQ78" s="1131">
        <v>1.53521864681443E-2</v>
      </c>
      <c r="ER78" s="1131">
        <v>1.00320401281604E-2</v>
      </c>
      <c r="ES78" s="1131">
        <v>1.0573964286138699E-2</v>
      </c>
      <c r="ET78" s="1131">
        <v>1.9092629821653401E-2</v>
      </c>
      <c r="EU78" s="1131">
        <v>1.0774892424120001E-2</v>
      </c>
      <c r="EV78" s="1131">
        <v>1.08768846228471E-2</v>
      </c>
      <c r="EW78" s="1131">
        <v>1.45082985209439E-2</v>
      </c>
      <c r="EX78" s="1131">
        <v>1.6025819375660801E-2</v>
      </c>
      <c r="EY78" s="1131">
        <v>1.39219015280136E-2</v>
      </c>
      <c r="EZ78" s="1131">
        <v>1.34174534926432E-2</v>
      </c>
      <c r="FA78" s="1131">
        <v>-1.18966399454206E-2</v>
      </c>
      <c r="FB78" s="1131">
        <v>-1.2956889483450499E-2</v>
      </c>
      <c r="FC78" s="1131">
        <v>2.1969374036789899E-3</v>
      </c>
      <c r="FD78" s="1131">
        <v>5.1149500501681501E-3</v>
      </c>
      <c r="FE78" s="1131">
        <v>7.3458404314188401E-3</v>
      </c>
      <c r="FF78" s="1131">
        <v>9.9097352377259806E-3</v>
      </c>
      <c r="FG78" s="1131">
        <v>6.6660978263188798E-3</v>
      </c>
      <c r="FH78" s="1131">
        <v>5.2339934098302203E-3</v>
      </c>
      <c r="FI78" s="1131">
        <v>8.4425097758149496E-3</v>
      </c>
      <c r="FJ78" s="1131">
        <v>1.01590752315057E-2</v>
      </c>
      <c r="FK78" s="1131">
        <v>1.2043455768235799E-2</v>
      </c>
      <c r="FL78" s="1131">
        <v>5.1628601222730702E-3</v>
      </c>
      <c r="FM78" s="1131">
        <v>-1.1696620185316399E-3</v>
      </c>
      <c r="FN78" s="1131">
        <v>1.2188912875239301E-2</v>
      </c>
      <c r="FO78" s="1131">
        <v>1.00602609631739E-5</v>
      </c>
      <c r="FP78" s="1131">
        <v>5.91537393613795E-3</v>
      </c>
      <c r="FQ78" s="1131">
        <v>1.21812181218122E-2</v>
      </c>
      <c r="FR78" s="1131">
        <v>1.1491186467472899E-2</v>
      </c>
      <c r="FS78" s="1131">
        <v>5.2846997684892196E-3</v>
      </c>
      <c r="FT78" s="1131">
        <v>7.9193874378109506E-3</v>
      </c>
      <c r="FU78" s="1131">
        <v>5.6976486353601504E-3</v>
      </c>
      <c r="FV78" s="1131">
        <v>7.9276826626277792E-3</v>
      </c>
      <c r="FW78" s="1131">
        <v>3.3953112368634302E-3</v>
      </c>
      <c r="FX78" s="1131">
        <v>5.5733540596387696E-3</v>
      </c>
      <c r="FY78" s="1131">
        <v>-3.3933452728818198E-4</v>
      </c>
      <c r="FZ78" s="1131">
        <v>-8.2788013653421998E-3</v>
      </c>
      <c r="GA78" s="1131">
        <v>6.5319084201718204E-3</v>
      </c>
      <c r="GB78" s="1131">
        <v>1.0012941254262701E-3</v>
      </c>
      <c r="GC78" s="1131">
        <v>-3.3405996093196499E-3</v>
      </c>
      <c r="GD78" s="1131">
        <v>-7.43265634616297E-3</v>
      </c>
      <c r="GE78" s="1131">
        <v>7.6981780024802902E-3</v>
      </c>
      <c r="GF78" s="1131">
        <v>3.2943002925112101E-3</v>
      </c>
      <c r="GG78" s="1131">
        <v>4.8969193753833897E-3</v>
      </c>
      <c r="GH78" s="1131">
        <v>9.0794711935702193E-3</v>
      </c>
      <c r="GI78" s="1131">
        <v>2.9217184170613501E-3</v>
      </c>
      <c r="GJ78" s="1131">
        <v>9.0921742357470397E-3</v>
      </c>
      <c r="GK78" s="1131">
        <v>1.20535098607089E-2</v>
      </c>
      <c r="GL78" s="1131">
        <v>1.18736145935536E-2</v>
      </c>
      <c r="GM78" s="1131">
        <v>1.10609338947596E-2</v>
      </c>
      <c r="GN78" s="1131">
        <v>9.0307685477069004E-3</v>
      </c>
      <c r="GO78" s="1131">
        <v>5.9402281047591403E-3</v>
      </c>
      <c r="GP78" s="1131">
        <v>-2.5632725904800599E-3</v>
      </c>
      <c r="GQ78" s="1131">
        <v>7.5780167347869699E-3</v>
      </c>
      <c r="GR78" s="1131">
        <v>2.0543533139505401E-3</v>
      </c>
      <c r="GS78" s="1131">
        <v>2.8927845440172E-3</v>
      </c>
      <c r="GT78" s="1131">
        <v>9.4328999454293995E-3</v>
      </c>
      <c r="GU78" s="1131">
        <v>-3.8014004256194901E-3</v>
      </c>
      <c r="GV78" s="1131">
        <v>4.8754016176686399E-3</v>
      </c>
      <c r="GW78" s="1131">
        <v>8.1605362638115207E-3</v>
      </c>
      <c r="GX78" s="1131">
        <v>1.53472039180007E-2</v>
      </c>
      <c r="GY78" s="1131">
        <v>1.78200576137202E-2</v>
      </c>
    </row>
    <row r="79" spans="1:207" x14ac:dyDescent="0.35">
      <c r="A79" s="1131" t="s">
        <v>677</v>
      </c>
      <c r="B79" s="1131">
        <v>1.9913023575188999E-2</v>
      </c>
      <c r="C79" s="1131">
        <v>1.9913023575188999E-2</v>
      </c>
      <c r="D79" s="1131">
        <v>1.7654099341711402E-2</v>
      </c>
      <c r="E79" s="1131">
        <v>1.6833284328138898E-2</v>
      </c>
      <c r="F79" s="1131">
        <v>2.4651196414371399E-2</v>
      </c>
      <c r="G79" s="1131">
        <v>1.8696204317764999E-2</v>
      </c>
      <c r="H79" s="1131">
        <v>1.5097998476348899E-2</v>
      </c>
      <c r="I79" s="1131">
        <v>9.0741625162038507E-3</v>
      </c>
      <c r="J79" s="1131">
        <v>2.5152129817444399E-2</v>
      </c>
      <c r="K79" s="1131">
        <v>1.3124917557050499E-2</v>
      </c>
      <c r="L79" s="1131">
        <v>1.5558882885228701E-2</v>
      </c>
      <c r="M79" s="1131">
        <v>1.2435897435897601E-2</v>
      </c>
      <c r="N79" s="1131">
        <v>1.9754337090034199E-2</v>
      </c>
      <c r="O79" s="1131">
        <v>1.68881162299763E-2</v>
      </c>
      <c r="P79" s="1131">
        <v>1.1600928074246E-2</v>
      </c>
      <c r="Q79" s="1131">
        <v>1.6779333655238898E-2</v>
      </c>
      <c r="R79" s="1131">
        <v>2.42787605366259E-2</v>
      </c>
      <c r="S79" s="1131">
        <v>2.68907563025211E-2</v>
      </c>
      <c r="T79" s="1131">
        <v>2.8726226084993398E-2</v>
      </c>
      <c r="U79" s="1131">
        <v>2.6113671274961399E-2</v>
      </c>
      <c r="V79" s="1131">
        <v>1.99957228400343E-2</v>
      </c>
      <c r="W79" s="1131">
        <v>2.4111542090365898E-2</v>
      </c>
      <c r="X79" s="1131">
        <v>1.5354693417954699E-2</v>
      </c>
      <c r="Y79" s="1131">
        <v>1.45680008065328E-2</v>
      </c>
      <c r="Z79" s="1131">
        <v>1.30173398916877E-2</v>
      </c>
      <c r="AA79" s="1131">
        <v>1.3046250429153101E-2</v>
      </c>
      <c r="AB79" s="1131">
        <v>8.7630113773904394E-3</v>
      </c>
      <c r="AC79" s="1131">
        <v>1.31983106162412E-2</v>
      </c>
      <c r="AD79" s="1131">
        <v>2.0321159585050302E-2</v>
      </c>
      <c r="AE79" s="1131">
        <v>1.9870009285051001E-2</v>
      </c>
      <c r="AF79" s="1131">
        <v>1.7889657683903801E-2</v>
      </c>
      <c r="AG79" s="1131">
        <v>1.83354948347569E-2</v>
      </c>
      <c r="AH79" s="1131">
        <v>1.4536032673137E-2</v>
      </c>
      <c r="AI79" s="1131">
        <v>1.6015929356765699E-2</v>
      </c>
      <c r="AJ79" s="1131">
        <v>1.4314928425357899E-2</v>
      </c>
      <c r="AK79" s="1131">
        <v>1.33988575268817E-2</v>
      </c>
      <c r="AL79" s="1131">
        <v>2.4536825962614601E-2</v>
      </c>
      <c r="AM79" s="1131">
        <v>2.18455439135887E-2</v>
      </c>
      <c r="AN79" s="1131">
        <v>3.5116196207292602E-2</v>
      </c>
      <c r="AO79" s="1131">
        <v>1.7211045666641198E-2</v>
      </c>
      <c r="AP79" s="1131">
        <v>2.5718153105730199E-2</v>
      </c>
      <c r="AQ79" s="1131">
        <v>2.7126099706744799E-2</v>
      </c>
      <c r="AR79" s="1131">
        <v>2.7801570306923699E-2</v>
      </c>
      <c r="AS79" s="1131">
        <v>2.65981457689504E-2</v>
      </c>
      <c r="AT79" s="1131">
        <v>3.3519364112971399E-2</v>
      </c>
      <c r="AU79" s="1131">
        <v>2.0912423092027701E-2</v>
      </c>
      <c r="AV79" s="1131">
        <v>1.1957044398140699E-2</v>
      </c>
      <c r="AW79" s="1131">
        <v>1.53319817536746E-2</v>
      </c>
      <c r="AX79" s="1131">
        <v>1.7534007238237701E-2</v>
      </c>
      <c r="AY79" s="1131">
        <v>1.5944073097442901E-2</v>
      </c>
      <c r="AZ79" s="1131">
        <v>1.65992635963059E-2</v>
      </c>
      <c r="BA79" s="1131">
        <v>1.5021968887305399E-2</v>
      </c>
      <c r="BB79" s="1131">
        <v>8.5697572389587008E-3</v>
      </c>
      <c r="BC79" s="1131">
        <v>1.36589043876694E-2</v>
      </c>
      <c r="BD79" s="1131">
        <v>1.17010928649082E-2</v>
      </c>
      <c r="BE79" s="1131">
        <v>9.3600656052936805E-3</v>
      </c>
      <c r="BF79" s="1131">
        <v>1.7537961562167099E-2</v>
      </c>
      <c r="BG79" s="1131">
        <v>1.09030837004405E-2</v>
      </c>
      <c r="BH79" s="1131">
        <v>1.07310164505936E-2</v>
      </c>
      <c r="BI79" s="1131">
        <v>1.1802748585286999E-2</v>
      </c>
      <c r="BJ79" s="1131">
        <v>1.3209758176201E-2</v>
      </c>
      <c r="BK79" s="1131">
        <v>1.1434128903375E-2</v>
      </c>
      <c r="BL79" s="1131">
        <v>9.2777878843004497E-3</v>
      </c>
      <c r="BM79" s="1131">
        <v>1.0067978164589601E-2</v>
      </c>
      <c r="BN79" s="1131">
        <v>3.6709409335409201E-3</v>
      </c>
      <c r="BO79" s="1131">
        <v>2.9971298671609401E-3</v>
      </c>
      <c r="BP79" s="1131">
        <v>8.5593456405581598E-3</v>
      </c>
      <c r="BQ79" s="1131">
        <v>1.3182012202777E-2</v>
      </c>
      <c r="BR79" s="1131">
        <v>1.61825931800159E-2</v>
      </c>
      <c r="BS79" s="1131">
        <v>1.3169125716376E-2</v>
      </c>
      <c r="BT79" s="1131">
        <v>1.2685040317727899E-2</v>
      </c>
      <c r="BU79" s="1131">
        <v>6.1085757748620103E-3</v>
      </c>
      <c r="BV79" s="1131">
        <v>4.4413995133361101E-3</v>
      </c>
      <c r="BW79" s="1131">
        <v>1.0772161723545901E-2</v>
      </c>
      <c r="BX79" s="1131">
        <v>8.8888888888889496E-3</v>
      </c>
      <c r="BY79" s="1131">
        <v>1.29621514403671E-2</v>
      </c>
      <c r="BZ79" s="1131">
        <v>1.5164279696714401E-2</v>
      </c>
      <c r="CA79" s="1131">
        <v>1.48704721318829E-2</v>
      </c>
      <c r="CB79" s="1131">
        <v>9.8346888260254506E-3</v>
      </c>
      <c r="CC79" s="1131">
        <v>1.46849626857506E-2</v>
      </c>
      <c r="CD79" s="1131">
        <v>1.5852816840652199E-2</v>
      </c>
      <c r="CE79" s="1131">
        <v>1.0679632263954599E-2</v>
      </c>
      <c r="CF79" s="1131">
        <v>1.4537204319146299E-2</v>
      </c>
      <c r="CG79" s="1131">
        <v>1.8925746469540702E-2</v>
      </c>
      <c r="CH79" s="1131">
        <v>4.7553243375060301E-3</v>
      </c>
      <c r="CI79" s="1131">
        <v>6.2699728975366097E-3</v>
      </c>
      <c r="CJ79" s="1131">
        <v>9.5473548802056402E-3</v>
      </c>
      <c r="CK79" s="1131">
        <v>1.13683875206563E-2</v>
      </c>
      <c r="CL79" s="1131">
        <v>9.4491909130280903E-3</v>
      </c>
      <c r="CM79" s="1131">
        <v>1.35925738133313E-2</v>
      </c>
      <c r="CN79" s="1131">
        <v>8.5618085618086592E-3</v>
      </c>
      <c r="CO79" s="1131">
        <v>7.3063716138877001E-3</v>
      </c>
      <c r="CP79" s="1131">
        <v>5.4731738726967504E-3</v>
      </c>
      <c r="CQ79" s="1131">
        <v>5.91426203571155E-3</v>
      </c>
      <c r="CR79" s="1131">
        <v>3.2580608920345102E-3</v>
      </c>
      <c r="CS79" s="1131">
        <v>5.1138484509145599E-3</v>
      </c>
      <c r="CT79" s="1131">
        <v>8.3744940023024999E-3</v>
      </c>
      <c r="CU79" s="1131">
        <v>5.8189853604639899E-3</v>
      </c>
      <c r="CV79" s="1131">
        <v>8.7329049266764401E-3</v>
      </c>
      <c r="CW79" s="1131">
        <v>8.5484046607862095E-3</v>
      </c>
      <c r="CX79" s="1131">
        <v>4.6068851337977001E-3</v>
      </c>
      <c r="CY79" s="1131">
        <v>7.6847290640393896E-3</v>
      </c>
      <c r="CZ79" s="1131">
        <v>3.8041739254097702E-3</v>
      </c>
      <c r="DA79" s="1131">
        <v>3.4001558404759299E-3</v>
      </c>
      <c r="DB79" s="1131">
        <v>1.1013060360042499E-2</v>
      </c>
      <c r="DC79" s="1131">
        <v>1.4314642832204999E-3</v>
      </c>
      <c r="DD79" s="1131">
        <v>6.62413276156615E-3</v>
      </c>
      <c r="DE79" s="1131">
        <v>8.1044574515982699E-3</v>
      </c>
      <c r="DF79" s="1131">
        <v>6.8540213694301402E-3</v>
      </c>
      <c r="DG79" s="1131">
        <v>2.3885486154948698E-3</v>
      </c>
      <c r="DH79" s="1131">
        <v>4.7827344986639498E-3</v>
      </c>
      <c r="DI79" s="1131">
        <v>8.1647863942813093E-3</v>
      </c>
      <c r="DJ79" s="1131">
        <v>1.57940721822714E-3</v>
      </c>
      <c r="DK79" s="1131">
        <v>5.3178996812615099E-3</v>
      </c>
      <c r="DL79" s="1131">
        <v>7.8095015602317498E-3</v>
      </c>
      <c r="DM79" s="1131">
        <v>9.0073681596158899E-3</v>
      </c>
      <c r="DN79" s="1131">
        <v>8.5495331396971998E-3</v>
      </c>
      <c r="DO79" s="1131">
        <v>1.5001627074519901E-2</v>
      </c>
      <c r="DP79" s="1131">
        <v>1.3850149081466E-2</v>
      </c>
      <c r="DQ79" s="1131">
        <v>1.2206305537109099E-2</v>
      </c>
      <c r="DR79" s="1131">
        <v>1.3964822393701899E-2</v>
      </c>
      <c r="DS79" s="1131">
        <v>1.0444910032043399E-2</v>
      </c>
      <c r="DT79" s="1131">
        <v>1.1724348223814501E-2</v>
      </c>
      <c r="DU79" s="1131">
        <v>1.40749559215783E-2</v>
      </c>
      <c r="DV79" s="1131">
        <v>1.33446272272004E-2</v>
      </c>
      <c r="DW79" s="1131">
        <v>4.2380959364138899E-3</v>
      </c>
      <c r="DX79" s="1131">
        <v>2.5116822429906999E-3</v>
      </c>
      <c r="DY79" s="1131">
        <v>1.1215987880905901E-3</v>
      </c>
      <c r="DZ79" s="1131">
        <v>6.4892548996784401E-3</v>
      </c>
      <c r="EA79" s="1131">
        <v>9.8445970365015293E-3</v>
      </c>
      <c r="EB79" s="1131">
        <v>8.1882730187814393E-3</v>
      </c>
      <c r="EC79" s="1131">
        <v>9.9534276140171903E-3</v>
      </c>
      <c r="ED79" s="1131">
        <v>1.5675744070632099E-2</v>
      </c>
      <c r="EE79" s="1131">
        <v>6.5057305797022703E-4</v>
      </c>
      <c r="EF79" s="1131">
        <v>8.0369617241426994E-3</v>
      </c>
      <c r="EG79" s="1131">
        <v>9.0569766165331505E-3</v>
      </c>
      <c r="EH79" s="1131">
        <v>1.41163031061307E-2</v>
      </c>
      <c r="EI79" s="1131">
        <v>1.3289526619284101E-2</v>
      </c>
      <c r="EJ79" s="1131">
        <v>1.3644605021108799E-2</v>
      </c>
      <c r="EK79" s="1131">
        <v>1.5641320242323099E-2</v>
      </c>
      <c r="EL79" s="1131">
        <v>9.1014269186271406E-3</v>
      </c>
      <c r="EM79" s="1131">
        <v>1.14015643710668E-2</v>
      </c>
      <c r="EN79" s="1131">
        <v>1.45100953484565E-2</v>
      </c>
      <c r="EO79" s="1131">
        <v>1.68973865541002E-2</v>
      </c>
      <c r="EP79" s="1131">
        <v>7.3498888970282604E-3</v>
      </c>
      <c r="EQ79" s="1131">
        <v>1.37441217821301E-2</v>
      </c>
      <c r="ER79" s="1131">
        <v>9.0863441811530592E-3</v>
      </c>
      <c r="ES79" s="1131">
        <v>7.4998222790929603E-3</v>
      </c>
      <c r="ET79" s="1131">
        <v>1.7604515787616799E-2</v>
      </c>
      <c r="EU79" s="1131">
        <v>1.0828364073406401E-2</v>
      </c>
      <c r="EV79" s="1131">
        <v>1.11811041626177E-2</v>
      </c>
      <c r="EW79" s="1131">
        <v>1.51616222144335E-2</v>
      </c>
      <c r="EX79" s="1131">
        <v>1.7608143627210901E-2</v>
      </c>
      <c r="EY79" s="1131">
        <v>1.5453819129026301E-2</v>
      </c>
      <c r="EZ79" s="1131">
        <v>1.35264763259719E-2</v>
      </c>
      <c r="FA79" s="1131">
        <v>-1.9077799991492599E-2</v>
      </c>
      <c r="FB79" s="1131">
        <v>-1.7573339693415201E-2</v>
      </c>
      <c r="FC79" s="1131">
        <v>4.9215965394333603E-3</v>
      </c>
      <c r="FD79" s="1131">
        <v>8.5870842346844594E-3</v>
      </c>
      <c r="FE79" s="1131">
        <v>9.2760944593843798E-3</v>
      </c>
      <c r="FF79" s="1131">
        <v>1.15424860573241E-2</v>
      </c>
      <c r="FG79" s="1131">
        <v>7.18772328331774E-3</v>
      </c>
      <c r="FH79" s="1131">
        <v>5.7176134258034601E-3</v>
      </c>
      <c r="FI79" s="1131">
        <v>9.3383165763014607E-3</v>
      </c>
      <c r="FJ79" s="1131">
        <v>1.10981308411215E-2</v>
      </c>
      <c r="FK79" s="1131">
        <v>1.24721465709332E-2</v>
      </c>
      <c r="FL79" s="1131">
        <v>3.7903102552345699E-3</v>
      </c>
      <c r="FM79" s="1131">
        <v>-3.54253580600294E-3</v>
      </c>
      <c r="FN79" s="1131">
        <v>1.32629777524242E-2</v>
      </c>
      <c r="FO79" s="1131">
        <v>-1.7492711370261599E-3</v>
      </c>
      <c r="FP79" s="1131">
        <v>6.0526103770543998E-3</v>
      </c>
      <c r="FQ79" s="1131">
        <v>1.4414847292711501E-2</v>
      </c>
      <c r="FR79" s="1131">
        <v>1.3085052843482501E-2</v>
      </c>
      <c r="FS79" s="1131">
        <v>5.3281123676494103E-3</v>
      </c>
      <c r="FT79" s="1131">
        <v>8.4487937215385108E-3</v>
      </c>
      <c r="FU79" s="1131">
        <v>5.3227263119464104E-3</v>
      </c>
      <c r="FV79" s="1131">
        <v>8.4005504797584098E-3</v>
      </c>
      <c r="FW79" s="1131">
        <v>3.1559493910817702E-3</v>
      </c>
      <c r="FX79" s="1131">
        <v>5.7251908396946903E-3</v>
      </c>
      <c r="FY79" s="1131">
        <v>-7.7967948597512703E-4</v>
      </c>
      <c r="FZ79" s="1131">
        <v>-9.9745231313045392E-3</v>
      </c>
      <c r="GA79" s="1131">
        <v>6.9983857183553199E-3</v>
      </c>
      <c r="GB79" s="1131">
        <v>6.0350599262592997E-4</v>
      </c>
      <c r="GC79" s="1131">
        <v>-3.9392711405981098E-3</v>
      </c>
      <c r="GD79" s="1131">
        <v>-8.5246894307096106E-3</v>
      </c>
      <c r="GE79" s="1131">
        <v>7.6055424078174099E-3</v>
      </c>
      <c r="GF79" s="1131">
        <v>3.8450975006867299E-3</v>
      </c>
      <c r="GG79" s="1131">
        <v>4.9153261946317502E-3</v>
      </c>
      <c r="GH79" s="1131">
        <v>9.5572496150813108E-3</v>
      </c>
      <c r="GI79" s="1131">
        <v>2.49223501404217E-3</v>
      </c>
      <c r="GJ79" s="1131">
        <v>9.1185692287711895E-3</v>
      </c>
      <c r="GK79" s="1131">
        <v>1.3485315071011699E-2</v>
      </c>
      <c r="GL79" s="1131">
        <v>1.24714290897217E-2</v>
      </c>
      <c r="GM79" s="1131">
        <v>1.06067528465337E-2</v>
      </c>
      <c r="GN79" s="1131">
        <v>9.4317043550717905E-3</v>
      </c>
      <c r="GO79" s="1131">
        <v>4.9527991218440998E-3</v>
      </c>
      <c r="GP79" s="1131">
        <v>-4.0108704200489996E-3</v>
      </c>
      <c r="GQ79" s="1131">
        <v>6.8257589050710896E-3</v>
      </c>
      <c r="GR79" s="1131">
        <v>1.40295229962173E-3</v>
      </c>
      <c r="GS79" s="1131">
        <v>3.1848519391919298E-3</v>
      </c>
      <c r="GT79" s="1131">
        <v>1.09381099015484E-2</v>
      </c>
      <c r="GU79" s="1131">
        <v>-4.0670636486881398E-3</v>
      </c>
      <c r="GV79" s="1131">
        <v>3.8510579640223001E-3</v>
      </c>
      <c r="GW79" s="1131">
        <v>9.2173808563409398E-3</v>
      </c>
      <c r="GX79" s="1131">
        <v>1.5528135178114201E-2</v>
      </c>
      <c r="GY79" s="1131">
        <v>1.6797996968656699E-2</v>
      </c>
    </row>
    <row r="80" spans="1:207" x14ac:dyDescent="0.35">
      <c r="A80" s="1131" t="s">
        <v>678</v>
      </c>
      <c r="B80" s="1131">
        <v>2.51411589895989E-2</v>
      </c>
      <c r="C80" s="1131">
        <v>2.51411589895989E-2</v>
      </c>
      <c r="D80" s="1131">
        <v>1.9364564007421099E-2</v>
      </c>
      <c r="E80" s="1131">
        <v>2.5366852462745899E-2</v>
      </c>
      <c r="F80" s="1131">
        <v>1.6862658087419598E-2</v>
      </c>
      <c r="G80" s="1131">
        <v>1.59829805804057E-2</v>
      </c>
      <c r="H80" s="1131">
        <v>1.0899328859060401E-2</v>
      </c>
      <c r="I80" s="1131">
        <v>1.7261525387720401E-2</v>
      </c>
      <c r="J80" s="1131">
        <v>1.27917297551299E-2</v>
      </c>
      <c r="K80" s="1131">
        <v>7.0110320651612899E-3</v>
      </c>
      <c r="L80" s="1131">
        <v>1.38732466468721E-2</v>
      </c>
      <c r="M80" s="1131">
        <v>1.8682150971976799E-2</v>
      </c>
      <c r="N80" s="1131">
        <v>1.9281288723668001E-2</v>
      </c>
      <c r="O80" s="1131">
        <v>2.1056214744213299E-2</v>
      </c>
      <c r="P80" s="1131">
        <v>2.03838643615755E-2</v>
      </c>
      <c r="Q80" s="1131">
        <v>2.68378063010501E-2</v>
      </c>
      <c r="R80" s="1131">
        <v>4.6363636363636399E-2</v>
      </c>
      <c r="S80" s="1131">
        <v>6.2858384013900995E-2</v>
      </c>
      <c r="T80" s="1131">
        <v>6.3922834838762405E-2</v>
      </c>
      <c r="U80" s="1131">
        <v>4.15658253620683E-2</v>
      </c>
      <c r="V80" s="1131">
        <v>2.1244421495223698E-2</v>
      </c>
      <c r="W80" s="1131">
        <v>4.9478132110223304E-3</v>
      </c>
      <c r="X80" s="1131">
        <v>3.16250988284339E-3</v>
      </c>
      <c r="Y80" s="1131">
        <v>6.0901339829475499E-3</v>
      </c>
      <c r="Z80" s="1131">
        <v>4.91382993875522E-3</v>
      </c>
      <c r="AA80" s="1131">
        <v>8.5748706682728902E-3</v>
      </c>
      <c r="AB80" s="1131">
        <v>2.17818999437891E-3</v>
      </c>
      <c r="AC80" s="1131">
        <v>6.8008132931360902E-3</v>
      </c>
      <c r="AD80" s="1131">
        <v>1.2952646239554401E-2</v>
      </c>
      <c r="AE80" s="1131">
        <v>9.8652550529356696E-3</v>
      </c>
      <c r="AF80" s="1131">
        <v>1.3444977705163501E-2</v>
      </c>
      <c r="AG80" s="1131">
        <v>1.0680459461274799E-2</v>
      </c>
      <c r="AH80" s="1131">
        <v>1.23953210155523E-2</v>
      </c>
      <c r="AI80" s="1131">
        <v>1.9661907106515601E-2</v>
      </c>
      <c r="AJ80" s="1131">
        <v>1.9121813031161401E-2</v>
      </c>
      <c r="AK80" s="1131">
        <v>1.78785772948384E-2</v>
      </c>
      <c r="AL80" s="1131">
        <v>2.0636792452830299E-2</v>
      </c>
      <c r="AM80" s="1131">
        <v>2.7151935297515601E-2</v>
      </c>
      <c r="AN80" s="1131">
        <v>2.9187141081049101E-2</v>
      </c>
      <c r="AO80" s="1131">
        <v>2.83594109526E-2</v>
      </c>
      <c r="AP80" s="1131">
        <v>2.7325613917324101E-2</v>
      </c>
      <c r="AQ80" s="1131">
        <v>2.8695107674715899E-2</v>
      </c>
      <c r="AR80" s="1131">
        <v>3.2870186581977198E-2</v>
      </c>
      <c r="AS80" s="1131">
        <v>2.9594895841340601E-2</v>
      </c>
      <c r="AT80" s="1131">
        <v>2.8321138818376401E-2</v>
      </c>
      <c r="AU80" s="1131">
        <v>2.39109390125847E-2</v>
      </c>
      <c r="AV80" s="1131">
        <v>2.0492578235794499E-2</v>
      </c>
      <c r="AW80" s="1131">
        <v>1.7811233352634799E-2</v>
      </c>
      <c r="AX80" s="1131">
        <v>1.40178408884035E-2</v>
      </c>
      <c r="AY80" s="1131">
        <v>1.6719030520646199E-2</v>
      </c>
      <c r="AZ80" s="1131">
        <v>1.1808851120185501E-2</v>
      </c>
      <c r="BA80" s="1131">
        <v>2.5305410122164998E-3</v>
      </c>
      <c r="BB80" s="1131">
        <v>9.3567760466539696E-4</v>
      </c>
      <c r="BC80" s="1131">
        <v>-1.3478553881607299E-3</v>
      </c>
      <c r="BD80" s="1131">
        <v>5.6599255502098899E-4</v>
      </c>
      <c r="BE80" s="1131">
        <v>-2.82836194330227E-4</v>
      </c>
      <c r="BF80" s="1131">
        <v>1.0881392818280499E-3</v>
      </c>
      <c r="BG80" s="1131">
        <v>3.5434782608694299E-3</v>
      </c>
      <c r="BH80" s="1131">
        <v>3.22769317418703E-3</v>
      </c>
      <c r="BI80" s="1131">
        <v>2.0297115218517198E-3</v>
      </c>
      <c r="BJ80" s="1131">
        <v>5.5596259104426799E-3</v>
      </c>
      <c r="BK80" s="1131">
        <v>3.0858906223212301E-3</v>
      </c>
      <c r="BL80" s="1131">
        <v>4.1018629294138397E-3</v>
      </c>
      <c r="BM80" s="1131">
        <v>5.9574468085106204E-3</v>
      </c>
      <c r="BN80" s="1131">
        <v>6.2182741116749698E-3</v>
      </c>
      <c r="BO80" s="1131">
        <v>1.02787236725943E-2</v>
      </c>
      <c r="BP80" s="1131">
        <v>9.1130391361338194E-3</v>
      </c>
      <c r="BQ80" s="1131">
        <v>1.08245190820808E-2</v>
      </c>
      <c r="BR80" s="1131">
        <v>6.4047648186675897E-3</v>
      </c>
      <c r="BS80" s="1131">
        <v>8.4110255370895004E-3</v>
      </c>
      <c r="BT80" s="1131">
        <v>8.9036277761027592E-3</v>
      </c>
      <c r="BU80" s="1131">
        <v>5.29901589704762E-3</v>
      </c>
      <c r="BV80" s="1131">
        <v>8.0453392517438899E-3</v>
      </c>
      <c r="BW80" s="1131">
        <v>5.5238844112444098E-3</v>
      </c>
      <c r="BX80" s="1131">
        <v>6.45148677445206E-3</v>
      </c>
      <c r="BY80" s="1131">
        <v>5.2835026514637101E-3</v>
      </c>
      <c r="BZ80" s="1131">
        <v>4.8306378374200999E-3</v>
      </c>
      <c r="CA80" s="1131">
        <v>8.1149164471279196E-3</v>
      </c>
      <c r="CB80" s="1131">
        <v>7.4201239866476002E-3</v>
      </c>
      <c r="CC80" s="1131">
        <v>5.5099026773204303E-3</v>
      </c>
      <c r="CD80" s="1131">
        <v>7.1932962997835999E-3</v>
      </c>
      <c r="CE80" s="1131">
        <v>8.8245741955990092E-3</v>
      </c>
      <c r="CF80" s="1131">
        <v>9.7110769287791499E-3</v>
      </c>
      <c r="CG80" s="1131">
        <v>2.66138061413668E-3</v>
      </c>
      <c r="CH80" s="1131">
        <v>1.9770081276999601E-3</v>
      </c>
      <c r="CI80" s="1131">
        <v>5.1520023384976597E-3</v>
      </c>
      <c r="CJ80" s="1131">
        <v>2.6536769784435399E-3</v>
      </c>
      <c r="CK80" s="1131">
        <v>-2.5016314988035599E-3</v>
      </c>
      <c r="CL80" s="1131">
        <v>-2.61694471704299E-3</v>
      </c>
      <c r="CM80" s="1131">
        <v>4.7374366823367299E-3</v>
      </c>
      <c r="CN80" s="1131">
        <v>2.03111965470959E-3</v>
      </c>
      <c r="CO80" s="1131">
        <v>4.5607557823867896E-3</v>
      </c>
      <c r="CP80" s="1131">
        <v>7.4406370482469298E-3</v>
      </c>
      <c r="CQ80" s="1131">
        <v>5.8298610490172802E-3</v>
      </c>
      <c r="CR80" s="1131">
        <v>1.01342341541466E-3</v>
      </c>
      <c r="CS80" s="1131">
        <v>4.6712372562254202E-3</v>
      </c>
      <c r="CT80" s="1131">
        <v>7.3013347476356101E-3</v>
      </c>
      <c r="CU80" s="1131">
        <v>4.3350064937344203E-3</v>
      </c>
      <c r="CV80" s="1131">
        <v>8.7549148099605994E-3</v>
      </c>
      <c r="CW80" s="1131">
        <v>8.3324671725046907E-3</v>
      </c>
      <c r="CX80" s="1131">
        <v>9.9816173312487991E-3</v>
      </c>
      <c r="CY80" s="1131">
        <v>7.1443151663605998E-3</v>
      </c>
      <c r="CZ80" s="1131">
        <v>5.5229023104985701E-3</v>
      </c>
      <c r="DA80" s="1131">
        <v>5.7613168724279804E-3</v>
      </c>
      <c r="DB80" s="1131">
        <v>5.3609004976786804E-3</v>
      </c>
      <c r="DC80" s="1131">
        <v>1.1129752985929999E-3</v>
      </c>
      <c r="DD80" s="1131">
        <v>4.9613380678989998E-3</v>
      </c>
      <c r="DE80" s="1131">
        <v>3.2361925204327201E-3</v>
      </c>
      <c r="DF80" s="1131">
        <v>5.6450683826796402E-3</v>
      </c>
      <c r="DG80" s="1131">
        <v>6.8244304791831301E-3</v>
      </c>
      <c r="DH80" s="1131">
        <v>2.5357195104109801E-3</v>
      </c>
      <c r="DI80" s="1131">
        <v>6.4367592457479396E-3</v>
      </c>
      <c r="DJ80" s="1131">
        <v>3.3830589296646201E-4</v>
      </c>
      <c r="DK80" s="1131">
        <v>6.2806989290598004E-4</v>
      </c>
      <c r="DL80" s="1131">
        <v>6.1640969517495802E-3</v>
      </c>
      <c r="DM80" s="1131">
        <v>5.6464641617479704E-3</v>
      </c>
      <c r="DN80" s="1131">
        <v>4.0082710354700799E-3</v>
      </c>
      <c r="DO80" s="1131">
        <v>7.4142137448116596E-3</v>
      </c>
      <c r="DP80" s="1131">
        <v>4.2144991350840898E-3</v>
      </c>
      <c r="DQ80" s="1131">
        <v>8.5189013122866104E-3</v>
      </c>
      <c r="DR80" s="1131">
        <v>7.9190087264371396E-3</v>
      </c>
      <c r="DS80" s="1131">
        <v>1.13846438254868E-2</v>
      </c>
      <c r="DT80" s="1131">
        <v>6.5497859895509202E-3</v>
      </c>
      <c r="DU80" s="1131">
        <v>5.8867147894250396E-3</v>
      </c>
      <c r="DV80" s="1131">
        <v>6.16819617872721E-3</v>
      </c>
      <c r="DW80" s="1131">
        <v>2.5717703349283898E-3</v>
      </c>
      <c r="DX80" s="1131">
        <v>3.1318976316887502E-3</v>
      </c>
      <c r="DY80" s="1131">
        <v>5.3670720466236803E-3</v>
      </c>
      <c r="DZ80" s="1131">
        <v>4.4067846738535801E-3</v>
      </c>
      <c r="EA80" s="1131">
        <v>5.4327822028532599E-3</v>
      </c>
      <c r="EB80" s="1131">
        <v>3.07512080831729E-3</v>
      </c>
      <c r="EC80" s="1131">
        <v>1.7226277372262E-3</v>
      </c>
      <c r="ED80" s="1131">
        <v>8.2922848232243104E-3</v>
      </c>
      <c r="EE80" s="1131">
        <v>1.0406579270672001E-3</v>
      </c>
      <c r="EF80" s="1131">
        <v>1.2705929915244299E-3</v>
      </c>
      <c r="EG80" s="1131">
        <v>2.7686850188184402E-3</v>
      </c>
      <c r="EH80" s="1131">
        <v>6.5143300881520504E-3</v>
      </c>
      <c r="EI80" s="1131">
        <v>1.8373528403245999E-2</v>
      </c>
      <c r="EJ80" s="1131">
        <v>2.6922753163668899E-2</v>
      </c>
      <c r="EK80" s="1131">
        <v>2.4017377761383699E-2</v>
      </c>
      <c r="EL80" s="1131">
        <v>8.4450670402240694E-3</v>
      </c>
      <c r="EM80" s="1131">
        <v>1.8812509922210102E-2</v>
      </c>
      <c r="EN80" s="1131">
        <v>2.2269835086352399E-2</v>
      </c>
      <c r="EO80" s="1131">
        <v>1.39472848523341E-2</v>
      </c>
      <c r="EP80" s="1131">
        <v>6.2137479172670301E-3</v>
      </c>
      <c r="EQ80" s="1131">
        <v>2.20371269562618E-2</v>
      </c>
      <c r="ER80" s="1131">
        <v>1.39239118517707E-2</v>
      </c>
      <c r="ES80" s="1131">
        <v>2.34645328719723E-2</v>
      </c>
      <c r="ET80" s="1131">
        <v>2.5227446146622E-2</v>
      </c>
      <c r="EU80" s="1131">
        <v>1.0454118670849799E-2</v>
      </c>
      <c r="EV80" s="1131">
        <v>9.6320554806394992E-3</v>
      </c>
      <c r="EW80" s="1131">
        <v>1.1762461137861099E-2</v>
      </c>
      <c r="EX80" s="1131">
        <v>9.4736258250596207E-3</v>
      </c>
      <c r="EY80" s="1131">
        <v>7.6923922240903497E-3</v>
      </c>
      <c r="EZ80" s="1131">
        <v>1.29227145334192E-2</v>
      </c>
      <c r="FA80" s="1131">
        <v>1.8323930924594199E-2</v>
      </c>
      <c r="FB80" s="1131">
        <v>6.2377095976149403E-3</v>
      </c>
      <c r="FC80" s="1131">
        <v>-8.7837269899974108E-3</v>
      </c>
      <c r="FD80" s="1131">
        <v>-9.0099639601441996E-3</v>
      </c>
      <c r="FE80" s="1131">
        <v>-7.7013584340557305E-4</v>
      </c>
      <c r="FF80" s="1131">
        <v>2.8367124108843499E-3</v>
      </c>
      <c r="FG80" s="1131">
        <v>4.3444381584705196E-3</v>
      </c>
      <c r="FH80" s="1131">
        <v>3.1459241152087501E-3</v>
      </c>
      <c r="FI80" s="1131">
        <v>4.4921916385904899E-3</v>
      </c>
      <c r="FJ80" s="1131">
        <v>6.0436662799281402E-3</v>
      </c>
      <c r="FK80" s="1131">
        <v>1.01066227734501E-2</v>
      </c>
      <c r="FL80" s="1131">
        <v>1.13028947450362E-2</v>
      </c>
      <c r="FM80" s="1131">
        <v>9.4010427357444897E-3</v>
      </c>
      <c r="FN80" s="1131">
        <v>7.4934927606962196E-3</v>
      </c>
      <c r="FO80" s="1131">
        <v>7.9726306653615797E-3</v>
      </c>
      <c r="FP80" s="1131">
        <v>5.3865176864005297E-3</v>
      </c>
      <c r="FQ80" s="1131">
        <v>1.9717776870449301E-3</v>
      </c>
      <c r="FR80" s="1131">
        <v>4.05506137255873E-3</v>
      </c>
      <c r="FS80" s="1131">
        <v>5.0978490046820202E-3</v>
      </c>
      <c r="FT80" s="1131">
        <v>5.3871456991470001E-3</v>
      </c>
      <c r="FU80" s="1131">
        <v>7.55252975461618E-3</v>
      </c>
      <c r="FV80" s="1131">
        <v>5.6292292136579398E-3</v>
      </c>
      <c r="FW80" s="1131">
        <v>4.5632522840430801E-3</v>
      </c>
      <c r="FX80" s="1131">
        <v>4.8312433233566E-3</v>
      </c>
      <c r="FY80" s="1131">
        <v>1.76230018484991E-3</v>
      </c>
      <c r="FZ80" s="1131">
        <v>-2.9638694750133698E-4</v>
      </c>
      <c r="GA80" s="1131">
        <v>4.3897400585299904E-3</v>
      </c>
      <c r="GB80" s="1131">
        <v>2.8375277325487498E-3</v>
      </c>
      <c r="GC80" s="1131">
        <v>-5.5070784948596497E-4</v>
      </c>
      <c r="GD80" s="1131">
        <v>-2.4225496622680702E-3</v>
      </c>
      <c r="GE80" s="1131">
        <v>8.1519151286593202E-3</v>
      </c>
      <c r="GF80" s="1131">
        <v>7.5570081804610101E-4</v>
      </c>
      <c r="GG80" s="1131">
        <v>4.8328330595985803E-3</v>
      </c>
      <c r="GH80" s="1131">
        <v>6.8949969000695601E-3</v>
      </c>
      <c r="GI80" s="1131">
        <v>4.8886069336120403E-3</v>
      </c>
      <c r="GJ80" s="1131">
        <v>8.94979203802726E-3</v>
      </c>
      <c r="GK80" s="1131">
        <v>5.6038131694209304E-3</v>
      </c>
      <c r="GL80" s="1131">
        <v>9.2052889234570702E-3</v>
      </c>
      <c r="GM80" s="1131">
        <v>1.3101703674824E-2</v>
      </c>
      <c r="GN80" s="1131">
        <v>7.2134316603422698E-3</v>
      </c>
      <c r="GO80" s="1131">
        <v>1.0422775497147801E-2</v>
      </c>
      <c r="GP80" s="1131">
        <v>4.0452007211009304E-3</v>
      </c>
      <c r="GQ80" s="1131">
        <v>1.0886796584191E-2</v>
      </c>
      <c r="GR80" s="1131">
        <v>4.8865861477411796E-3</v>
      </c>
      <c r="GS80" s="1131">
        <v>1.59507509785994E-3</v>
      </c>
      <c r="GT80" s="1131">
        <v>2.86656279322006E-3</v>
      </c>
      <c r="GU80" s="1131">
        <v>-2.61802575107306E-3</v>
      </c>
      <c r="GV80" s="1131">
        <v>9.3807823056069103E-3</v>
      </c>
      <c r="GW80" s="1131">
        <v>3.5895468303705999E-3</v>
      </c>
      <c r="GX80" s="1131">
        <v>1.45277216114725E-2</v>
      </c>
      <c r="GY80" s="1131">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72" t="s">
        <v>463</v>
      </c>
      <c r="B3" s="252"/>
      <c r="C3" s="248"/>
      <c r="D3" s="248"/>
      <c r="E3" s="248"/>
      <c r="F3" s="248"/>
      <c r="G3" s="248"/>
      <c r="H3" s="248"/>
      <c r="I3" s="248"/>
      <c r="J3" s="248"/>
      <c r="K3" s="248"/>
      <c r="L3" s="248"/>
      <c r="M3" s="248"/>
      <c r="N3" s="248"/>
      <c r="O3" s="248"/>
      <c r="P3" s="248"/>
    </row>
    <row r="4" spans="1:17" x14ac:dyDescent="0.35">
      <c r="A4" s="273" t="s">
        <v>464</v>
      </c>
      <c r="B4" s="274"/>
      <c r="C4" s="274"/>
      <c r="D4" s="259"/>
      <c r="E4" s="259"/>
      <c r="F4" s="259"/>
      <c r="G4" s="259"/>
      <c r="H4" s="259"/>
      <c r="I4" s="259"/>
      <c r="J4" s="259"/>
      <c r="K4" s="259"/>
      <c r="L4" s="259"/>
      <c r="M4" s="259"/>
      <c r="N4" s="259"/>
      <c r="O4" s="259"/>
      <c r="P4" s="259"/>
    </row>
    <row r="7" spans="1:17" x14ac:dyDescent="0.35">
      <c r="A7" s="1469" t="s">
        <v>465</v>
      </c>
      <c r="B7" s="1470"/>
      <c r="C7" s="1470"/>
      <c r="D7" s="1470"/>
      <c r="E7" s="1470"/>
      <c r="F7" s="1470"/>
      <c r="G7" s="1470"/>
      <c r="H7" s="1470"/>
      <c r="I7" s="1470"/>
      <c r="J7" s="1470"/>
      <c r="K7" s="1470"/>
      <c r="L7" s="1470"/>
      <c r="M7" s="1470"/>
      <c r="N7" s="1470"/>
      <c r="O7" s="1470"/>
      <c r="P7" s="1470"/>
    </row>
    <row r="8" spans="1:17" x14ac:dyDescent="0.35">
      <c r="A8" s="260" t="s">
        <v>466</v>
      </c>
      <c r="B8" s="261"/>
      <c r="C8" s="262"/>
      <c r="D8" s="263"/>
      <c r="E8" s="262"/>
      <c r="F8" s="262"/>
      <c r="G8" s="262"/>
      <c r="H8" s="262"/>
      <c r="I8" s="262"/>
      <c r="J8" s="262"/>
      <c r="K8" s="262"/>
      <c r="L8" s="262"/>
      <c r="M8" s="262"/>
      <c r="N8" s="262"/>
      <c r="O8" s="262"/>
      <c r="P8" s="262"/>
    </row>
    <row r="9" spans="1:17" x14ac:dyDescent="0.35">
      <c r="A9" s="254"/>
      <c r="B9" s="254"/>
      <c r="C9" s="254"/>
      <c r="D9" s="264"/>
      <c r="E9" s="254"/>
      <c r="F9" s="254"/>
      <c r="G9" s="254"/>
      <c r="H9" s="254"/>
      <c r="I9" s="254"/>
      <c r="J9" s="254"/>
      <c r="K9" s="254"/>
      <c r="L9" s="254"/>
      <c r="M9" s="254"/>
      <c r="N9" s="254"/>
      <c r="O9" s="254"/>
      <c r="P9" s="254"/>
    </row>
    <row r="10" spans="1:17" x14ac:dyDescent="0.35">
      <c r="A10" s="265"/>
      <c r="B10" s="265"/>
      <c r="C10" s="254"/>
      <c r="D10" s="264"/>
      <c r="E10" s="254"/>
      <c r="F10" s="254"/>
      <c r="G10" s="254"/>
      <c r="H10" s="254"/>
      <c r="I10" s="254"/>
      <c r="J10" s="254"/>
      <c r="K10" s="254"/>
      <c r="L10" s="254"/>
      <c r="M10" s="254"/>
      <c r="N10" s="254"/>
      <c r="O10" s="1471" t="s">
        <v>5</v>
      </c>
      <c r="P10" s="1472"/>
    </row>
    <row r="11" spans="1:17" x14ac:dyDescent="0.35">
      <c r="A11" s="265"/>
      <c r="B11" s="265"/>
      <c r="C11" s="255"/>
      <c r="D11" s="256"/>
      <c r="E11" s="255"/>
      <c r="F11" s="255"/>
      <c r="G11" s="255"/>
      <c r="H11" s="255"/>
      <c r="I11" s="255"/>
      <c r="J11" s="255"/>
      <c r="K11" s="255"/>
      <c r="L11" s="255"/>
      <c r="M11" s="255"/>
      <c r="N11" s="255"/>
      <c r="O11" s="249" t="s">
        <v>467</v>
      </c>
      <c r="P11" s="249" t="s">
        <v>467</v>
      </c>
    </row>
    <row r="12" spans="1:17" x14ac:dyDescent="0.35">
      <c r="A12" s="262"/>
      <c r="B12" s="262"/>
      <c r="C12" s="262"/>
      <c r="D12" s="263">
        <v>2020</v>
      </c>
      <c r="E12" s="263">
        <v>2021</v>
      </c>
      <c r="F12" s="263">
        <v>2022</v>
      </c>
      <c r="G12" s="263">
        <v>2023</v>
      </c>
      <c r="H12" s="263">
        <v>2024</v>
      </c>
      <c r="I12" s="263">
        <v>2025</v>
      </c>
      <c r="J12" s="263">
        <v>2026</v>
      </c>
      <c r="K12" s="263">
        <v>2027</v>
      </c>
      <c r="L12" s="263">
        <v>2028</v>
      </c>
      <c r="M12" s="263">
        <v>2029</v>
      </c>
      <c r="N12" s="263">
        <v>2030</v>
      </c>
      <c r="O12" s="250">
        <v>2025</v>
      </c>
      <c r="P12" s="250">
        <v>2030</v>
      </c>
    </row>
    <row r="13" spans="1:17" x14ac:dyDescent="0.35">
      <c r="A13" s="251" t="s">
        <v>430</v>
      </c>
      <c r="B13" s="251"/>
      <c r="C13" s="251"/>
      <c r="D13" s="266">
        <v>540.56299999999999</v>
      </c>
      <c r="E13" s="266">
        <v>0</v>
      </c>
      <c r="F13" s="266">
        <v>0</v>
      </c>
      <c r="G13" s="266">
        <v>0</v>
      </c>
      <c r="H13" s="266">
        <v>0</v>
      </c>
      <c r="I13" s="266">
        <v>0</v>
      </c>
      <c r="J13" s="266">
        <v>0</v>
      </c>
      <c r="K13" s="266">
        <v>0</v>
      </c>
      <c r="L13" s="266">
        <v>0</v>
      </c>
      <c r="M13" s="266">
        <v>0</v>
      </c>
      <c r="N13" s="266">
        <v>0</v>
      </c>
      <c r="O13" s="266">
        <v>0</v>
      </c>
      <c r="P13" s="266">
        <v>0</v>
      </c>
      <c r="Q13" t="s">
        <v>479</v>
      </c>
    </row>
    <row r="14" spans="1:17" x14ac:dyDescent="0.35">
      <c r="A14" s="265" t="s">
        <v>433</v>
      </c>
      <c r="B14" s="265"/>
      <c r="C14" s="265"/>
      <c r="D14" s="256"/>
      <c r="E14" s="251"/>
      <c r="F14" s="251"/>
      <c r="G14" s="251"/>
      <c r="H14" s="251"/>
      <c r="I14" s="251"/>
      <c r="J14" s="251"/>
      <c r="K14" s="251"/>
      <c r="L14" s="251"/>
      <c r="M14" s="251"/>
      <c r="N14" s="251"/>
      <c r="O14" s="251"/>
      <c r="P14" s="251"/>
      <c r="Q14" t="s">
        <v>480</v>
      </c>
    </row>
    <row r="15" spans="1:17" x14ac:dyDescent="0.35">
      <c r="A15" s="265"/>
      <c r="B15" s="253" t="s">
        <v>468</v>
      </c>
      <c r="C15" s="265"/>
      <c r="D15" s="256">
        <v>285.56</v>
      </c>
      <c r="E15" s="256">
        <v>5</v>
      </c>
      <c r="F15" s="256">
        <v>0</v>
      </c>
      <c r="G15" s="256">
        <v>0</v>
      </c>
      <c r="H15" s="256">
        <v>0</v>
      </c>
      <c r="I15" s="256">
        <v>0</v>
      </c>
      <c r="J15" s="256">
        <v>0</v>
      </c>
      <c r="K15" s="256">
        <v>0</v>
      </c>
      <c r="L15" s="256">
        <v>0</v>
      </c>
      <c r="M15" s="256">
        <v>0</v>
      </c>
      <c r="N15" s="256">
        <v>0</v>
      </c>
      <c r="O15" s="256">
        <v>5</v>
      </c>
      <c r="P15" s="256">
        <v>5</v>
      </c>
    </row>
    <row r="16" spans="1:17" x14ac:dyDescent="0.35">
      <c r="A16" s="251"/>
      <c r="B16" s="265" t="s">
        <v>469</v>
      </c>
      <c r="C16" s="251"/>
      <c r="D16" s="256">
        <v>67.209999999999994</v>
      </c>
      <c r="E16" s="256">
        <v>13.68</v>
      </c>
      <c r="F16" s="256">
        <v>0</v>
      </c>
      <c r="G16" s="256">
        <v>0</v>
      </c>
      <c r="H16" s="256">
        <v>0</v>
      </c>
      <c r="I16" s="256">
        <v>0</v>
      </c>
      <c r="J16" s="256">
        <v>0</v>
      </c>
      <c r="K16" s="256">
        <v>0</v>
      </c>
      <c r="L16" s="256">
        <v>0</v>
      </c>
      <c r="M16" s="256">
        <v>0</v>
      </c>
      <c r="N16" s="256">
        <v>0</v>
      </c>
      <c r="O16" s="256">
        <v>13.68</v>
      </c>
      <c r="P16" s="256">
        <v>13.68</v>
      </c>
    </row>
    <row r="17" spans="1:17" x14ac:dyDescent="0.35">
      <c r="A17" s="251"/>
      <c r="B17" s="265" t="s">
        <v>470</v>
      </c>
      <c r="C17" s="251"/>
      <c r="D17" s="256">
        <v>11.12</v>
      </c>
      <c r="E17" s="256">
        <v>47.8</v>
      </c>
      <c r="F17" s="256">
        <v>0</v>
      </c>
      <c r="G17" s="256">
        <v>0</v>
      </c>
      <c r="H17" s="256">
        <v>0</v>
      </c>
      <c r="I17" s="256">
        <v>0</v>
      </c>
      <c r="J17" s="256">
        <v>0</v>
      </c>
      <c r="K17" s="256">
        <v>0</v>
      </c>
      <c r="L17" s="256">
        <v>0</v>
      </c>
      <c r="M17" s="256">
        <v>0</v>
      </c>
      <c r="N17" s="256">
        <v>0</v>
      </c>
      <c r="O17" s="256">
        <v>47.8</v>
      </c>
      <c r="P17" s="256">
        <v>47.8</v>
      </c>
    </row>
    <row r="18" spans="1:17" x14ac:dyDescent="0.35">
      <c r="A18" s="251"/>
      <c r="B18" s="265" t="s">
        <v>432</v>
      </c>
      <c r="C18" s="251"/>
      <c r="D18" s="256">
        <v>6.2149999999999999</v>
      </c>
      <c r="E18" s="256">
        <v>5.0049999999999999</v>
      </c>
      <c r="F18" s="256">
        <v>0</v>
      </c>
      <c r="G18" s="256">
        <v>0</v>
      </c>
      <c r="H18" s="256">
        <v>0</v>
      </c>
      <c r="I18" s="256">
        <v>0</v>
      </c>
      <c r="J18" s="256">
        <v>0</v>
      </c>
      <c r="K18" s="256">
        <v>0</v>
      </c>
      <c r="L18" s="256">
        <v>0</v>
      </c>
      <c r="M18" s="256">
        <v>0</v>
      </c>
      <c r="N18" s="256">
        <v>0</v>
      </c>
      <c r="O18" s="256">
        <v>5.0049999999999999</v>
      </c>
      <c r="P18" s="256">
        <v>5.0049999999999999</v>
      </c>
    </row>
    <row r="19" spans="1:17" x14ac:dyDescent="0.35">
      <c r="A19" s="251"/>
      <c r="B19" s="265"/>
      <c r="C19" s="251"/>
      <c r="D19" s="256" t="s">
        <v>471</v>
      </c>
      <c r="E19" s="256" t="s">
        <v>471</v>
      </c>
      <c r="F19" s="256" t="s">
        <v>471</v>
      </c>
      <c r="G19" s="256" t="s">
        <v>471</v>
      </c>
      <c r="H19" s="256" t="s">
        <v>471</v>
      </c>
      <c r="I19" s="256" t="s">
        <v>471</v>
      </c>
      <c r="J19" s="256" t="s">
        <v>471</v>
      </c>
      <c r="K19" s="256" t="s">
        <v>471</v>
      </c>
      <c r="L19" s="256" t="s">
        <v>471</v>
      </c>
      <c r="M19" s="256" t="s">
        <v>471</v>
      </c>
      <c r="N19" s="256" t="s">
        <v>471</v>
      </c>
      <c r="O19" s="256" t="s">
        <v>471</v>
      </c>
      <c r="P19" s="256" t="s">
        <v>471</v>
      </c>
    </row>
    <row r="20" spans="1:17" x14ac:dyDescent="0.35">
      <c r="A20" s="251"/>
      <c r="B20" s="265"/>
      <c r="C20" s="251" t="s">
        <v>472</v>
      </c>
      <c r="D20" s="256">
        <v>370.10500000000002</v>
      </c>
      <c r="E20" s="256">
        <v>71.484999999999999</v>
      </c>
      <c r="F20" s="256">
        <v>0</v>
      </c>
      <c r="G20" s="256">
        <v>0</v>
      </c>
      <c r="H20" s="256">
        <v>0</v>
      </c>
      <c r="I20" s="256">
        <v>0</v>
      </c>
      <c r="J20" s="256">
        <v>0</v>
      </c>
      <c r="K20" s="256">
        <v>0</v>
      </c>
      <c r="L20" s="256">
        <v>0</v>
      </c>
      <c r="M20" s="256">
        <v>0</v>
      </c>
      <c r="N20" s="256">
        <v>0</v>
      </c>
      <c r="O20" s="256">
        <v>71.484999999999999</v>
      </c>
      <c r="P20" s="256">
        <v>71.484999999999999</v>
      </c>
    </row>
    <row r="21" spans="1:17" x14ac:dyDescent="0.35">
      <c r="A21" s="251"/>
      <c r="B21" s="265"/>
      <c r="C21" s="251"/>
      <c r="D21" s="256"/>
      <c r="E21" s="256"/>
      <c r="F21" s="256"/>
      <c r="G21" s="256"/>
      <c r="H21" s="256"/>
      <c r="I21" s="256"/>
      <c r="J21" s="256"/>
      <c r="K21" s="256"/>
      <c r="L21" s="256"/>
      <c r="M21" s="256"/>
      <c r="N21" s="256"/>
      <c r="O21" s="256"/>
      <c r="P21" s="256"/>
    </row>
    <row r="22" spans="1:17" ht="17" x14ac:dyDescent="0.35">
      <c r="A22" s="251" t="s">
        <v>434</v>
      </c>
      <c r="B22" s="265"/>
      <c r="C22" s="251"/>
      <c r="D22" s="256">
        <v>271.98399999999998</v>
      </c>
      <c r="E22" s="256">
        <v>9.327</v>
      </c>
      <c r="F22" s="256">
        <v>0</v>
      </c>
      <c r="G22" s="256">
        <v>0</v>
      </c>
      <c r="H22" s="256">
        <v>0</v>
      </c>
      <c r="I22" s="256">
        <v>0</v>
      </c>
      <c r="J22" s="256">
        <v>0</v>
      </c>
      <c r="K22" s="256">
        <v>0</v>
      </c>
      <c r="L22" s="256">
        <v>0</v>
      </c>
      <c r="M22" s="256">
        <v>0</v>
      </c>
      <c r="N22" s="256">
        <v>0</v>
      </c>
      <c r="O22" s="256">
        <v>9.327</v>
      </c>
      <c r="P22" s="256">
        <v>9.327</v>
      </c>
      <c r="Q22" t="s">
        <v>481</v>
      </c>
    </row>
    <row r="23" spans="1:17" x14ac:dyDescent="0.35">
      <c r="A23" s="251" t="s">
        <v>287</v>
      </c>
      <c r="B23" s="265"/>
      <c r="C23" s="265"/>
      <c r="D23" s="256">
        <v>149.97300000000001</v>
      </c>
      <c r="E23" s="256">
        <v>2.5999999999999999E-2</v>
      </c>
      <c r="F23" s="256">
        <v>0</v>
      </c>
      <c r="G23" s="256">
        <v>0</v>
      </c>
      <c r="H23" s="256">
        <v>0</v>
      </c>
      <c r="I23" s="256">
        <v>0</v>
      </c>
      <c r="J23" s="256">
        <v>0</v>
      </c>
      <c r="K23" s="256">
        <v>0</v>
      </c>
      <c r="L23" s="256">
        <v>0</v>
      </c>
      <c r="M23" s="256">
        <v>0</v>
      </c>
      <c r="N23" s="256">
        <v>0</v>
      </c>
      <c r="O23" s="256">
        <v>2.5999999999999999E-2</v>
      </c>
      <c r="P23" s="256">
        <v>2.5999999999999999E-2</v>
      </c>
      <c r="Q23" t="s">
        <v>101</v>
      </c>
    </row>
    <row r="24" spans="1:17" x14ac:dyDescent="0.35">
      <c r="A24" s="251" t="s">
        <v>435</v>
      </c>
      <c r="B24" s="265"/>
      <c r="C24" s="265"/>
      <c r="D24" s="256">
        <v>135.41999999999999</v>
      </c>
      <c r="E24" s="256">
        <v>72.537999999999997</v>
      </c>
      <c r="F24" s="256">
        <v>10.331</v>
      </c>
      <c r="G24" s="256">
        <v>4.2670000000000003</v>
      </c>
      <c r="H24" s="256">
        <v>1.347</v>
      </c>
      <c r="I24" s="256">
        <v>0.67400000000000004</v>
      </c>
      <c r="J24" s="256">
        <v>0</v>
      </c>
      <c r="K24" s="256">
        <v>0</v>
      </c>
      <c r="L24" s="256">
        <v>0</v>
      </c>
      <c r="M24" s="256">
        <v>0</v>
      </c>
      <c r="N24" s="256">
        <v>0</v>
      </c>
      <c r="O24" s="256">
        <v>89.156999999999996</v>
      </c>
      <c r="P24" s="256">
        <v>89.156999999999996</v>
      </c>
      <c r="Q24" t="s">
        <v>483</v>
      </c>
    </row>
    <row r="25" spans="1:17" x14ac:dyDescent="0.35">
      <c r="A25" s="251" t="s">
        <v>436</v>
      </c>
      <c r="B25" s="265"/>
      <c r="C25" s="265"/>
      <c r="D25" s="256"/>
      <c r="E25" s="256"/>
      <c r="F25" s="256"/>
      <c r="G25" s="256"/>
      <c r="H25" s="256"/>
      <c r="I25" s="256"/>
      <c r="J25" s="256"/>
      <c r="K25" s="256"/>
      <c r="L25" s="256"/>
      <c r="M25" s="256"/>
      <c r="N25" s="256"/>
      <c r="O25" s="256"/>
      <c r="P25" s="256"/>
    </row>
    <row r="26" spans="1:17" x14ac:dyDescent="0.35">
      <c r="A26" s="251" t="s">
        <v>473</v>
      </c>
      <c r="B26" s="265"/>
      <c r="C26" s="265"/>
      <c r="D26" s="256">
        <v>40.831000000000003</v>
      </c>
      <c r="E26" s="256">
        <v>79.391999999999996</v>
      </c>
      <c r="F26" s="256">
        <v>47.442999999999998</v>
      </c>
      <c r="G26" s="256">
        <v>4.7220000000000004</v>
      </c>
      <c r="H26" s="256">
        <v>0</v>
      </c>
      <c r="I26" s="256">
        <v>0</v>
      </c>
      <c r="J26" s="256">
        <v>0</v>
      </c>
      <c r="K26" s="256">
        <v>0</v>
      </c>
      <c r="L26" s="256">
        <v>0</v>
      </c>
      <c r="M26" s="256">
        <v>0</v>
      </c>
      <c r="N26" s="256">
        <v>0</v>
      </c>
      <c r="O26" s="256">
        <v>131.55699999999999</v>
      </c>
      <c r="P26" s="256">
        <v>131.55699999999999</v>
      </c>
      <c r="Q26" t="s">
        <v>180</v>
      </c>
    </row>
    <row r="27" spans="1:17" x14ac:dyDescent="0.35">
      <c r="A27" s="251" t="s">
        <v>437</v>
      </c>
      <c r="B27" s="265"/>
      <c r="C27" s="265"/>
      <c r="D27" s="256">
        <v>58.054000000000002</v>
      </c>
      <c r="E27" s="256">
        <v>14.755000000000001</v>
      </c>
      <c r="F27" s="256">
        <v>3.4750000000000001</v>
      </c>
      <c r="G27" s="256">
        <v>3.9249999999999998</v>
      </c>
      <c r="H27" s="256">
        <v>4.375</v>
      </c>
      <c r="I27" s="256">
        <v>4.375</v>
      </c>
      <c r="J27" s="256">
        <v>4.5</v>
      </c>
      <c r="K27" s="256">
        <v>4.5</v>
      </c>
      <c r="L27" s="256">
        <v>4.5</v>
      </c>
      <c r="M27" s="256">
        <v>4.5</v>
      </c>
      <c r="N27" s="256">
        <v>4.5</v>
      </c>
      <c r="O27" s="256">
        <v>30.905000000000001</v>
      </c>
      <c r="P27" s="256">
        <v>53.405000000000001</v>
      </c>
    </row>
    <row r="28" spans="1:17" x14ac:dyDescent="0.35">
      <c r="A28" s="251" t="s">
        <v>438</v>
      </c>
      <c r="B28" s="265"/>
      <c r="C28" s="265"/>
      <c r="D28" s="256">
        <v>47.372999999999998</v>
      </c>
      <c r="E28" s="256">
        <v>-46.081000000000003</v>
      </c>
      <c r="F28" s="256">
        <v>0</v>
      </c>
      <c r="G28" s="256">
        <v>0</v>
      </c>
      <c r="H28" s="256">
        <v>0</v>
      </c>
      <c r="I28" s="256">
        <v>0</v>
      </c>
      <c r="J28" s="256">
        <v>0</v>
      </c>
      <c r="K28" s="256">
        <v>0</v>
      </c>
      <c r="L28" s="256">
        <v>0</v>
      </c>
      <c r="M28" s="256">
        <v>0</v>
      </c>
      <c r="N28" s="256">
        <v>0</v>
      </c>
      <c r="O28" s="256">
        <v>-46.081000000000003</v>
      </c>
      <c r="P28" s="256">
        <v>-46.081000000000003</v>
      </c>
      <c r="Q28" t="s">
        <v>383</v>
      </c>
    </row>
    <row r="29" spans="1:17" x14ac:dyDescent="0.35">
      <c r="A29" s="251" t="s">
        <v>439</v>
      </c>
      <c r="B29" s="265"/>
      <c r="C29" s="265"/>
      <c r="D29" s="256">
        <v>24.475000000000001</v>
      </c>
      <c r="E29" s="256">
        <v>32.784999999999997</v>
      </c>
      <c r="F29" s="256">
        <v>8.4600000000000009</v>
      </c>
      <c r="G29" s="256">
        <v>0</v>
      </c>
      <c r="H29" s="256">
        <v>0</v>
      </c>
      <c r="I29" s="256">
        <v>0</v>
      </c>
      <c r="J29" s="256">
        <v>0</v>
      </c>
      <c r="K29" s="256">
        <v>0</v>
      </c>
      <c r="L29" s="256">
        <v>0</v>
      </c>
      <c r="M29" s="256">
        <v>0</v>
      </c>
      <c r="N29" s="256">
        <v>0</v>
      </c>
      <c r="O29" s="256">
        <v>41.244999999999997</v>
      </c>
      <c r="P29" s="256">
        <v>41.244999999999997</v>
      </c>
      <c r="Q29" t="s">
        <v>431</v>
      </c>
    </row>
    <row r="30" spans="1:17" x14ac:dyDescent="0.35">
      <c r="A30" s="251" t="s">
        <v>440</v>
      </c>
      <c r="B30" s="265"/>
      <c r="C30" s="265"/>
      <c r="D30" s="256">
        <v>27.5</v>
      </c>
      <c r="E30" s="256">
        <v>0.86</v>
      </c>
      <c r="F30" s="256">
        <v>-0.22</v>
      </c>
      <c r="G30" s="256">
        <v>-0.49</v>
      </c>
      <c r="H30" s="256">
        <v>-0.56000000000000005</v>
      </c>
      <c r="I30" s="256">
        <v>-0.98</v>
      </c>
      <c r="J30" s="256">
        <v>-0.76</v>
      </c>
      <c r="K30" s="256">
        <v>-0.74</v>
      </c>
      <c r="L30" s="256">
        <v>-0.72</v>
      </c>
      <c r="M30" s="256">
        <v>-0.7</v>
      </c>
      <c r="N30" s="256">
        <v>-0.69</v>
      </c>
      <c r="O30" s="256">
        <v>-1.39</v>
      </c>
      <c r="P30" s="256">
        <v>-5</v>
      </c>
      <c r="Q30" t="s">
        <v>132</v>
      </c>
    </row>
    <row r="31" spans="1:17" x14ac:dyDescent="0.35">
      <c r="A31" s="251" t="s">
        <v>288</v>
      </c>
      <c r="B31" s="265"/>
      <c r="C31" s="265"/>
      <c r="D31" s="256">
        <v>11.407999999999999</v>
      </c>
      <c r="E31" s="256">
        <v>10.763</v>
      </c>
      <c r="F31" s="256">
        <v>5.7809999999999997</v>
      </c>
      <c r="G31" s="256">
        <v>0.92300000000000004</v>
      </c>
      <c r="H31" s="256">
        <v>0.52300000000000002</v>
      </c>
      <c r="I31" s="256">
        <v>0.43099999999999999</v>
      </c>
      <c r="J31" s="256">
        <v>0.246</v>
      </c>
      <c r="K31" s="256">
        <v>0</v>
      </c>
      <c r="L31" s="256">
        <v>0</v>
      </c>
      <c r="M31" s="256">
        <v>0</v>
      </c>
      <c r="N31" s="256">
        <v>0</v>
      </c>
      <c r="O31" s="256">
        <v>18.420999999999999</v>
      </c>
      <c r="P31" s="256">
        <v>18.667000000000002</v>
      </c>
      <c r="Q31" t="s">
        <v>482</v>
      </c>
    </row>
    <row r="32" spans="1:17" x14ac:dyDescent="0.35">
      <c r="A32" s="251" t="s">
        <v>441</v>
      </c>
      <c r="B32" s="265"/>
      <c r="C32" s="265"/>
      <c r="D32" s="256">
        <v>99.444000000000003</v>
      </c>
      <c r="E32" s="256">
        <v>61.634</v>
      </c>
      <c r="F32" s="256">
        <v>23.815000000000001</v>
      </c>
      <c r="G32" s="256">
        <v>7.35</v>
      </c>
      <c r="H32" s="256">
        <v>4.4029999999999996</v>
      </c>
      <c r="I32" s="256">
        <v>1.663</v>
      </c>
      <c r="J32" s="256">
        <v>0.74399999999999999</v>
      </c>
      <c r="K32" s="256">
        <v>0.65500000000000003</v>
      </c>
      <c r="L32" s="256">
        <v>0.68799999999999994</v>
      </c>
      <c r="M32" s="256">
        <v>10.603</v>
      </c>
      <c r="N32" s="256">
        <v>-35.328000000000003</v>
      </c>
      <c r="O32" s="256">
        <v>98.864999999999995</v>
      </c>
      <c r="P32" s="256">
        <v>76.227000000000004</v>
      </c>
      <c r="Q32" t="s">
        <v>444</v>
      </c>
    </row>
    <row r="33" spans="1:16" x14ac:dyDescent="0.35">
      <c r="A33" s="251"/>
      <c r="B33" s="265"/>
      <c r="C33" s="265"/>
      <c r="D33" s="267"/>
      <c r="E33" s="267"/>
      <c r="F33" s="267"/>
      <c r="G33" s="267"/>
      <c r="H33" s="267"/>
      <c r="I33" s="267"/>
      <c r="J33" s="267"/>
      <c r="K33" s="267"/>
      <c r="L33" s="267"/>
      <c r="M33" s="267"/>
      <c r="N33" s="267"/>
      <c r="O33" s="267"/>
      <c r="P33" s="267"/>
    </row>
    <row r="34" spans="1:16" x14ac:dyDescent="0.35">
      <c r="A34" s="257"/>
      <c r="B34" s="257"/>
      <c r="C34" s="257" t="s">
        <v>5</v>
      </c>
      <c r="D34" s="258">
        <v>1777.13</v>
      </c>
      <c r="E34" s="258">
        <v>307.48399999999998</v>
      </c>
      <c r="F34" s="258">
        <v>99.084999999999994</v>
      </c>
      <c r="G34" s="258">
        <v>20.696999999999999</v>
      </c>
      <c r="H34" s="258">
        <v>10.087999999999999</v>
      </c>
      <c r="I34" s="258">
        <v>6.1630000000000003</v>
      </c>
      <c r="J34" s="258">
        <v>4.7300000000000004</v>
      </c>
      <c r="K34" s="258">
        <v>4.415</v>
      </c>
      <c r="L34" s="258">
        <v>4.468</v>
      </c>
      <c r="M34" s="258">
        <v>14.403</v>
      </c>
      <c r="N34" s="258">
        <v>-31.518000000000001</v>
      </c>
      <c r="O34" s="258">
        <v>443.517</v>
      </c>
      <c r="P34" s="258">
        <v>440.01499999999999</v>
      </c>
    </row>
    <row r="35" spans="1:16" x14ac:dyDescent="0.35">
      <c r="A35" s="254"/>
      <c r="B35" s="254"/>
      <c r="C35" s="254"/>
      <c r="D35" s="284"/>
      <c r="E35" s="279"/>
      <c r="F35" s="255"/>
      <c r="G35" s="255"/>
      <c r="H35" s="255"/>
      <c r="I35" s="255"/>
      <c r="J35" s="255"/>
      <c r="K35" s="255"/>
      <c r="L35" s="255"/>
      <c r="M35" s="255"/>
      <c r="N35" s="255"/>
      <c r="O35" s="255"/>
      <c r="P35" s="255"/>
    </row>
    <row r="36" spans="1:16" x14ac:dyDescent="0.35">
      <c r="A36" s="268" t="s">
        <v>474</v>
      </c>
      <c r="B36" s="268"/>
      <c r="C36" s="268"/>
      <c r="D36" s="269"/>
      <c r="E36" s="268"/>
      <c r="F36" s="268"/>
      <c r="G36" s="268"/>
      <c r="H36" s="268"/>
      <c r="I36" s="268"/>
      <c r="J36" s="268"/>
      <c r="K36" s="268"/>
      <c r="L36" s="268"/>
      <c r="M36" s="268"/>
      <c r="N36" s="268"/>
      <c r="O36" s="268"/>
      <c r="P36" s="268"/>
    </row>
    <row r="37" spans="1:16" x14ac:dyDescent="0.35">
      <c r="A37" s="268"/>
      <c r="B37" s="268"/>
      <c r="C37" s="268"/>
      <c r="D37" s="269"/>
      <c r="E37" s="268"/>
      <c r="F37" s="268"/>
      <c r="G37" s="268"/>
      <c r="H37" s="268"/>
      <c r="I37" s="268"/>
      <c r="J37" s="268"/>
      <c r="K37" s="268"/>
      <c r="L37" s="268"/>
      <c r="M37" s="268"/>
      <c r="N37" s="268"/>
      <c r="O37" s="268"/>
      <c r="P37" s="268"/>
    </row>
    <row r="38" spans="1:16" x14ac:dyDescent="0.35">
      <c r="A38" s="1475" t="s">
        <v>475</v>
      </c>
      <c r="B38" s="1475"/>
      <c r="C38" s="1475"/>
      <c r="D38" s="1475"/>
      <c r="E38" s="1475"/>
      <c r="F38" s="1475"/>
      <c r="G38" s="1475"/>
      <c r="H38" s="1475"/>
      <c r="I38" s="1475"/>
      <c r="J38" s="1475"/>
      <c r="K38" s="1475"/>
      <c r="L38" s="1475"/>
      <c r="M38" s="1475"/>
      <c r="N38" s="1475"/>
      <c r="O38" s="1475"/>
      <c r="P38" s="1475"/>
    </row>
    <row r="39" spans="1:16" x14ac:dyDescent="0.35">
      <c r="A39" s="1475"/>
      <c r="B39" s="1475"/>
      <c r="C39" s="1475"/>
      <c r="D39" s="1475"/>
      <c r="E39" s="1475"/>
      <c r="F39" s="1475"/>
      <c r="G39" s="1475"/>
      <c r="H39" s="1475"/>
      <c r="I39" s="1475"/>
      <c r="J39" s="1475"/>
      <c r="K39" s="1475"/>
      <c r="L39" s="1475"/>
      <c r="M39" s="1475"/>
      <c r="N39" s="1475"/>
      <c r="O39" s="1475"/>
      <c r="P39" s="1475"/>
    </row>
    <row r="40" spans="1:16" x14ac:dyDescent="0.35">
      <c r="A40" s="1475"/>
      <c r="B40" s="1475"/>
      <c r="C40" s="1475"/>
      <c r="D40" s="1475"/>
      <c r="E40" s="1475"/>
      <c r="F40" s="1475"/>
      <c r="G40" s="1475"/>
      <c r="H40" s="1475"/>
      <c r="I40" s="1475"/>
      <c r="J40" s="1475"/>
      <c r="K40" s="1475"/>
      <c r="L40" s="1475"/>
      <c r="M40" s="1475"/>
      <c r="N40" s="1475"/>
      <c r="O40" s="1475"/>
      <c r="P40" s="1475"/>
    </row>
    <row r="41" spans="1:16" x14ac:dyDescent="0.35">
      <c r="A41" s="1475"/>
      <c r="B41" s="1475"/>
      <c r="C41" s="1475"/>
      <c r="D41" s="1475"/>
      <c r="E41" s="1475"/>
      <c r="F41" s="1475"/>
      <c r="G41" s="1475"/>
      <c r="H41" s="1475"/>
      <c r="I41" s="1475"/>
      <c r="J41" s="1475"/>
      <c r="K41" s="1475"/>
      <c r="L41" s="1475"/>
      <c r="M41" s="1475"/>
      <c r="N41" s="1475"/>
      <c r="O41" s="1475"/>
      <c r="P41" s="1475"/>
    </row>
    <row r="42" spans="1:16" x14ac:dyDescent="0.35">
      <c r="A42" s="1475"/>
      <c r="B42" s="1475"/>
      <c r="C42" s="1475"/>
      <c r="D42" s="1475"/>
      <c r="E42" s="1475"/>
      <c r="F42" s="1475"/>
      <c r="G42" s="1475"/>
      <c r="H42" s="1475"/>
      <c r="I42" s="1475"/>
      <c r="J42" s="1475"/>
      <c r="K42" s="1475"/>
      <c r="L42" s="1475"/>
      <c r="M42" s="1475"/>
      <c r="N42" s="1475"/>
      <c r="O42" s="1475"/>
      <c r="P42" s="1475"/>
    </row>
    <row r="43" spans="1:16" x14ac:dyDescent="0.35">
      <c r="A43" s="275"/>
      <c r="B43" s="275"/>
      <c r="C43" s="275"/>
      <c r="D43" s="275"/>
      <c r="E43" s="275"/>
      <c r="F43" s="275"/>
      <c r="G43" s="275"/>
      <c r="H43" s="275"/>
      <c r="I43" s="275"/>
      <c r="J43" s="275"/>
      <c r="K43" s="275"/>
      <c r="L43" s="275"/>
      <c r="M43" s="275"/>
      <c r="N43" s="275"/>
      <c r="O43" s="275"/>
      <c r="P43" s="275"/>
    </row>
    <row r="44" spans="1:16" x14ac:dyDescent="0.35">
      <c r="A44" s="1476" t="s">
        <v>476</v>
      </c>
      <c r="B44" s="1476"/>
      <c r="C44" s="1476"/>
      <c r="D44" s="1476"/>
      <c r="E44" s="1476"/>
      <c r="F44" s="1476"/>
      <c r="G44" s="1476"/>
      <c r="H44" s="1476"/>
      <c r="I44" s="1476"/>
      <c r="J44" s="1476"/>
      <c r="K44" s="1476"/>
      <c r="L44" s="1476"/>
      <c r="M44" s="1476"/>
      <c r="N44" s="1476"/>
      <c r="O44" s="1476"/>
      <c r="P44" s="1476"/>
    </row>
    <row r="45" spans="1:16" x14ac:dyDescent="0.35">
      <c r="A45" s="1476"/>
      <c r="B45" s="1476"/>
      <c r="C45" s="1476"/>
      <c r="D45" s="1476"/>
      <c r="E45" s="1476"/>
      <c r="F45" s="1476"/>
      <c r="G45" s="1476"/>
      <c r="H45" s="1476"/>
      <c r="I45" s="1476"/>
      <c r="J45" s="1476"/>
      <c r="K45" s="1476"/>
      <c r="L45" s="1476"/>
      <c r="M45" s="1476"/>
      <c r="N45" s="1476"/>
      <c r="O45" s="1476"/>
      <c r="P45" s="1476"/>
    </row>
    <row r="46" spans="1:16" x14ac:dyDescent="0.35">
      <c r="A46" s="1476"/>
      <c r="B46" s="1476"/>
      <c r="C46" s="1476"/>
      <c r="D46" s="1476"/>
      <c r="E46" s="1476"/>
      <c r="F46" s="1476"/>
      <c r="G46" s="1476"/>
      <c r="H46" s="1476"/>
      <c r="I46" s="1476"/>
      <c r="J46" s="1476"/>
      <c r="K46" s="1476"/>
      <c r="L46" s="1476"/>
      <c r="M46" s="1476"/>
      <c r="N46" s="1476"/>
      <c r="O46" s="1476"/>
      <c r="P46" s="1476"/>
    </row>
    <row r="47" spans="1:16" x14ac:dyDescent="0.35">
      <c r="A47" s="268"/>
      <c r="B47" s="268"/>
      <c r="C47" s="268"/>
      <c r="D47" s="269"/>
      <c r="E47" s="268"/>
      <c r="F47" s="268"/>
      <c r="G47" s="268"/>
      <c r="H47" s="268"/>
      <c r="I47" s="268"/>
      <c r="J47" s="268"/>
      <c r="K47" s="268"/>
      <c r="L47" s="268"/>
      <c r="M47" s="268"/>
      <c r="N47" s="268"/>
      <c r="O47" s="268"/>
      <c r="P47" s="268"/>
    </row>
    <row r="48" spans="1:16" x14ac:dyDescent="0.35">
      <c r="A48" s="1473" t="s">
        <v>477</v>
      </c>
      <c r="B48" s="1474"/>
      <c r="C48" s="1474"/>
      <c r="D48" s="1474"/>
      <c r="E48" s="1474"/>
      <c r="F48" s="1474"/>
      <c r="G48" s="1474"/>
      <c r="H48" s="1474"/>
      <c r="I48" s="1474"/>
      <c r="J48" s="1474"/>
      <c r="K48" s="1474"/>
      <c r="L48" s="1474"/>
      <c r="M48" s="1474"/>
      <c r="N48" s="1474"/>
      <c r="O48" s="1474"/>
      <c r="P48" s="1474"/>
    </row>
    <row r="49" spans="1:16" x14ac:dyDescent="0.35">
      <c r="A49" s="1474"/>
      <c r="B49" s="1474"/>
      <c r="C49" s="1474"/>
      <c r="D49" s="1474"/>
      <c r="E49" s="1474"/>
      <c r="F49" s="1474"/>
      <c r="G49" s="1474"/>
      <c r="H49" s="1474"/>
      <c r="I49" s="1474"/>
      <c r="J49" s="1474"/>
      <c r="K49" s="1474"/>
      <c r="L49" s="1474"/>
      <c r="M49" s="1474"/>
      <c r="N49" s="1474"/>
      <c r="O49" s="1474"/>
      <c r="P49" s="1474"/>
    </row>
    <row r="50" spans="1:16" x14ac:dyDescent="0.35">
      <c r="A50" s="268"/>
      <c r="B50" s="268"/>
      <c r="C50" s="268"/>
      <c r="D50" s="269"/>
      <c r="E50" s="268"/>
      <c r="F50" s="268"/>
      <c r="G50" s="268"/>
      <c r="H50" s="268"/>
      <c r="I50" s="268"/>
      <c r="J50" s="268"/>
      <c r="K50" s="268"/>
      <c r="L50" s="268"/>
      <c r="M50" s="268"/>
      <c r="N50" s="268"/>
      <c r="O50" s="268"/>
      <c r="P50" s="268"/>
    </row>
    <row r="51" spans="1:16" x14ac:dyDescent="0.35">
      <c r="A51" s="1468" t="s">
        <v>478</v>
      </c>
      <c r="B51" s="1468"/>
      <c r="C51" s="1468"/>
      <c r="D51" s="1468"/>
      <c r="E51" s="1468"/>
      <c r="F51" s="1468"/>
      <c r="G51" s="1468"/>
      <c r="H51" s="1468"/>
      <c r="I51" s="1468"/>
      <c r="J51" s="1468"/>
      <c r="K51" s="1468"/>
      <c r="L51" s="1468"/>
      <c r="M51" s="1468"/>
      <c r="N51" s="1468"/>
      <c r="O51" s="1468"/>
      <c r="P51" s="1468"/>
    </row>
    <row r="52" spans="1:16" x14ac:dyDescent="0.35">
      <c r="A52" s="1468"/>
      <c r="B52" s="1468"/>
      <c r="C52" s="1468"/>
      <c r="D52" s="1468"/>
      <c r="E52" s="1468"/>
      <c r="F52" s="1468"/>
      <c r="G52" s="1468"/>
      <c r="H52" s="1468"/>
      <c r="I52" s="1468"/>
      <c r="J52" s="1468"/>
      <c r="K52" s="1468"/>
      <c r="L52" s="1468"/>
      <c r="M52" s="1468"/>
      <c r="N52" s="1468"/>
      <c r="O52" s="1468"/>
      <c r="P52" s="1468"/>
    </row>
    <row r="53" spans="1:16" x14ac:dyDescent="0.35">
      <c r="A53" s="1468"/>
      <c r="B53" s="1468"/>
      <c r="C53" s="1468"/>
      <c r="D53" s="1468"/>
      <c r="E53" s="1468"/>
      <c r="F53" s="1468"/>
      <c r="G53" s="1468"/>
      <c r="H53" s="1468"/>
      <c r="I53" s="1468"/>
      <c r="J53" s="1468"/>
      <c r="K53" s="1468"/>
      <c r="L53" s="1468"/>
      <c r="M53" s="1468"/>
      <c r="N53" s="1468"/>
      <c r="O53" s="1468"/>
      <c r="P53" s="1468"/>
    </row>
    <row r="54" spans="1:16" x14ac:dyDescent="0.35">
      <c r="A54" s="270"/>
      <c r="B54" s="270"/>
      <c r="C54" s="270"/>
      <c r="D54" s="271"/>
      <c r="E54" s="270"/>
      <c r="F54" s="270"/>
      <c r="G54" s="270"/>
      <c r="H54" s="270"/>
      <c r="I54" s="270"/>
      <c r="J54" s="270"/>
      <c r="K54" s="270"/>
      <c r="L54" s="270"/>
      <c r="M54" s="270"/>
      <c r="N54" s="270"/>
      <c r="O54" s="270"/>
      <c r="P54" s="270"/>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15"/>
      <c r="D1" s="115"/>
      <c r="E1" s="115"/>
      <c r="F1" s="115"/>
      <c r="G1" s="115"/>
      <c r="H1" s="115"/>
      <c r="I1" s="115"/>
      <c r="J1" s="115"/>
    </row>
    <row r="2" spans="1:10" ht="20" x14ac:dyDescent="0.4">
      <c r="A2" s="116" t="s">
        <v>300</v>
      </c>
      <c r="B2" s="116" t="s">
        <v>347</v>
      </c>
      <c r="C2" s="158" t="s">
        <v>367</v>
      </c>
      <c r="D2" s="158" t="s">
        <v>386</v>
      </c>
      <c r="E2" s="117"/>
      <c r="F2" s="117"/>
      <c r="G2" s="117"/>
      <c r="H2" s="37"/>
      <c r="I2" s="115"/>
      <c r="J2" s="115"/>
    </row>
    <row r="3" spans="1:10" x14ac:dyDescent="0.3">
      <c r="A3" s="119" t="s">
        <v>301</v>
      </c>
      <c r="B3" s="118">
        <f>SUM(B4:B7)</f>
        <v>325</v>
      </c>
      <c r="C3" s="115"/>
      <c r="D3" s="115"/>
      <c r="E3" s="1477" t="s">
        <v>353</v>
      </c>
      <c r="F3" s="1477"/>
      <c r="G3" s="115"/>
      <c r="H3" s="115"/>
      <c r="I3" s="115"/>
      <c r="J3" s="115"/>
    </row>
    <row r="4" spans="1:10" x14ac:dyDescent="0.3">
      <c r="A4" s="108" t="s">
        <v>302</v>
      </c>
      <c r="B4" s="118">
        <v>284</v>
      </c>
      <c r="C4" s="115"/>
      <c r="D4" s="115"/>
      <c r="E4" s="114" t="s">
        <v>101</v>
      </c>
      <c r="F4" s="114" t="s">
        <v>352</v>
      </c>
      <c r="G4" s="115"/>
      <c r="H4" s="115"/>
      <c r="I4" s="115"/>
      <c r="J4" s="115"/>
    </row>
    <row r="5" spans="1:10" x14ac:dyDescent="0.3">
      <c r="A5" s="108" t="s">
        <v>303</v>
      </c>
      <c r="B5" s="118">
        <v>20</v>
      </c>
      <c r="C5" s="115"/>
      <c r="D5" s="115"/>
      <c r="E5" s="115" t="s">
        <v>288</v>
      </c>
      <c r="F5" s="115">
        <f>SUM(B11:B16)</f>
        <v>82</v>
      </c>
      <c r="G5" s="115"/>
      <c r="H5" s="115"/>
      <c r="I5" s="115"/>
      <c r="J5" s="115"/>
    </row>
    <row r="6" spans="1:10" x14ac:dyDescent="0.3">
      <c r="A6" s="108" t="s">
        <v>304</v>
      </c>
      <c r="B6" s="118">
        <v>15</v>
      </c>
      <c r="C6" s="115"/>
      <c r="D6" s="115"/>
      <c r="E6" s="115" t="s">
        <v>388</v>
      </c>
      <c r="F6" s="115">
        <f>B23</f>
        <v>3</v>
      </c>
      <c r="G6" s="115"/>
      <c r="H6" s="115"/>
      <c r="I6" s="115"/>
      <c r="J6" s="115"/>
    </row>
    <row r="7" spans="1:10" x14ac:dyDescent="0.3">
      <c r="A7" s="108" t="s">
        <v>305</v>
      </c>
      <c r="B7" s="118">
        <v>6</v>
      </c>
      <c r="C7" s="115"/>
      <c r="D7" s="115"/>
      <c r="E7" s="115" t="s">
        <v>286</v>
      </c>
      <c r="F7" s="115">
        <f>B27-B28</f>
        <v>29</v>
      </c>
      <c r="G7" s="115"/>
      <c r="H7" s="115"/>
      <c r="I7" s="115"/>
      <c r="J7" s="115"/>
    </row>
    <row r="8" spans="1:10" x14ac:dyDescent="0.3">
      <c r="A8" s="114" t="s">
        <v>306</v>
      </c>
      <c r="B8" s="118">
        <v>121</v>
      </c>
      <c r="E8" s="115" t="s">
        <v>387</v>
      </c>
      <c r="F8" s="115">
        <f>B42</f>
        <v>2</v>
      </c>
    </row>
    <row r="9" spans="1:10" x14ac:dyDescent="0.3">
      <c r="A9" s="120" t="s">
        <v>307</v>
      </c>
      <c r="B9" s="118">
        <v>166</v>
      </c>
      <c r="E9" s="36" t="s">
        <v>389</v>
      </c>
      <c r="F9" s="36">
        <f>B18+B20+B21</f>
        <v>34</v>
      </c>
    </row>
    <row r="10" spans="1:10" x14ac:dyDescent="0.3">
      <c r="A10" s="109" t="s">
        <v>285</v>
      </c>
      <c r="B10" s="118">
        <v>82</v>
      </c>
      <c r="E10" s="56" t="s">
        <v>351</v>
      </c>
      <c r="F10" s="56" t="s">
        <v>350</v>
      </c>
    </row>
    <row r="11" spans="1:10" x14ac:dyDescent="0.3">
      <c r="A11" s="108" t="s">
        <v>309</v>
      </c>
      <c r="B11" s="118">
        <v>54</v>
      </c>
      <c r="E11" s="36" t="s">
        <v>360</v>
      </c>
      <c r="F11" s="36">
        <f>B4</f>
        <v>284</v>
      </c>
    </row>
    <row r="12" spans="1:10" x14ac:dyDescent="0.3">
      <c r="A12" s="108" t="s">
        <v>310</v>
      </c>
      <c r="B12" s="118">
        <v>20</v>
      </c>
      <c r="E12" s="36" t="s">
        <v>361</v>
      </c>
      <c r="F12" s="36">
        <f>B5</f>
        <v>20</v>
      </c>
    </row>
    <row r="13" spans="1:10" x14ac:dyDescent="0.3">
      <c r="A13" s="108" t="s">
        <v>344</v>
      </c>
      <c r="B13" s="118">
        <v>4</v>
      </c>
      <c r="E13" s="36" t="s">
        <v>304</v>
      </c>
      <c r="F13" s="36">
        <f>B6</f>
        <v>15</v>
      </c>
    </row>
    <row r="14" spans="1:10" ht="28" x14ac:dyDescent="0.3">
      <c r="A14" s="108" t="s">
        <v>311</v>
      </c>
      <c r="B14" s="118">
        <v>2</v>
      </c>
      <c r="E14" s="43" t="s">
        <v>305</v>
      </c>
      <c r="F14" s="36">
        <f>B7</f>
        <v>6</v>
      </c>
    </row>
    <row r="15" spans="1:10" ht="28" x14ac:dyDescent="0.3">
      <c r="A15" s="108" t="s">
        <v>312</v>
      </c>
      <c r="B15" s="118">
        <v>1</v>
      </c>
      <c r="E15" s="43" t="s">
        <v>324</v>
      </c>
      <c r="F15" s="36">
        <f>B28</f>
        <v>15</v>
      </c>
    </row>
    <row r="16" spans="1:10" x14ac:dyDescent="0.3">
      <c r="A16" s="108" t="s">
        <v>314</v>
      </c>
      <c r="B16" s="118">
        <v>1</v>
      </c>
      <c r="E16" s="36" t="s">
        <v>331</v>
      </c>
      <c r="F16" s="36">
        <f>B37</f>
        <v>12</v>
      </c>
    </row>
    <row r="17" spans="1:6" x14ac:dyDescent="0.3">
      <c r="A17" s="56" t="s">
        <v>316</v>
      </c>
      <c r="B17" s="118">
        <v>72</v>
      </c>
      <c r="E17" s="36" t="s">
        <v>332</v>
      </c>
      <c r="F17" s="36">
        <f>B38</f>
        <v>10</v>
      </c>
    </row>
    <row r="18" spans="1:6" x14ac:dyDescent="0.3">
      <c r="A18" s="108" t="s">
        <v>317</v>
      </c>
      <c r="B18" s="118">
        <v>22</v>
      </c>
      <c r="C18" s="36" t="s">
        <v>368</v>
      </c>
    </row>
    <row r="19" spans="1:6" x14ac:dyDescent="0.3">
      <c r="A19" s="108" t="s">
        <v>308</v>
      </c>
      <c r="B19" s="118">
        <v>20</v>
      </c>
      <c r="C19" s="36" t="s">
        <v>380</v>
      </c>
    </row>
    <row r="20" spans="1:6" x14ac:dyDescent="0.3">
      <c r="A20" s="108" t="s">
        <v>318</v>
      </c>
      <c r="B20" s="118">
        <v>8</v>
      </c>
      <c r="C20" s="36" t="s">
        <v>368</v>
      </c>
    </row>
    <row r="21" spans="1:6" x14ac:dyDescent="0.3">
      <c r="A21" s="108" t="s">
        <v>319</v>
      </c>
      <c r="B21" s="118">
        <v>4</v>
      </c>
      <c r="C21" s="36" t="s">
        <v>101</v>
      </c>
    </row>
    <row r="22" spans="1:6" x14ac:dyDescent="0.3">
      <c r="A22" s="122" t="s">
        <v>354</v>
      </c>
      <c r="B22" s="118">
        <v>4</v>
      </c>
      <c r="C22" s="36" t="s">
        <v>380</v>
      </c>
    </row>
    <row r="23" spans="1:6" x14ac:dyDescent="0.3">
      <c r="A23" s="108" t="s">
        <v>320</v>
      </c>
      <c r="B23" s="118">
        <v>3</v>
      </c>
      <c r="C23" s="36" t="s">
        <v>381</v>
      </c>
    </row>
    <row r="24" spans="1:6" x14ac:dyDescent="0.3">
      <c r="A24" s="122" t="s">
        <v>321</v>
      </c>
      <c r="B24" s="118">
        <v>3</v>
      </c>
      <c r="C24" s="36" t="s">
        <v>382</v>
      </c>
    </row>
    <row r="25" spans="1:6" x14ac:dyDescent="0.3">
      <c r="A25" s="121" t="s">
        <v>322</v>
      </c>
      <c r="B25" s="118">
        <v>3</v>
      </c>
      <c r="C25" s="36" t="s">
        <v>383</v>
      </c>
    </row>
    <row r="26" spans="1:6" x14ac:dyDescent="0.3">
      <c r="A26" s="108" t="s">
        <v>323</v>
      </c>
      <c r="B26" s="118">
        <v>4</v>
      </c>
      <c r="C26" s="36" t="s">
        <v>369</v>
      </c>
    </row>
    <row r="27" spans="1:6" x14ac:dyDescent="0.3">
      <c r="A27" s="56" t="s">
        <v>286</v>
      </c>
      <c r="B27" s="118">
        <v>44</v>
      </c>
    </row>
    <row r="28" spans="1:6" x14ac:dyDescent="0.3">
      <c r="A28" s="148" t="s">
        <v>324</v>
      </c>
      <c r="B28" s="149">
        <v>15</v>
      </c>
    </row>
    <row r="29" spans="1:6" x14ac:dyDescent="0.3">
      <c r="A29" s="108" t="s">
        <v>325</v>
      </c>
      <c r="B29" s="118">
        <v>14</v>
      </c>
    </row>
    <row r="30" spans="1:6" x14ac:dyDescent="0.3">
      <c r="A30" s="108" t="s">
        <v>326</v>
      </c>
      <c r="B30" s="118">
        <v>10</v>
      </c>
    </row>
    <row r="31" spans="1:6" x14ac:dyDescent="0.3">
      <c r="A31" s="108" t="s">
        <v>327</v>
      </c>
      <c r="B31" s="118">
        <v>2</v>
      </c>
    </row>
    <row r="32" spans="1:6" x14ac:dyDescent="0.3">
      <c r="A32" s="108" t="s">
        <v>328</v>
      </c>
      <c r="B32" s="118">
        <v>2</v>
      </c>
    </row>
    <row r="33" spans="1:6" x14ac:dyDescent="0.3">
      <c r="A33" s="108" t="s">
        <v>329</v>
      </c>
      <c r="B33" s="118">
        <v>1</v>
      </c>
    </row>
    <row r="34" spans="1:6" x14ac:dyDescent="0.3">
      <c r="A34" s="56" t="s">
        <v>313</v>
      </c>
      <c r="B34" s="118">
        <v>88</v>
      </c>
    </row>
    <row r="35" spans="1:6" x14ac:dyDescent="0.3">
      <c r="A35" s="121" t="s">
        <v>330</v>
      </c>
      <c r="B35" s="118">
        <v>26</v>
      </c>
    </row>
    <row r="36" spans="1:6" x14ac:dyDescent="0.3">
      <c r="A36" s="122" t="s">
        <v>363</v>
      </c>
      <c r="B36" s="118">
        <v>25</v>
      </c>
    </row>
    <row r="37" spans="1:6" x14ac:dyDescent="0.3">
      <c r="A37" s="108" t="s">
        <v>331</v>
      </c>
      <c r="B37" s="118">
        <v>12</v>
      </c>
      <c r="C37" s="36" t="s">
        <v>378</v>
      </c>
      <c r="E37" s="36" t="s">
        <v>372</v>
      </c>
      <c r="F37" s="36" t="s">
        <v>373</v>
      </c>
    </row>
    <row r="38" spans="1:6" x14ac:dyDescent="0.3">
      <c r="A38" s="108" t="s">
        <v>332</v>
      </c>
      <c r="B38" s="118">
        <v>10</v>
      </c>
      <c r="C38" s="36" t="s">
        <v>378</v>
      </c>
      <c r="E38" s="36" t="s">
        <v>379</v>
      </c>
      <c r="F38" s="36" t="s">
        <v>374</v>
      </c>
    </row>
    <row r="39" spans="1:6" x14ac:dyDescent="0.3">
      <c r="A39" s="108" t="s">
        <v>333</v>
      </c>
      <c r="B39" s="118">
        <v>7</v>
      </c>
      <c r="C39" s="36" t="s">
        <v>369</v>
      </c>
      <c r="E39" s="36" t="s">
        <v>376</v>
      </c>
      <c r="F39" s="36" t="s">
        <v>375</v>
      </c>
    </row>
    <row r="40" spans="1:6" x14ac:dyDescent="0.3">
      <c r="A40" s="108" t="s">
        <v>334</v>
      </c>
      <c r="B40" s="118">
        <v>5</v>
      </c>
      <c r="C40" s="36" t="s">
        <v>380</v>
      </c>
      <c r="E40" s="36" t="s">
        <v>377</v>
      </c>
    </row>
    <row r="41" spans="1:6" x14ac:dyDescent="0.3">
      <c r="A41" s="108" t="s">
        <v>335</v>
      </c>
      <c r="B41" s="118">
        <v>2</v>
      </c>
      <c r="C41" s="36" t="s">
        <v>369</v>
      </c>
      <c r="E41" s="36" t="s">
        <v>371</v>
      </c>
    </row>
    <row r="42" spans="1:6" x14ac:dyDescent="0.3">
      <c r="A42" s="108" t="s">
        <v>336</v>
      </c>
      <c r="B42" s="118">
        <v>2</v>
      </c>
      <c r="C42" s="36" t="s">
        <v>368</v>
      </c>
      <c r="E42" s="157" t="s">
        <v>366</v>
      </c>
    </row>
    <row r="43" spans="1:6" x14ac:dyDescent="0.3">
      <c r="A43" s="108" t="s">
        <v>337</v>
      </c>
      <c r="B43" s="118">
        <v>0</v>
      </c>
      <c r="E43" s="36" t="s">
        <v>370</v>
      </c>
    </row>
    <row r="44" spans="1:6" x14ac:dyDescent="0.3">
      <c r="A44" s="114" t="s">
        <v>315</v>
      </c>
      <c r="B44" s="123">
        <v>40</v>
      </c>
    </row>
    <row r="45" spans="1:6" x14ac:dyDescent="0.3">
      <c r="A45" s="121" t="s">
        <v>338</v>
      </c>
      <c r="B45" s="124">
        <v>21</v>
      </c>
    </row>
    <row r="46" spans="1:6" x14ac:dyDescent="0.3">
      <c r="A46" s="122" t="s">
        <v>339</v>
      </c>
      <c r="B46" s="123">
        <v>6</v>
      </c>
    </row>
    <row r="47" spans="1:6" x14ac:dyDescent="0.3">
      <c r="A47" s="121" t="s">
        <v>340</v>
      </c>
      <c r="B47" s="124">
        <v>4</v>
      </c>
    </row>
    <row r="48" spans="1:6" x14ac:dyDescent="0.3">
      <c r="A48" s="122" t="s">
        <v>341</v>
      </c>
      <c r="B48" s="123">
        <v>4</v>
      </c>
    </row>
    <row r="49" spans="1:2" x14ac:dyDescent="0.3">
      <c r="A49" s="121" t="s">
        <v>342</v>
      </c>
      <c r="B49" s="124">
        <v>3</v>
      </c>
    </row>
    <row r="50" spans="1:2" x14ac:dyDescent="0.3">
      <c r="A50" s="122" t="s">
        <v>343</v>
      </c>
      <c r="B50" s="123">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292" bestFit="1" customWidth="1"/>
    <col min="3" max="3" width="9" style="292"/>
    <col min="4" max="4" width="7.1796875" style="308" bestFit="1" customWidth="1"/>
    <col min="5" max="5" width="8.81640625" style="292" bestFit="1" customWidth="1"/>
    <col min="6" max="6" width="9" style="292"/>
    <col min="7" max="7" width="8.1796875" style="292" bestFit="1" customWidth="1"/>
    <col min="8" max="8" width="7.1796875" style="292" bestFit="1" customWidth="1"/>
    <col min="9" max="9" width="9" style="308"/>
    <col min="10" max="10" width="8.453125" style="308" bestFit="1" customWidth="1"/>
    <col min="11" max="11" width="9" style="308"/>
    <col min="12" max="12" width="8.453125" style="292" bestFit="1" customWidth="1"/>
    <col min="13" max="13" width="8.6328125" style="292" bestFit="1" customWidth="1"/>
    <col min="14" max="14" width="7.6328125" style="308" bestFit="1" customWidth="1"/>
    <col min="15" max="36" width="8.6328125" customWidth="1"/>
    <col min="37" max="40" width="8.6328125" style="292" customWidth="1"/>
    <col min="41" max="41" width="8.6328125" style="518" customWidth="1"/>
    <col min="42" max="42" width="8.6328125" customWidth="1"/>
    <col min="43" max="46" width="8.6328125" style="518" customWidth="1"/>
    <col min="47" max="51" width="8.6328125" customWidth="1"/>
    <col min="52" max="52" width="8.6328125" style="518" customWidth="1"/>
    <col min="53" max="53" width="8.6328125" style="292" customWidth="1"/>
    <col min="54" max="62" width="8.6328125" customWidth="1"/>
  </cols>
  <sheetData>
    <row r="1" spans="1:62" s="292" customFormat="1" x14ac:dyDescent="0.35">
      <c r="D1" s="308"/>
      <c r="I1" s="1478"/>
      <c r="J1" s="1478"/>
      <c r="K1" s="1478"/>
      <c r="N1" s="308"/>
      <c r="AO1" s="518"/>
      <c r="AQ1" s="518"/>
      <c r="AR1" s="518"/>
      <c r="AS1" s="518"/>
      <c r="AT1" s="518"/>
      <c r="AZ1" s="518"/>
    </row>
    <row r="2" spans="1:62" s="1" customFormat="1" ht="13" customHeight="1" x14ac:dyDescent="0.35">
      <c r="A2" s="299"/>
      <c r="O2" s="1479" t="s">
        <v>8</v>
      </c>
      <c r="P2" s="1479"/>
      <c r="Q2" s="1479"/>
      <c r="R2" s="1479"/>
      <c r="S2" s="1479"/>
      <c r="T2" s="298"/>
      <c r="U2" s="298"/>
      <c r="V2" s="298"/>
      <c r="W2" s="298"/>
      <c r="X2" s="298"/>
      <c r="Y2" s="1480" t="s">
        <v>9</v>
      </c>
      <c r="Z2" s="1481"/>
      <c r="AA2" s="1481"/>
      <c r="AB2" s="1481"/>
      <c r="AC2" s="1481"/>
      <c r="AD2" s="1481"/>
      <c r="AE2" s="298"/>
      <c r="AF2" s="298"/>
      <c r="AG2" s="1482" t="s">
        <v>10</v>
      </c>
      <c r="AH2" s="1481"/>
      <c r="AI2" s="1481"/>
      <c r="AJ2" s="1484" t="s">
        <v>11</v>
      </c>
      <c r="AK2" s="1484"/>
      <c r="AL2" s="1484"/>
      <c r="AM2" s="1484"/>
      <c r="AN2" s="1484"/>
      <c r="AO2" s="1484"/>
      <c r="AP2" s="1484"/>
      <c r="AQ2" s="1484"/>
      <c r="AR2" s="1484"/>
      <c r="AS2" s="1484"/>
      <c r="AT2" s="721"/>
      <c r="AU2" s="1483" t="s">
        <v>144</v>
      </c>
      <c r="AV2" s="1483"/>
      <c r="AW2" s="1483"/>
      <c r="AX2" s="1483"/>
      <c r="AY2" s="1483"/>
      <c r="AZ2" s="1483"/>
      <c r="BA2" s="1483"/>
      <c r="BB2" s="559"/>
      <c r="BC2" s="559"/>
      <c r="BD2" s="559"/>
      <c r="BE2" s="559"/>
      <c r="BF2" s="559"/>
      <c r="BG2" s="559"/>
      <c r="BH2" s="559"/>
      <c r="BI2" s="559"/>
      <c r="BJ2" s="568" t="s">
        <v>709</v>
      </c>
    </row>
    <row r="3" spans="1:62" ht="43.5" x14ac:dyDescent="0.35">
      <c r="A3" s="300"/>
      <c r="B3" s="300"/>
      <c r="C3" s="300"/>
      <c r="D3" s="300"/>
      <c r="E3" s="300"/>
      <c r="F3" s="300"/>
      <c r="G3" s="300"/>
      <c r="H3" s="300"/>
      <c r="I3" s="300"/>
      <c r="J3" s="300"/>
      <c r="K3" s="300"/>
      <c r="L3" s="300"/>
      <c r="M3" s="300"/>
      <c r="N3" s="300"/>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31" t="s">
        <v>37</v>
      </c>
      <c r="AO3" s="331" t="s">
        <v>45</v>
      </c>
      <c r="AP3" s="3" t="s">
        <v>31</v>
      </c>
      <c r="AQ3" s="4" t="s">
        <v>39</v>
      </c>
      <c r="AR3" s="3" t="s">
        <v>40</v>
      </c>
      <c r="AS3" s="3" t="s">
        <v>42</v>
      </c>
      <c r="AT3" s="331" t="s">
        <v>44</v>
      </c>
      <c r="AU3" s="3" t="s">
        <v>33</v>
      </c>
      <c r="AV3" s="3" t="s">
        <v>38</v>
      </c>
      <c r="AW3" s="3" t="s">
        <v>41</v>
      </c>
      <c r="AX3" s="3" t="s">
        <v>43</v>
      </c>
      <c r="AY3" s="3" t="s">
        <v>47</v>
      </c>
      <c r="AZ3" s="3" t="s">
        <v>35</v>
      </c>
      <c r="BA3" s="3" t="s">
        <v>23</v>
      </c>
      <c r="BB3" s="569" t="s">
        <v>48</v>
      </c>
      <c r="BC3" s="569" t="s">
        <v>1163</v>
      </c>
      <c r="BD3" s="569" t="s">
        <v>1162</v>
      </c>
      <c r="BE3" s="569" t="s">
        <v>49</v>
      </c>
      <c r="BF3" s="569" t="s">
        <v>50</v>
      </c>
      <c r="BG3" s="569" t="s">
        <v>51</v>
      </c>
      <c r="BH3" s="569" t="s">
        <v>52</v>
      </c>
      <c r="BI3" s="569" t="s">
        <v>53</v>
      </c>
      <c r="BJ3" s="563" t="s">
        <v>46</v>
      </c>
    </row>
    <row r="4" spans="1:62" s="560" customFormat="1" ht="63" customHeight="1" x14ac:dyDescent="0.35">
      <c r="A4" s="572" t="s">
        <v>535</v>
      </c>
      <c r="B4" s="299" t="s">
        <v>131</v>
      </c>
      <c r="C4" s="299" t="s">
        <v>514</v>
      </c>
      <c r="D4" s="299" t="s">
        <v>431</v>
      </c>
      <c r="E4" s="299" t="s">
        <v>511</v>
      </c>
      <c r="F4" s="299" t="s">
        <v>513</v>
      </c>
      <c r="G4" s="299" t="s">
        <v>1167</v>
      </c>
      <c r="H4" s="299" t="s">
        <v>512</v>
      </c>
      <c r="I4" s="320" t="s">
        <v>365</v>
      </c>
      <c r="J4" s="320" t="s">
        <v>288</v>
      </c>
      <c r="K4" s="320" t="s">
        <v>544</v>
      </c>
      <c r="L4" s="311" t="s">
        <v>530</v>
      </c>
      <c r="M4" s="299" t="s">
        <v>380</v>
      </c>
      <c r="N4" s="299" t="s">
        <v>542</v>
      </c>
      <c r="O4" s="569" t="s">
        <v>55</v>
      </c>
      <c r="P4" s="569" t="s">
        <v>56</v>
      </c>
      <c r="Q4" s="569" t="s">
        <v>57</v>
      </c>
      <c r="R4" s="569" t="s">
        <v>58</v>
      </c>
      <c r="S4" s="569" t="s">
        <v>59</v>
      </c>
      <c r="T4" s="569" t="s">
        <v>60</v>
      </c>
      <c r="U4" s="569" t="s">
        <v>61</v>
      </c>
      <c r="V4" s="569" t="s">
        <v>62</v>
      </c>
      <c r="W4" s="569" t="s">
        <v>63</v>
      </c>
      <c r="X4" s="569" t="s">
        <v>64</v>
      </c>
      <c r="Y4" s="569" t="s">
        <v>65</v>
      </c>
      <c r="Z4" s="569" t="s">
        <v>66</v>
      </c>
      <c r="AA4" s="569" t="s">
        <v>67</v>
      </c>
      <c r="AB4" s="569" t="s">
        <v>68</v>
      </c>
      <c r="AC4" s="569" t="s">
        <v>69</v>
      </c>
      <c r="AD4" s="569" t="s">
        <v>70</v>
      </c>
      <c r="AE4" s="569" t="s">
        <v>71</v>
      </c>
      <c r="AF4" s="569" t="s">
        <v>72</v>
      </c>
      <c r="AG4" s="569" t="s">
        <v>73</v>
      </c>
      <c r="AH4" s="569" t="s">
        <v>74</v>
      </c>
      <c r="AI4" s="569" t="s">
        <v>75</v>
      </c>
      <c r="AJ4" s="569" t="s">
        <v>76</v>
      </c>
      <c r="AK4" s="569" t="s">
        <v>78</v>
      </c>
      <c r="AL4" s="569" t="s">
        <v>4</v>
      </c>
      <c r="AM4" s="569" t="s">
        <v>81</v>
      </c>
      <c r="AN4" s="573" t="s">
        <v>82</v>
      </c>
      <c r="AO4" s="573" t="s">
        <v>90</v>
      </c>
      <c r="AP4" s="569" t="s">
        <v>77</v>
      </c>
      <c r="AQ4" s="570" t="s">
        <v>84</v>
      </c>
      <c r="AR4" s="569" t="s">
        <v>85</v>
      </c>
      <c r="AS4" s="569" t="s">
        <v>87</v>
      </c>
      <c r="AT4" s="573" t="s">
        <v>89</v>
      </c>
      <c r="AU4" s="569" t="s">
        <v>79</v>
      </c>
      <c r="AV4" s="569" t="s">
        <v>83</v>
      </c>
      <c r="AW4" s="569" t="s">
        <v>86</v>
      </c>
      <c r="AX4" s="569" t="s">
        <v>88</v>
      </c>
      <c r="AY4" s="569" t="s">
        <v>92</v>
      </c>
      <c r="AZ4" s="569" t="s">
        <v>80</v>
      </c>
      <c r="BA4" s="569"/>
      <c r="BB4" s="569" t="s">
        <v>93</v>
      </c>
      <c r="BC4" s="569" t="s">
        <v>94</v>
      </c>
      <c r="BD4" s="569" t="s">
        <v>95</v>
      </c>
      <c r="BE4" s="569" t="s">
        <v>96</v>
      </c>
      <c r="BF4" s="569" t="s">
        <v>97</v>
      </c>
      <c r="BG4" s="569" t="s">
        <v>98</v>
      </c>
      <c r="BH4" s="569" t="s">
        <v>99</v>
      </c>
      <c r="BI4" s="569" t="s">
        <v>100</v>
      </c>
      <c r="BJ4" s="571" t="s">
        <v>91</v>
      </c>
    </row>
    <row r="5" spans="1:62" x14ac:dyDescent="0.35">
      <c r="A5" s="301">
        <v>2021</v>
      </c>
      <c r="B5" s="303">
        <f>Q5</f>
        <v>394.202</v>
      </c>
      <c r="C5" s="303">
        <f>SUM(Y5:AB5)</f>
        <v>195.7</v>
      </c>
      <c r="D5" s="303">
        <f>T5</f>
        <v>18.823</v>
      </c>
      <c r="E5" s="303">
        <f t="shared" ref="E5:E15" si="0">SUM(O5:S5)-B5</f>
        <v>50.77600000000001</v>
      </c>
      <c r="F5" s="303">
        <f t="shared" ref="F5:F15" si="1">SUM(T5:AF5)-C5-L5-D5</f>
        <v>47.722000000000016</v>
      </c>
      <c r="G5" s="303">
        <f>SUM(BB5:BI5)-BC5</f>
        <v>81.642999999999986</v>
      </c>
      <c r="H5" s="303">
        <f>SUM(AG5:AI5)</f>
        <v>7.798</v>
      </c>
      <c r="I5" s="303">
        <f>AJ5</f>
        <v>283.95749999999998</v>
      </c>
      <c r="J5" s="303">
        <f>AL5</f>
        <v>12.347</v>
      </c>
      <c r="K5" s="303">
        <f>SUM(AM5:AT5)</f>
        <v>29.628</v>
      </c>
      <c r="L5" s="326">
        <f>103/4</f>
        <v>25.75</v>
      </c>
      <c r="M5" s="303">
        <f t="shared" ref="M5:M16" si="2">SUM(AU5:BA5)</f>
        <v>31.939</v>
      </c>
      <c r="N5" s="303">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74">
        <v>2</v>
      </c>
      <c r="AO5" s="575">
        <v>0.81</v>
      </c>
      <c r="AP5" s="5">
        <v>0.52100000000000002</v>
      </c>
      <c r="AQ5" s="10">
        <v>10</v>
      </c>
      <c r="AR5" s="5">
        <v>2.7</v>
      </c>
      <c r="AS5" s="5">
        <v>0.751</v>
      </c>
      <c r="AT5" s="575">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564">
        <v>1.1599999999999999</v>
      </c>
    </row>
    <row r="6" spans="1:62" x14ac:dyDescent="0.35">
      <c r="A6" s="301">
        <v>2022</v>
      </c>
      <c r="B6" s="303">
        <f t="shared" ref="B6:B15" si="3">Q6</f>
        <v>17.465</v>
      </c>
      <c r="C6" s="303">
        <f t="shared" ref="C6:C15" si="4">SUM(Y6:AB6)</f>
        <v>10.1</v>
      </c>
      <c r="D6" s="303">
        <f t="shared" ref="D6:D15" si="5">T6</f>
        <v>2.5950000000000002</v>
      </c>
      <c r="E6" s="303">
        <f t="shared" si="0"/>
        <v>74.718999999999994</v>
      </c>
      <c r="F6" s="303">
        <f t="shared" si="1"/>
        <v>52.756999999999998</v>
      </c>
      <c r="G6" s="303">
        <f t="shared" ref="G6:G16" si="6">SUM(BB6:BI6)-BC6</f>
        <v>110.24799999999999</v>
      </c>
      <c r="H6" s="303">
        <f t="shared" ref="H6:H15" si="7">SUM(AG6:AI6)</f>
        <v>7.9489999999999998</v>
      </c>
      <c r="I6" s="303">
        <f t="shared" ref="I6:I15" si="8">AJ6</f>
        <v>77.092500000000001</v>
      </c>
      <c r="J6" s="303">
        <f t="shared" ref="J6:J15" si="9">AL6</f>
        <v>46.79</v>
      </c>
      <c r="K6" s="303">
        <f t="shared" ref="K6:K16" si="10">SUM(AM6:AT6)</f>
        <v>35.671000000000006</v>
      </c>
      <c r="L6" s="326">
        <v>0</v>
      </c>
      <c r="M6" s="303">
        <f t="shared" si="2"/>
        <v>56.412999999999997</v>
      </c>
      <c r="N6" s="303">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74">
        <v>4.3</v>
      </c>
      <c r="AO6" s="576">
        <v>1.1000000000000001</v>
      </c>
      <c r="AP6" s="5">
        <v>1.575</v>
      </c>
      <c r="AQ6" s="10">
        <v>10</v>
      </c>
      <c r="AR6" s="5">
        <v>4.5</v>
      </c>
      <c r="AS6" s="5">
        <v>1.9810000000000001</v>
      </c>
      <c r="AT6" s="575">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564">
        <v>4.2</v>
      </c>
    </row>
    <row r="7" spans="1:62" x14ac:dyDescent="0.35">
      <c r="A7" s="301">
        <v>2023</v>
      </c>
      <c r="B7" s="303">
        <f t="shared" si="3"/>
        <v>0.48599999999999999</v>
      </c>
      <c r="C7" s="303">
        <f t="shared" si="4"/>
        <v>0</v>
      </c>
      <c r="D7" s="303">
        <f t="shared" si="5"/>
        <v>0.93700000000000006</v>
      </c>
      <c r="E7" s="303">
        <f t="shared" si="0"/>
        <v>2.1159999999999997</v>
      </c>
      <c r="F7" s="303">
        <f t="shared" si="1"/>
        <v>12</v>
      </c>
      <c r="G7" s="303">
        <f t="shared" si="6"/>
        <v>12.726000000000001</v>
      </c>
      <c r="H7" s="303">
        <f t="shared" si="7"/>
        <v>4.7519999999999998</v>
      </c>
      <c r="I7" s="303">
        <f t="shared" si="8"/>
        <v>1</v>
      </c>
      <c r="J7" s="303">
        <f t="shared" si="9"/>
        <v>38.595999999999997</v>
      </c>
      <c r="K7" s="303">
        <f t="shared" si="10"/>
        <v>24.216000000000001</v>
      </c>
      <c r="L7" s="326">
        <v>0</v>
      </c>
      <c r="M7" s="303">
        <f t="shared" si="2"/>
        <v>15.652999999999999</v>
      </c>
      <c r="N7" s="303">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74">
        <v>1.2</v>
      </c>
      <c r="AO7" s="576">
        <v>0.53</v>
      </c>
      <c r="AP7" s="5">
        <v>0.38100000000000001</v>
      </c>
      <c r="AQ7" s="10">
        <v>8</v>
      </c>
      <c r="AR7" s="5">
        <v>4.5</v>
      </c>
      <c r="AS7" s="5">
        <v>0.76600000000000001</v>
      </c>
      <c r="AT7" s="575">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564">
        <v>2.7</v>
      </c>
    </row>
    <row r="8" spans="1:62" x14ac:dyDescent="0.35">
      <c r="A8" s="301">
        <v>2024</v>
      </c>
      <c r="B8" s="303">
        <f t="shared" si="3"/>
        <v>0</v>
      </c>
      <c r="C8" s="303">
        <f t="shared" si="4"/>
        <v>0</v>
      </c>
      <c r="D8" s="303">
        <f t="shared" si="5"/>
        <v>0.16</v>
      </c>
      <c r="E8" s="303">
        <f t="shared" si="0"/>
        <v>2.1789999999999998</v>
      </c>
      <c r="F8" s="303">
        <f t="shared" si="1"/>
        <v>4.2219999999999995</v>
      </c>
      <c r="G8" s="303">
        <f t="shared" si="6"/>
        <v>1.365</v>
      </c>
      <c r="H8" s="303">
        <f t="shared" si="7"/>
        <v>4.637999999999999</v>
      </c>
      <c r="I8" s="303">
        <f t="shared" si="8"/>
        <v>0</v>
      </c>
      <c r="J8" s="303">
        <f t="shared" si="9"/>
        <v>31.911000000000001</v>
      </c>
      <c r="K8" s="303">
        <f t="shared" si="10"/>
        <v>9.6430000000000007</v>
      </c>
      <c r="L8" s="326">
        <v>0</v>
      </c>
      <c r="M8" s="303">
        <f t="shared" si="2"/>
        <v>3.9320000000000004</v>
      </c>
      <c r="N8" s="303">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74">
        <v>0.4</v>
      </c>
      <c r="AO8" s="576">
        <v>0.41</v>
      </c>
      <c r="AP8" s="5">
        <v>0.13100000000000001</v>
      </c>
      <c r="AQ8" s="10">
        <v>0</v>
      </c>
      <c r="AR8" s="5">
        <v>3</v>
      </c>
      <c r="AS8" s="5">
        <v>0.30099999999999999</v>
      </c>
      <c r="AT8" s="576">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565">
        <v>0.87</v>
      </c>
    </row>
    <row r="9" spans="1:62" x14ac:dyDescent="0.35">
      <c r="A9" s="301">
        <v>2025</v>
      </c>
      <c r="B9" s="303">
        <f t="shared" si="3"/>
        <v>0</v>
      </c>
      <c r="C9" s="303">
        <f t="shared" si="4"/>
        <v>0</v>
      </c>
      <c r="D9" s="303">
        <f t="shared" si="5"/>
        <v>3.3000000000000002E-2</v>
      </c>
      <c r="E9" s="303">
        <f t="shared" si="0"/>
        <v>2.33</v>
      </c>
      <c r="F9" s="303">
        <f t="shared" si="1"/>
        <v>2.3719999999999999</v>
      </c>
      <c r="G9" s="303">
        <f t="shared" si="6"/>
        <v>-0.90100000000000025</v>
      </c>
      <c r="H9" s="303">
        <f t="shared" si="7"/>
        <v>1.8800000000000001</v>
      </c>
      <c r="I9" s="303">
        <f t="shared" si="8"/>
        <v>0</v>
      </c>
      <c r="J9" s="303">
        <f t="shared" si="9"/>
        <v>23.099</v>
      </c>
      <c r="K9" s="303">
        <f t="shared" si="10"/>
        <v>4.5789999999999997</v>
      </c>
      <c r="L9" s="326">
        <v>0</v>
      </c>
      <c r="M9" s="303">
        <f t="shared" si="2"/>
        <v>-0.74299999999999988</v>
      </c>
      <c r="N9" s="303">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74">
        <v>0.3</v>
      </c>
      <c r="AO9" s="577">
        <v>0.15</v>
      </c>
      <c r="AP9" s="5">
        <v>0.112</v>
      </c>
      <c r="AQ9" s="10">
        <v>0</v>
      </c>
      <c r="AR9" s="5">
        <v>0.2</v>
      </c>
      <c r="AS9" s="5">
        <v>7.3999999999999996E-2</v>
      </c>
      <c r="AT9" s="576">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565">
        <v>0.33</v>
      </c>
    </row>
    <row r="10" spans="1:62" x14ac:dyDescent="0.35">
      <c r="A10" s="301">
        <v>2026</v>
      </c>
      <c r="B10" s="303">
        <f t="shared" si="3"/>
        <v>0</v>
      </c>
      <c r="C10" s="303">
        <f t="shared" si="4"/>
        <v>0</v>
      </c>
      <c r="D10" s="303">
        <f t="shared" si="5"/>
        <v>3.2000000000000001E-2</v>
      </c>
      <c r="E10" s="303">
        <f t="shared" si="0"/>
        <v>2.371</v>
      </c>
      <c r="F10" s="303">
        <f t="shared" si="1"/>
        <v>0.49</v>
      </c>
      <c r="G10" s="303">
        <f t="shared" si="6"/>
        <v>-2.1500000000000004</v>
      </c>
      <c r="H10" s="303">
        <f t="shared" si="7"/>
        <v>1.446</v>
      </c>
      <c r="I10" s="303">
        <f t="shared" si="8"/>
        <v>0</v>
      </c>
      <c r="J10" s="303">
        <f t="shared" si="9"/>
        <v>10.766999999999999</v>
      </c>
      <c r="K10" s="303">
        <f t="shared" si="10"/>
        <v>2.9130000000000003</v>
      </c>
      <c r="L10" s="326"/>
      <c r="M10" s="303">
        <f t="shared" si="2"/>
        <v>-21.606000000000002</v>
      </c>
      <c r="N10" s="303">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74">
        <v>0.2</v>
      </c>
      <c r="AO10" s="577">
        <v>0.1</v>
      </c>
      <c r="AP10" s="5">
        <v>0.05</v>
      </c>
      <c r="AQ10" s="10">
        <v>0</v>
      </c>
      <c r="AR10" s="5">
        <v>0</v>
      </c>
      <c r="AS10" s="5">
        <v>0</v>
      </c>
      <c r="AT10" s="576">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565">
        <v>0.17</v>
      </c>
    </row>
    <row r="11" spans="1:62" x14ac:dyDescent="0.35">
      <c r="A11" s="301">
        <v>2027</v>
      </c>
      <c r="B11" s="303">
        <f t="shared" si="3"/>
        <v>0</v>
      </c>
      <c r="C11" s="303">
        <f t="shared" si="4"/>
        <v>0</v>
      </c>
      <c r="D11" s="303">
        <f t="shared" si="5"/>
        <v>3.2000000000000001E-2</v>
      </c>
      <c r="E11" s="303">
        <f t="shared" si="0"/>
        <v>2.0129999999999999</v>
      </c>
      <c r="F11" s="303">
        <f t="shared" si="1"/>
        <v>0</v>
      </c>
      <c r="G11" s="303">
        <f t="shared" si="6"/>
        <v>-4.8169999999999993</v>
      </c>
      <c r="H11" s="303">
        <f t="shared" si="7"/>
        <v>0.65699999999999992</v>
      </c>
      <c r="I11" s="303">
        <f t="shared" si="8"/>
        <v>0</v>
      </c>
      <c r="J11" s="303">
        <f t="shared" si="9"/>
        <v>4.0789999999999997</v>
      </c>
      <c r="K11" s="303">
        <f t="shared" si="10"/>
        <v>2.46</v>
      </c>
      <c r="L11" s="326"/>
      <c r="M11" s="303">
        <f t="shared" si="2"/>
        <v>-14.713000000000001</v>
      </c>
      <c r="N11" s="303">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74">
        <v>0.1</v>
      </c>
      <c r="AO11" s="577">
        <v>0.1</v>
      </c>
      <c r="AP11" s="5">
        <v>0.03</v>
      </c>
      <c r="AQ11" s="10">
        <v>0</v>
      </c>
      <c r="AR11" s="5">
        <v>0</v>
      </c>
      <c r="AS11" s="5">
        <v>0</v>
      </c>
      <c r="AT11" s="577">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566">
        <v>0.06</v>
      </c>
    </row>
    <row r="12" spans="1:62" x14ac:dyDescent="0.35">
      <c r="A12" s="301">
        <v>2028</v>
      </c>
      <c r="B12" s="303">
        <f t="shared" si="3"/>
        <v>0</v>
      </c>
      <c r="C12" s="303">
        <f t="shared" si="4"/>
        <v>0</v>
      </c>
      <c r="D12" s="303">
        <f t="shared" si="5"/>
        <v>3.3000000000000002E-2</v>
      </c>
      <c r="E12" s="303">
        <f t="shared" si="0"/>
        <v>2.0129999999999999</v>
      </c>
      <c r="F12" s="303">
        <f t="shared" si="1"/>
        <v>0</v>
      </c>
      <c r="G12" s="303">
        <f t="shared" si="6"/>
        <v>-5.0590000000000002</v>
      </c>
      <c r="H12" s="303">
        <f t="shared" si="7"/>
        <v>-1.071</v>
      </c>
      <c r="I12" s="303">
        <f t="shared" si="8"/>
        <v>0</v>
      </c>
      <c r="J12" s="303">
        <f t="shared" si="9"/>
        <v>1.635</v>
      </c>
      <c r="K12" s="303">
        <f t="shared" si="10"/>
        <v>1.81</v>
      </c>
      <c r="L12" s="326"/>
      <c r="M12" s="303">
        <f t="shared" si="2"/>
        <v>-2.7690000000000001</v>
      </c>
      <c r="N12" s="303">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74">
        <v>0.1</v>
      </c>
      <c r="AO12" s="576">
        <v>0</v>
      </c>
      <c r="AP12" s="5">
        <v>0</v>
      </c>
      <c r="AQ12" s="10">
        <v>0</v>
      </c>
      <c r="AR12" s="5">
        <v>0</v>
      </c>
      <c r="AS12" s="5">
        <v>0</v>
      </c>
      <c r="AT12" s="577">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566">
        <v>0.03</v>
      </c>
    </row>
    <row r="13" spans="1:62" x14ac:dyDescent="0.35">
      <c r="A13" s="301">
        <v>2029</v>
      </c>
      <c r="B13" s="303">
        <f t="shared" si="3"/>
        <v>0</v>
      </c>
      <c r="C13" s="303">
        <f t="shared" si="4"/>
        <v>0</v>
      </c>
      <c r="D13" s="303">
        <f t="shared" si="5"/>
        <v>3.3000000000000002E-2</v>
      </c>
      <c r="E13" s="303">
        <f t="shared" si="0"/>
        <v>2.0129999999999999</v>
      </c>
      <c r="F13" s="303">
        <f t="shared" si="1"/>
        <v>0</v>
      </c>
      <c r="G13" s="303">
        <f t="shared" si="6"/>
        <v>-5.218</v>
      </c>
      <c r="H13" s="303">
        <f t="shared" si="7"/>
        <v>-1.964</v>
      </c>
      <c r="I13" s="303">
        <f t="shared" si="8"/>
        <v>0</v>
      </c>
      <c r="J13" s="303">
        <f t="shared" si="9"/>
        <v>-1.7000000000000001E-2</v>
      </c>
      <c r="K13" s="303">
        <f t="shared" si="10"/>
        <v>1</v>
      </c>
      <c r="L13" s="326"/>
      <c r="M13" s="303">
        <f t="shared" si="2"/>
        <v>-2.75</v>
      </c>
      <c r="N13" s="303">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74">
        <v>0</v>
      </c>
      <c r="AO13" s="576">
        <v>0</v>
      </c>
      <c r="AP13" s="5">
        <v>0</v>
      </c>
      <c r="AQ13" s="10">
        <v>0</v>
      </c>
      <c r="AR13" s="5">
        <v>0</v>
      </c>
      <c r="AS13" s="5">
        <v>0</v>
      </c>
      <c r="AT13" s="577">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566">
        <v>0.01</v>
      </c>
    </row>
    <row r="14" spans="1:62" x14ac:dyDescent="0.35">
      <c r="A14" s="301">
        <v>2030</v>
      </c>
      <c r="B14" s="303">
        <f t="shared" si="3"/>
        <v>0</v>
      </c>
      <c r="C14" s="303">
        <f t="shared" si="4"/>
        <v>0</v>
      </c>
      <c r="D14" s="303">
        <f t="shared" si="5"/>
        <v>3.3000000000000002E-2</v>
      </c>
      <c r="E14" s="303">
        <f t="shared" si="0"/>
        <v>2.1130000000000004</v>
      </c>
      <c r="F14" s="303">
        <f t="shared" si="1"/>
        <v>0</v>
      </c>
      <c r="G14" s="303">
        <f t="shared" si="6"/>
        <v>-5.9420000000000002</v>
      </c>
      <c r="H14" s="303">
        <f t="shared" si="7"/>
        <v>-2.0210000000000004</v>
      </c>
      <c r="I14" s="303">
        <f t="shared" si="8"/>
        <v>0</v>
      </c>
      <c r="J14" s="303">
        <f t="shared" si="9"/>
        <v>-1.9E-2</v>
      </c>
      <c r="K14" s="303">
        <f t="shared" si="10"/>
        <v>0.8</v>
      </c>
      <c r="L14" s="326"/>
      <c r="M14" s="303">
        <f t="shared" si="2"/>
        <v>-8.1189999999999998</v>
      </c>
      <c r="N14" s="303">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74">
        <v>0</v>
      </c>
      <c r="AO14" s="576">
        <v>0</v>
      </c>
      <c r="AP14" s="5">
        <v>0</v>
      </c>
      <c r="AQ14" s="10">
        <v>0</v>
      </c>
      <c r="AR14" s="5">
        <v>0</v>
      </c>
      <c r="AS14" s="5">
        <v>0</v>
      </c>
      <c r="AT14" s="576">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565">
        <v>0.01</v>
      </c>
    </row>
    <row r="15" spans="1:62" ht="17" customHeight="1" x14ac:dyDescent="0.35">
      <c r="A15" s="301">
        <v>2031</v>
      </c>
      <c r="B15" s="303">
        <f t="shared" si="3"/>
        <v>0</v>
      </c>
      <c r="C15" s="303">
        <f t="shared" si="4"/>
        <v>0</v>
      </c>
      <c r="D15" s="303">
        <f t="shared" si="5"/>
        <v>0</v>
      </c>
      <c r="E15" s="303">
        <f t="shared" si="0"/>
        <v>2.1230000000000002</v>
      </c>
      <c r="F15" s="303">
        <f t="shared" si="1"/>
        <v>0</v>
      </c>
      <c r="G15" s="303">
        <f t="shared" si="6"/>
        <v>-7.7250000000000005</v>
      </c>
      <c r="H15" s="303">
        <f t="shared" si="7"/>
        <v>-2.4630000000000001</v>
      </c>
      <c r="I15" s="303">
        <f t="shared" si="8"/>
        <v>0</v>
      </c>
      <c r="J15" s="303">
        <f t="shared" si="9"/>
        <v>-1.9E-2</v>
      </c>
      <c r="K15" s="303">
        <f t="shared" si="10"/>
        <v>0</v>
      </c>
      <c r="L15" s="326"/>
      <c r="M15" s="303">
        <f t="shared" si="2"/>
        <v>-3.0390000000000001</v>
      </c>
      <c r="N15" s="303">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74">
        <v>0</v>
      </c>
      <c r="AO15" s="576">
        <v>0</v>
      </c>
      <c r="AP15" s="5">
        <v>0</v>
      </c>
      <c r="AQ15" s="10">
        <v>0</v>
      </c>
      <c r="AR15" s="5">
        <v>0</v>
      </c>
      <c r="AS15" s="5">
        <v>0</v>
      </c>
      <c r="AT15" s="576">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565">
        <v>0</v>
      </c>
    </row>
    <row r="16" spans="1:62" x14ac:dyDescent="0.35">
      <c r="A16" s="302" t="s">
        <v>5</v>
      </c>
      <c r="B16" s="302">
        <f>SUM(B5:B15)</f>
        <v>412.15299999999996</v>
      </c>
      <c r="C16" s="302">
        <f>SUM(C5:C15)</f>
        <v>205.79999999999998</v>
      </c>
      <c r="D16" s="302">
        <f>SUM(D5:D15)</f>
        <v>22.711000000000006</v>
      </c>
      <c r="E16" s="302">
        <f t="shared" ref="E16:H16" si="12">SUM(E5:E15)</f>
        <v>144.76600000000002</v>
      </c>
      <c r="F16" s="302">
        <f t="shared" si="12"/>
        <v>119.563</v>
      </c>
      <c r="G16" s="303">
        <f t="shared" si="6"/>
        <v>174.17</v>
      </c>
      <c r="H16" s="302">
        <f t="shared" si="12"/>
        <v>21.600999999999996</v>
      </c>
      <c r="I16" s="326">
        <f t="shared" ref="I16" si="13">SUM(I5:I15)</f>
        <v>362.04999999999995</v>
      </c>
      <c r="J16" s="326">
        <f t="shared" ref="J16" si="14">SUM(J5:J15)</f>
        <v>169.16899999999998</v>
      </c>
      <c r="K16" s="303">
        <f t="shared" si="10"/>
        <v>112.72</v>
      </c>
      <c r="L16" s="326">
        <f>SUM(L5:L15)</f>
        <v>25.75</v>
      </c>
      <c r="M16" s="303">
        <f t="shared" si="2"/>
        <v>85.197999999999993</v>
      </c>
      <c r="N16" s="303">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74">
        <f t="shared" si="16"/>
        <v>8.6</v>
      </c>
      <c r="AO16" s="574">
        <f t="shared" si="16"/>
        <v>3.2000000000000006</v>
      </c>
      <c r="AP16" s="5">
        <f t="shared" si="15"/>
        <v>2.8000000000000003</v>
      </c>
      <c r="AQ16" s="23">
        <f>SUM(AQ5:AQ15)</f>
        <v>28</v>
      </c>
      <c r="AR16" s="5">
        <f>SUM(AR5:AR15)</f>
        <v>14.899999999999999</v>
      </c>
      <c r="AS16" s="5">
        <f>SUM(AS5:AS15)</f>
        <v>3.8730000000000002</v>
      </c>
      <c r="AT16" s="574">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567">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1159</v>
      </c>
      <c r="BD18" s="8" t="s">
        <v>1159</v>
      </c>
      <c r="BE18" s="8"/>
      <c r="BF18" s="8" t="s">
        <v>1159</v>
      </c>
      <c r="BG18" s="8" t="s">
        <v>1159</v>
      </c>
      <c r="BI18" s="8" t="s">
        <v>1159</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1160</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54" t="s">
        <v>565</v>
      </c>
      <c r="B1" s="354"/>
      <c r="C1" s="354"/>
      <c r="D1" s="354"/>
    </row>
    <row r="2" spans="1:22" s="292" customFormat="1" x14ac:dyDescent="0.35">
      <c r="A2" s="292" t="s">
        <v>515</v>
      </c>
      <c r="B2" s="291">
        <v>2021</v>
      </c>
      <c r="C2" s="291">
        <v>2021</v>
      </c>
      <c r="D2" s="291">
        <v>2021</v>
      </c>
      <c r="E2" s="291">
        <v>2022</v>
      </c>
      <c r="F2" s="291">
        <v>2022</v>
      </c>
      <c r="G2" s="291">
        <v>2022</v>
      </c>
      <c r="H2" s="291">
        <v>2022</v>
      </c>
      <c r="I2" s="291">
        <v>2023</v>
      </c>
      <c r="J2" s="291">
        <v>2023</v>
      </c>
      <c r="K2" s="291">
        <v>2023</v>
      </c>
      <c r="L2" s="291">
        <v>2023</v>
      </c>
      <c r="M2" s="291">
        <v>2024</v>
      </c>
      <c r="N2" s="291">
        <v>2024</v>
      </c>
      <c r="O2" s="291">
        <v>2024</v>
      </c>
      <c r="P2" s="291">
        <v>2024</v>
      </c>
      <c r="Q2" s="291">
        <v>2025</v>
      </c>
      <c r="R2" s="291">
        <v>2025</v>
      </c>
      <c r="S2" s="291">
        <v>2025</v>
      </c>
      <c r="T2" s="291">
        <v>2025</v>
      </c>
      <c r="U2" s="291">
        <v>2026</v>
      </c>
    </row>
    <row r="3" spans="1:22" x14ac:dyDescent="0.35">
      <c r="A3" s="24" t="s">
        <v>54</v>
      </c>
      <c r="B3" s="304" t="s">
        <v>110</v>
      </c>
      <c r="C3" s="304" t="s">
        <v>111</v>
      </c>
      <c r="D3" s="304" t="s">
        <v>112</v>
      </c>
      <c r="E3" s="304" t="s">
        <v>113</v>
      </c>
      <c r="F3" s="304" t="s">
        <v>114</v>
      </c>
      <c r="G3" s="304" t="s">
        <v>115</v>
      </c>
      <c r="H3" s="304" t="s">
        <v>116</v>
      </c>
      <c r="I3" s="304" t="s">
        <v>117</v>
      </c>
      <c r="J3" s="304" t="s">
        <v>118</v>
      </c>
      <c r="K3" s="304" t="s">
        <v>119</v>
      </c>
      <c r="L3" s="304" t="s">
        <v>120</v>
      </c>
      <c r="M3" s="304" t="s">
        <v>121</v>
      </c>
      <c r="N3" s="304" t="s">
        <v>122</v>
      </c>
      <c r="O3" s="304" t="s">
        <v>123</v>
      </c>
      <c r="P3" s="304" t="s">
        <v>124</v>
      </c>
      <c r="Q3" s="304" t="s">
        <v>125</v>
      </c>
      <c r="R3" s="304" t="s">
        <v>126</v>
      </c>
      <c r="S3" s="304" t="s">
        <v>127</v>
      </c>
      <c r="T3" s="304" t="s">
        <v>128</v>
      </c>
      <c r="U3" s="304" t="s">
        <v>129</v>
      </c>
    </row>
    <row r="4" spans="1:22" x14ac:dyDescent="0.35">
      <c r="A4" s="24" t="s">
        <v>105</v>
      </c>
      <c r="B4" s="304"/>
      <c r="C4" s="304"/>
      <c r="D4" s="304">
        <v>0</v>
      </c>
      <c r="E4" s="304">
        <v>0</v>
      </c>
      <c r="F4" s="304">
        <v>0.5</v>
      </c>
      <c r="G4" s="304">
        <v>0.5</v>
      </c>
      <c r="H4" s="304">
        <v>0</v>
      </c>
      <c r="I4" s="304">
        <v>0</v>
      </c>
      <c r="J4" s="304">
        <v>0</v>
      </c>
      <c r="K4" s="304">
        <v>0</v>
      </c>
      <c r="L4" s="304">
        <v>0</v>
      </c>
      <c r="M4" s="304">
        <v>0</v>
      </c>
      <c r="N4" s="304">
        <v>0</v>
      </c>
      <c r="O4" s="304">
        <v>0</v>
      </c>
      <c r="P4" s="304">
        <v>0</v>
      </c>
      <c r="Q4" s="304">
        <v>0</v>
      </c>
      <c r="R4" s="304">
        <v>0</v>
      </c>
      <c r="S4" s="304">
        <v>0</v>
      </c>
      <c r="T4" s="304">
        <v>0</v>
      </c>
      <c r="U4" s="304">
        <v>0</v>
      </c>
    </row>
    <row r="5" spans="1:22" x14ac:dyDescent="0.35">
      <c r="A5" s="24" t="s">
        <v>107</v>
      </c>
      <c r="B5" s="304">
        <v>0.04</v>
      </c>
      <c r="C5" s="304">
        <v>0.48</v>
      </c>
      <c r="D5" s="304">
        <v>0.48</v>
      </c>
      <c r="E5" s="304">
        <v>0</v>
      </c>
      <c r="F5" s="304">
        <v>0</v>
      </c>
      <c r="G5" s="304">
        <v>0</v>
      </c>
      <c r="H5" s="304">
        <v>0</v>
      </c>
      <c r="I5" s="304">
        <v>0</v>
      </c>
      <c r="J5" s="304">
        <v>0</v>
      </c>
      <c r="K5" s="304">
        <v>0</v>
      </c>
      <c r="L5" s="304">
        <v>0</v>
      </c>
      <c r="M5" s="304">
        <v>0</v>
      </c>
      <c r="N5" s="304">
        <v>0</v>
      </c>
      <c r="O5" s="304">
        <v>0</v>
      </c>
      <c r="P5" s="304">
        <v>0</v>
      </c>
      <c r="Q5" s="304">
        <v>0</v>
      </c>
      <c r="R5" s="304">
        <v>0</v>
      </c>
      <c r="S5" s="304">
        <v>0</v>
      </c>
      <c r="T5" s="304">
        <v>0</v>
      </c>
      <c r="U5" s="304">
        <v>0</v>
      </c>
    </row>
    <row r="6" spans="1:22" s="308" customFormat="1" x14ac:dyDescent="0.35">
      <c r="A6" s="24" t="s">
        <v>540</v>
      </c>
      <c r="B6" s="304">
        <f>B8</f>
        <v>0</v>
      </c>
      <c r="C6" s="304">
        <f>C8</f>
        <v>0.28000000000000003</v>
      </c>
      <c r="D6" s="304">
        <f t="shared" ref="D6:U6" si="0">D8</f>
        <v>0.72</v>
      </c>
      <c r="E6" s="304">
        <f t="shared" si="0"/>
        <v>0.25</v>
      </c>
      <c r="F6" s="304">
        <f t="shared" si="0"/>
        <v>0.25</v>
      </c>
      <c r="G6" s="304">
        <f t="shared" si="0"/>
        <v>0.25</v>
      </c>
      <c r="H6" s="304">
        <f t="shared" si="0"/>
        <v>0.25</v>
      </c>
      <c r="I6" s="304">
        <f t="shared" si="0"/>
        <v>0.25</v>
      </c>
      <c r="J6" s="304">
        <f t="shared" si="0"/>
        <v>0.25</v>
      </c>
      <c r="K6" s="304">
        <f t="shared" si="0"/>
        <v>0.25</v>
      </c>
      <c r="L6" s="304">
        <f t="shared" si="0"/>
        <v>0.25</v>
      </c>
      <c r="M6" s="304">
        <f t="shared" si="0"/>
        <v>0.25</v>
      </c>
      <c r="N6" s="304">
        <f t="shared" si="0"/>
        <v>0.25</v>
      </c>
      <c r="O6" s="304">
        <f t="shared" si="0"/>
        <v>0.25</v>
      </c>
      <c r="P6" s="304">
        <f t="shared" si="0"/>
        <v>0.25</v>
      </c>
      <c r="Q6" s="304">
        <f t="shared" si="0"/>
        <v>0.25</v>
      </c>
      <c r="R6" s="304">
        <f t="shared" si="0"/>
        <v>0.25</v>
      </c>
      <c r="S6" s="304">
        <f t="shared" si="0"/>
        <v>0.25</v>
      </c>
      <c r="T6" s="304">
        <f t="shared" si="0"/>
        <v>0.25</v>
      </c>
      <c r="U6" s="304">
        <f t="shared" si="0"/>
        <v>0.25</v>
      </c>
    </row>
    <row r="7" spans="1:22" x14ac:dyDescent="0.35">
      <c r="A7" s="24" t="s">
        <v>104</v>
      </c>
      <c r="B7" s="304">
        <v>0</v>
      </c>
      <c r="C7" s="304">
        <v>0</v>
      </c>
      <c r="D7" s="304">
        <v>1</v>
      </c>
      <c r="E7" s="304">
        <v>0.25</v>
      </c>
      <c r="F7" s="304">
        <v>0.25</v>
      </c>
      <c r="G7" s="304">
        <v>0.25</v>
      </c>
      <c r="H7" s="304">
        <v>0.25</v>
      </c>
      <c r="I7" s="304">
        <v>0.25</v>
      </c>
      <c r="J7" s="304">
        <v>0.25</v>
      </c>
      <c r="K7" s="304">
        <v>0.25</v>
      </c>
      <c r="L7" s="304">
        <v>0.25</v>
      </c>
      <c r="M7" s="304">
        <v>0.25</v>
      </c>
      <c r="N7" s="304">
        <v>0.25</v>
      </c>
      <c r="O7" s="304">
        <v>0.25</v>
      </c>
      <c r="P7" s="304">
        <v>0.25</v>
      </c>
      <c r="Q7" s="304">
        <v>0.25</v>
      </c>
      <c r="R7" s="304">
        <v>0.25</v>
      </c>
      <c r="S7" s="304">
        <v>0.25</v>
      </c>
      <c r="T7" s="304">
        <v>0.25</v>
      </c>
      <c r="U7" s="304">
        <v>0.25</v>
      </c>
    </row>
    <row r="8" spans="1:22" x14ac:dyDescent="0.35">
      <c r="A8" s="24" t="s">
        <v>106</v>
      </c>
      <c r="B8" s="304">
        <v>0</v>
      </c>
      <c r="C8" s="304">
        <v>0.28000000000000003</v>
      </c>
      <c r="D8" s="304">
        <v>0.72</v>
      </c>
      <c r="E8" s="304">
        <v>0.25</v>
      </c>
      <c r="F8" s="304">
        <v>0.25</v>
      </c>
      <c r="G8" s="304">
        <v>0.25</v>
      </c>
      <c r="H8" s="304">
        <v>0.25</v>
      </c>
      <c r="I8" s="304">
        <v>0.25</v>
      </c>
      <c r="J8" s="304">
        <v>0.25</v>
      </c>
      <c r="K8" s="304">
        <v>0.25</v>
      </c>
      <c r="L8" s="304">
        <v>0.25</v>
      </c>
      <c r="M8" s="304">
        <v>0.25</v>
      </c>
      <c r="N8" s="304">
        <v>0.25</v>
      </c>
      <c r="O8" s="304">
        <v>0.25</v>
      </c>
      <c r="P8" s="304">
        <v>0.25</v>
      </c>
      <c r="Q8" s="304">
        <v>0.25</v>
      </c>
      <c r="R8" s="304">
        <v>0.25</v>
      </c>
      <c r="S8" s="304">
        <v>0.25</v>
      </c>
      <c r="T8" s="304">
        <v>0.25</v>
      </c>
      <c r="U8" s="304">
        <v>0.25</v>
      </c>
    </row>
    <row r="9" spans="1:22" ht="26" x14ac:dyDescent="0.35">
      <c r="A9" s="24" t="s">
        <v>108</v>
      </c>
      <c r="B9" s="304">
        <v>0</v>
      </c>
      <c r="C9" s="304">
        <f>0.18</f>
        <v>0.18</v>
      </c>
      <c r="D9" s="304">
        <f>1-C9</f>
        <v>0.82000000000000006</v>
      </c>
      <c r="E9" s="304">
        <v>0.25</v>
      </c>
      <c r="F9" s="304">
        <v>0.25</v>
      </c>
      <c r="G9" s="304">
        <v>0.25</v>
      </c>
      <c r="H9" s="304">
        <v>0.25</v>
      </c>
      <c r="I9" s="304">
        <v>0.25</v>
      </c>
      <c r="J9" s="304">
        <v>0.25</v>
      </c>
      <c r="K9" s="304">
        <v>0.25</v>
      </c>
      <c r="L9" s="304">
        <v>0.25</v>
      </c>
      <c r="M9" s="304">
        <v>0.25</v>
      </c>
      <c r="N9" s="304">
        <v>0.25</v>
      </c>
      <c r="O9" s="304">
        <v>0.25</v>
      </c>
      <c r="P9" s="304">
        <v>0.25</v>
      </c>
      <c r="Q9" s="304">
        <v>0.25</v>
      </c>
      <c r="R9" s="304">
        <v>0.25</v>
      </c>
      <c r="S9" s="304">
        <v>0.25</v>
      </c>
      <c r="T9" s="304">
        <v>0.25</v>
      </c>
      <c r="U9" s="304">
        <v>0.25</v>
      </c>
    </row>
    <row r="10" spans="1:22" x14ac:dyDescent="0.35">
      <c r="A10" s="24" t="s">
        <v>109</v>
      </c>
      <c r="B10" s="304">
        <v>0</v>
      </c>
      <c r="C10" s="304">
        <v>0.5</v>
      </c>
      <c r="D10" s="304">
        <v>0.5</v>
      </c>
      <c r="E10" s="304">
        <v>0.25</v>
      </c>
      <c r="F10" s="304">
        <v>0.25</v>
      </c>
      <c r="G10" s="304">
        <v>0.25</v>
      </c>
      <c r="H10" s="304">
        <v>0.25</v>
      </c>
      <c r="I10" s="304">
        <v>0.25</v>
      </c>
      <c r="J10" s="304">
        <v>0.25</v>
      </c>
      <c r="K10" s="304">
        <v>0.25</v>
      </c>
      <c r="L10" s="304">
        <v>0.25</v>
      </c>
      <c r="M10" s="304">
        <v>0.25</v>
      </c>
      <c r="N10" s="304">
        <v>0.25</v>
      </c>
      <c r="O10" s="304">
        <v>0.25</v>
      </c>
      <c r="P10" s="304">
        <v>0.25</v>
      </c>
      <c r="Q10" s="304">
        <v>0.25</v>
      </c>
      <c r="R10" s="304">
        <v>0.25</v>
      </c>
      <c r="S10" s="304">
        <v>0.25</v>
      </c>
      <c r="T10" s="304">
        <v>0.25</v>
      </c>
      <c r="U10" s="304">
        <v>0.25</v>
      </c>
    </row>
    <row r="11" spans="1:22" x14ac:dyDescent="0.35">
      <c r="A11" s="24" t="s">
        <v>102</v>
      </c>
      <c r="B11" s="304">
        <v>0</v>
      </c>
      <c r="C11" s="304">
        <v>0.5</v>
      </c>
      <c r="D11" s="304">
        <v>0.5</v>
      </c>
      <c r="E11" s="304">
        <v>0.25</v>
      </c>
      <c r="F11" s="304">
        <v>0.25</v>
      </c>
      <c r="G11" s="304">
        <v>0.25</v>
      </c>
      <c r="H11" s="304">
        <v>0.25</v>
      </c>
      <c r="I11" s="304">
        <v>0.25</v>
      </c>
      <c r="J11" s="304">
        <v>0.25</v>
      </c>
      <c r="K11" s="304">
        <v>0.25</v>
      </c>
      <c r="L11" s="304">
        <v>0.25</v>
      </c>
      <c r="M11" s="304">
        <v>0.25</v>
      </c>
      <c r="N11" s="304">
        <v>0.25</v>
      </c>
      <c r="O11" s="304">
        <v>0.25</v>
      </c>
      <c r="P11" s="304">
        <v>0.25</v>
      </c>
      <c r="Q11" s="304">
        <v>0.25</v>
      </c>
      <c r="R11" s="304">
        <v>0.25</v>
      </c>
      <c r="S11" s="304">
        <v>0.25</v>
      </c>
      <c r="T11" s="304">
        <v>0.25</v>
      </c>
      <c r="U11" s="304">
        <v>0.25</v>
      </c>
    </row>
    <row r="12" spans="1:22" s="308" customFormat="1" ht="14" customHeight="1" x14ac:dyDescent="0.35">
      <c r="A12" s="24" t="s">
        <v>538</v>
      </c>
      <c r="B12" s="304">
        <v>1</v>
      </c>
      <c r="C12" s="304"/>
      <c r="D12" s="304"/>
      <c r="E12" s="304"/>
      <c r="F12" s="304"/>
      <c r="G12" s="304"/>
      <c r="H12" s="304"/>
      <c r="I12" s="304"/>
      <c r="J12" s="304"/>
      <c r="K12" s="304"/>
      <c r="L12" s="304"/>
      <c r="M12" s="304"/>
      <c r="N12" s="304"/>
      <c r="O12" s="304"/>
      <c r="P12" s="304"/>
      <c r="Q12" s="304"/>
      <c r="R12" s="304"/>
      <c r="S12" s="304"/>
      <c r="T12" s="304"/>
      <c r="U12" s="304"/>
    </row>
    <row r="13" spans="1:22" s="283" customFormat="1" x14ac:dyDescent="0.35">
      <c r="A13" s="322" t="s">
        <v>537</v>
      </c>
      <c r="B13" s="323">
        <v>0</v>
      </c>
      <c r="C13" s="323">
        <v>0.4</v>
      </c>
      <c r="D13" s="323">
        <v>0.6</v>
      </c>
      <c r="E13" s="323">
        <v>0.4</v>
      </c>
      <c r="F13" s="323">
        <v>0.3</v>
      </c>
      <c r="G13" s="323">
        <v>0.2</v>
      </c>
      <c r="H13" s="323">
        <v>0.1</v>
      </c>
      <c r="I13" s="323">
        <v>0.25</v>
      </c>
      <c r="J13" s="323">
        <v>0.25</v>
      </c>
      <c r="K13" s="323">
        <v>0.25</v>
      </c>
      <c r="L13" s="323">
        <v>0.25</v>
      </c>
      <c r="M13" s="323">
        <v>0.25</v>
      </c>
      <c r="N13" s="323">
        <v>0.25</v>
      </c>
      <c r="O13" s="323">
        <v>0.25</v>
      </c>
      <c r="P13" s="323">
        <v>0.25</v>
      </c>
      <c r="Q13" s="323">
        <v>0.25</v>
      </c>
      <c r="R13" s="323">
        <v>0.25</v>
      </c>
      <c r="S13" s="323">
        <v>0.25</v>
      </c>
      <c r="T13" s="323">
        <v>0.25</v>
      </c>
      <c r="U13" s="323">
        <v>0.25</v>
      </c>
    </row>
    <row r="14" spans="1:22" s="283" customFormat="1" x14ac:dyDescent="0.35">
      <c r="A14" s="322"/>
      <c r="B14" s="323"/>
      <c r="C14" s="323"/>
      <c r="D14" s="323"/>
      <c r="E14" s="323"/>
      <c r="F14" s="323"/>
      <c r="G14" s="323"/>
      <c r="H14" s="323"/>
      <c r="I14" s="323"/>
      <c r="J14" s="323"/>
      <c r="K14" s="323"/>
      <c r="L14" s="323"/>
      <c r="M14" s="323"/>
      <c r="N14" s="323"/>
      <c r="O14" s="323"/>
      <c r="P14" s="323"/>
      <c r="Q14" s="323"/>
      <c r="R14" s="323"/>
      <c r="S14" s="323"/>
      <c r="T14" s="323"/>
      <c r="U14" s="323"/>
    </row>
    <row r="15" spans="1:22" s="283" customFormat="1" ht="26" x14ac:dyDescent="0.35">
      <c r="A15" s="353" t="s">
        <v>566</v>
      </c>
      <c r="B15" s="323">
        <v>1</v>
      </c>
      <c r="C15" s="323">
        <v>2</v>
      </c>
      <c r="D15" s="323">
        <v>3</v>
      </c>
      <c r="E15" s="323">
        <v>4</v>
      </c>
      <c r="F15" s="323">
        <v>5</v>
      </c>
      <c r="G15" s="323">
        <v>6</v>
      </c>
      <c r="H15" s="323">
        <v>7</v>
      </c>
      <c r="I15" s="323">
        <v>8</v>
      </c>
      <c r="J15" s="323">
        <v>9</v>
      </c>
      <c r="K15" s="323">
        <v>10</v>
      </c>
      <c r="L15" s="323">
        <v>11</v>
      </c>
      <c r="M15" s="323">
        <v>12</v>
      </c>
      <c r="N15" s="323">
        <v>13</v>
      </c>
      <c r="O15" s="323">
        <v>14</v>
      </c>
      <c r="P15" s="323">
        <v>15</v>
      </c>
      <c r="Q15" s="323">
        <v>16</v>
      </c>
      <c r="R15" s="323">
        <v>17</v>
      </c>
      <c r="S15" s="323">
        <v>18</v>
      </c>
      <c r="T15" s="323">
        <v>19</v>
      </c>
      <c r="U15" s="323">
        <v>20</v>
      </c>
    </row>
    <row r="16" spans="1:22" x14ac:dyDescent="0.35">
      <c r="A16" s="24" t="s">
        <v>103</v>
      </c>
      <c r="B16" s="304">
        <v>7.0000000000000007E-2</v>
      </c>
      <c r="C16" s="304">
        <v>7.0000000000000007E-2</v>
      </c>
      <c r="D16" s="304">
        <v>4.9000000000000002E-2</v>
      </c>
      <c r="E16" s="304">
        <v>4.9000000000000002E-2</v>
      </c>
      <c r="F16" s="304">
        <v>4.9000000000000002E-2</v>
      </c>
      <c r="G16" s="304">
        <v>4.9000000000000002E-2</v>
      </c>
      <c r="H16" s="304">
        <v>4.9000000000000002E-2</v>
      </c>
      <c r="I16" s="304">
        <v>4.9000000000000002E-2</v>
      </c>
      <c r="J16" s="304">
        <v>4.9000000000000002E-2</v>
      </c>
      <c r="K16" s="304">
        <v>4.9000000000000002E-2</v>
      </c>
      <c r="L16" s="304">
        <v>4.9000000000000002E-2</v>
      </c>
      <c r="M16" s="304">
        <v>4.9000000000000002E-2</v>
      </c>
      <c r="N16" s="304">
        <f t="shared" ref="N16:T16" si="1">0.0475</f>
        <v>4.7500000000000001E-2</v>
      </c>
      <c r="O16" s="304">
        <f t="shared" si="1"/>
        <v>4.7500000000000001E-2</v>
      </c>
      <c r="P16" s="304">
        <f t="shared" si="1"/>
        <v>4.7500000000000001E-2</v>
      </c>
      <c r="Q16" s="304">
        <f t="shared" si="1"/>
        <v>4.7500000000000001E-2</v>
      </c>
      <c r="R16" s="304">
        <f t="shared" si="1"/>
        <v>4.7500000000000001E-2</v>
      </c>
      <c r="S16" s="304">
        <f t="shared" si="1"/>
        <v>4.7500000000000001E-2</v>
      </c>
      <c r="T16" s="304">
        <f t="shared" si="1"/>
        <v>4.7500000000000001E-2</v>
      </c>
      <c r="U16" s="304">
        <f>0.0375</f>
        <v>3.7499999999999999E-2</v>
      </c>
      <c r="V16" s="304">
        <f>SUM(B16:U16)</f>
        <v>0.99999999999999989</v>
      </c>
    </row>
    <row r="17" spans="1:23" ht="26" x14ac:dyDescent="0.35">
      <c r="A17" s="24" t="s">
        <v>1156</v>
      </c>
      <c r="B17">
        <v>0</v>
      </c>
      <c r="C17" s="518">
        <v>0</v>
      </c>
      <c r="D17" s="518">
        <v>3.5000000000000003E-2</v>
      </c>
      <c r="E17" s="518">
        <v>4.65E-2</v>
      </c>
      <c r="F17" s="518">
        <v>0.06</v>
      </c>
      <c r="G17" s="518">
        <v>6.5000000000000002E-2</v>
      </c>
      <c r="H17" s="518">
        <v>0.05</v>
      </c>
      <c r="I17" s="518">
        <v>0.05</v>
      </c>
      <c r="J17" s="518">
        <v>0.06</v>
      </c>
      <c r="K17" s="518">
        <v>0.06</v>
      </c>
      <c r="L17" s="518">
        <v>7.0000000000000007E-2</v>
      </c>
      <c r="M17" s="518">
        <v>7.0000000000000007E-2</v>
      </c>
      <c r="N17" s="518">
        <v>0.06</v>
      </c>
      <c r="O17" s="518">
        <v>0.06</v>
      </c>
      <c r="P17" s="518">
        <v>5.3499999999999999E-2</v>
      </c>
      <c r="Q17" s="518">
        <f t="shared" ref="Q17:T17" si="2">Q16</f>
        <v>4.7500000000000001E-2</v>
      </c>
      <c r="R17" s="518">
        <f t="shared" si="2"/>
        <v>4.7500000000000001E-2</v>
      </c>
      <c r="S17" s="518">
        <f t="shared" si="2"/>
        <v>4.7500000000000001E-2</v>
      </c>
      <c r="T17" s="518">
        <f t="shared" si="2"/>
        <v>4.7500000000000001E-2</v>
      </c>
      <c r="U17" s="518">
        <v>0.01</v>
      </c>
      <c r="V17" s="304">
        <f>SUM(B17:U17)</f>
        <v>0.94000000000000006</v>
      </c>
      <c r="W17" t="s">
        <v>1158</v>
      </c>
    </row>
    <row r="19" spans="1:23" x14ac:dyDescent="0.35">
      <c r="B19" s="955">
        <f>'Federal and State Purchases'!M29</f>
        <v>1.5312550207230657E-2</v>
      </c>
      <c r="C19" s="955">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49" customWidth="1"/>
    <col min="2" max="2" width="32.6328125" style="49" bestFit="1" customWidth="1"/>
    <col min="3" max="16384" width="10.81640625" style="49"/>
  </cols>
  <sheetData>
    <row r="1" spans="1:23" s="212" customFormat="1" x14ac:dyDescent="0.35">
      <c r="A1" s="212" t="s">
        <v>539</v>
      </c>
      <c r="B1" s="212" t="s">
        <v>535</v>
      </c>
      <c r="C1" s="315">
        <v>2021</v>
      </c>
      <c r="D1" s="315">
        <f>C1</f>
        <v>2021</v>
      </c>
      <c r="E1" s="315">
        <f>D1</f>
        <v>2021</v>
      </c>
      <c r="F1" s="315">
        <v>2022</v>
      </c>
      <c r="G1" s="315">
        <v>2022</v>
      </c>
      <c r="H1" s="315">
        <v>2022</v>
      </c>
      <c r="I1" s="315">
        <v>2022</v>
      </c>
      <c r="J1" s="315">
        <v>2023</v>
      </c>
      <c r="K1" s="315">
        <v>2023</v>
      </c>
      <c r="L1" s="315">
        <v>2023</v>
      </c>
      <c r="M1" s="315">
        <v>2023</v>
      </c>
      <c r="N1" s="315">
        <v>2024</v>
      </c>
      <c r="O1" s="315">
        <v>2024</v>
      </c>
      <c r="P1" s="315">
        <v>2024</v>
      </c>
      <c r="Q1" s="315">
        <v>2024</v>
      </c>
      <c r="R1" s="315">
        <v>2025</v>
      </c>
      <c r="S1" s="315">
        <v>2025</v>
      </c>
      <c r="T1" s="315">
        <v>2025</v>
      </c>
      <c r="U1" s="315">
        <v>2025</v>
      </c>
      <c r="V1" s="315">
        <v>2026</v>
      </c>
    </row>
    <row r="2" spans="1:23" s="212" customFormat="1" x14ac:dyDescent="0.35">
      <c r="B2" s="212" t="s">
        <v>536</v>
      </c>
      <c r="C2" s="309" t="s">
        <v>151</v>
      </c>
      <c r="D2" s="309" t="s">
        <v>152</v>
      </c>
      <c r="E2" s="309" t="s">
        <v>153</v>
      </c>
      <c r="F2" s="309" t="s">
        <v>154</v>
      </c>
      <c r="G2" s="309" t="s">
        <v>155</v>
      </c>
      <c r="H2" s="309" t="s">
        <v>156</v>
      </c>
      <c r="I2" s="309" t="s">
        <v>157</v>
      </c>
      <c r="J2" s="309" t="s">
        <v>158</v>
      </c>
      <c r="K2" s="309" t="s">
        <v>159</v>
      </c>
      <c r="L2" s="309" t="s">
        <v>160</v>
      </c>
      <c r="M2" s="309" t="s">
        <v>161</v>
      </c>
      <c r="N2" s="309" t="s">
        <v>162</v>
      </c>
      <c r="O2" s="309" t="s">
        <v>163</v>
      </c>
      <c r="P2" s="309" t="s">
        <v>164</v>
      </c>
      <c r="Q2" s="309" t="s">
        <v>165</v>
      </c>
      <c r="R2" s="309" t="s">
        <v>166</v>
      </c>
      <c r="S2" s="309" t="s">
        <v>167</v>
      </c>
      <c r="T2" s="309" t="s">
        <v>168</v>
      </c>
      <c r="U2" s="309" t="s">
        <v>169</v>
      </c>
      <c r="V2" s="309" t="s">
        <v>170</v>
      </c>
    </row>
    <row r="3" spans="1:23" s="212" customFormat="1" x14ac:dyDescent="0.35">
      <c r="A3" s="212">
        <v>3</v>
      </c>
      <c r="B3" s="212" t="s">
        <v>480</v>
      </c>
      <c r="C3" s="316">
        <f>4*'ARP Timing'!B6*VLOOKUP(C$1,'ARP Score'!$A$5:$M14,$A3)</f>
        <v>0</v>
      </c>
      <c r="D3" s="531">
        <f>4*'ARP Timing'!C6*VLOOKUP(D$1,'ARP Score'!$A$5:$M14,$A3)</f>
        <v>219.184</v>
      </c>
      <c r="E3" s="531">
        <f>4*'ARP Timing'!D6*VLOOKUP(E$1,'ARP Score'!$A$5:$M14,$A3)</f>
        <v>563.61599999999999</v>
      </c>
      <c r="F3" s="531">
        <f>4*'ARP Timing'!E6*VLOOKUP(F$1,'ARP Score'!$A$5:$M14,$A3)</f>
        <v>10.1</v>
      </c>
      <c r="G3" s="531">
        <f>4*'ARP Timing'!F6*VLOOKUP(G$1,'ARP Score'!$A$5:$M14,$A3)</f>
        <v>10.1</v>
      </c>
      <c r="H3" s="531">
        <f>4*'ARP Timing'!G6*VLOOKUP(H$1,'ARP Score'!$A$5:$M14,$A3)</f>
        <v>10.1</v>
      </c>
      <c r="I3" s="531">
        <f>4*'ARP Timing'!H6*VLOOKUP(I$1,'ARP Score'!$A$5:$M14,$A3)</f>
        <v>10.1</v>
      </c>
      <c r="J3" s="531">
        <f>4*'ARP Timing'!I6*VLOOKUP(J$1,'ARP Score'!$A$5:$M14,$A3)</f>
        <v>0</v>
      </c>
      <c r="K3" s="531">
        <f>4*'ARP Timing'!J6*VLOOKUP(K$1,'ARP Score'!$A$5:$M14,$A3)</f>
        <v>0</v>
      </c>
      <c r="L3" s="531">
        <f>4*'ARP Timing'!K6*VLOOKUP(L$1,'ARP Score'!$A$5:$M14,$A3)</f>
        <v>0</v>
      </c>
      <c r="M3" s="531">
        <f>4*'ARP Timing'!L6*VLOOKUP(M$1,'ARP Score'!$A$5:$M14,$A3)</f>
        <v>0</v>
      </c>
      <c r="N3" s="531">
        <f>4*'ARP Timing'!M6*VLOOKUP(N$1,'ARP Score'!$A$5:$M14,$A3)</f>
        <v>0</v>
      </c>
      <c r="O3" s="531">
        <f>4*'ARP Timing'!N6*VLOOKUP(O$1,'ARP Score'!$A$5:$M14,$A3)</f>
        <v>0</v>
      </c>
      <c r="P3" s="531">
        <f>4*'ARP Timing'!O6*VLOOKUP(P$1,'ARP Score'!$A$5:$M14,$A3)</f>
        <v>0</v>
      </c>
      <c r="Q3" s="531">
        <f>4*'ARP Timing'!P6*VLOOKUP(Q$1,'ARP Score'!$A$5:$M14,$A3)</f>
        <v>0</v>
      </c>
      <c r="R3" s="531">
        <f>4*'ARP Timing'!Q6*VLOOKUP(R$1,'ARP Score'!$A$5:$M14,$A3)</f>
        <v>0</v>
      </c>
      <c r="S3" s="531">
        <f>4*'ARP Timing'!R6*VLOOKUP(S$1,'ARP Score'!$A$5:$M14,$A3)</f>
        <v>0</v>
      </c>
      <c r="T3" s="531">
        <f>4*'ARP Timing'!S6*VLOOKUP(T$1,'ARP Score'!$A$5:$M14,$A3)</f>
        <v>0</v>
      </c>
      <c r="U3" s="531">
        <f>4*'ARP Timing'!T6*VLOOKUP(U$1,'ARP Score'!$A$5:$M14,$A3)</f>
        <v>0</v>
      </c>
      <c r="V3" s="531">
        <f>4*'ARP Timing'!U6*VLOOKUP(V$1,'ARP Score'!$A$5:$M14,$A3)</f>
        <v>0</v>
      </c>
      <c r="W3" s="531">
        <f>SUM(C3:U3)/4</f>
        <v>205.8</v>
      </c>
    </row>
    <row r="4" spans="1:23" s="212" customFormat="1" x14ac:dyDescent="0.35">
      <c r="A4" s="212">
        <v>5</v>
      </c>
      <c r="B4" s="317" t="s">
        <v>511</v>
      </c>
      <c r="C4" s="316">
        <f>4*'ARP Timing'!B7*VLOOKUP(C$1,'ARP Score'!$A$5:$M15,$A4)</f>
        <v>0</v>
      </c>
      <c r="D4" s="316">
        <f>4*'ARP Timing'!C7*VLOOKUP(D$1,'ARP Score'!$A$5:$M15,$A4)</f>
        <v>0</v>
      </c>
      <c r="E4" s="316">
        <f>4*'ARP Timing'!D7*VLOOKUP(E$1,'ARP Score'!$A$5:$M15,$A4)</f>
        <v>203.10400000000004</v>
      </c>
      <c r="F4" s="316">
        <f>4*'ARP Timing'!E7*VLOOKUP(F$1,'ARP Score'!$A$5:$M15,$A4)</f>
        <v>74.718999999999994</v>
      </c>
      <c r="G4" s="316">
        <f>4*'ARP Timing'!F7*VLOOKUP(G$1,'ARP Score'!$A$5:$M15,$A4)</f>
        <v>74.718999999999994</v>
      </c>
      <c r="H4" s="316">
        <f>4*'ARP Timing'!G7*VLOOKUP(H$1,'ARP Score'!$A$5:$M15,$A4)</f>
        <v>74.718999999999994</v>
      </c>
      <c r="I4" s="316">
        <f>4*'ARP Timing'!H7*VLOOKUP(I$1,'ARP Score'!$A$5:$M15,$A4)</f>
        <v>74.718999999999994</v>
      </c>
      <c r="J4" s="316">
        <f>4*'ARP Timing'!I7*VLOOKUP(J$1,'ARP Score'!$A$5:$M15,$A4)</f>
        <v>2.1159999999999997</v>
      </c>
      <c r="K4" s="316">
        <f>4*'ARP Timing'!J7*VLOOKUP(K$1,'ARP Score'!$A$5:$M15,$A4)</f>
        <v>2.1159999999999997</v>
      </c>
      <c r="L4" s="316">
        <f>4*'ARP Timing'!K7*VLOOKUP(L$1,'ARP Score'!$A$5:$M15,$A4)</f>
        <v>2.1159999999999997</v>
      </c>
      <c r="M4" s="316">
        <f>4*'ARP Timing'!L7*VLOOKUP(M$1,'ARP Score'!$A$5:$M15,$A4)</f>
        <v>2.1159999999999997</v>
      </c>
      <c r="N4" s="316">
        <f>4*'ARP Timing'!M7*VLOOKUP(N$1,'ARP Score'!$A$5:$M15,$A4)</f>
        <v>2.1789999999999998</v>
      </c>
      <c r="O4" s="316">
        <f>4*'ARP Timing'!N7*VLOOKUP(O$1,'ARP Score'!$A$5:$M15,$A4)</f>
        <v>2.1789999999999998</v>
      </c>
      <c r="P4" s="316">
        <f>4*'ARP Timing'!O7*VLOOKUP(P$1,'ARP Score'!$A$5:$M15,$A4)</f>
        <v>2.1789999999999998</v>
      </c>
      <c r="Q4" s="316">
        <f>4*'ARP Timing'!P7*VLOOKUP(Q$1,'ARP Score'!$A$5:$M15,$A4)</f>
        <v>2.1789999999999998</v>
      </c>
      <c r="R4" s="316">
        <f>4*'ARP Timing'!Q7*VLOOKUP(R$1,'ARP Score'!$A$5:$M15,$A4)</f>
        <v>2.33</v>
      </c>
      <c r="S4" s="316">
        <f>4*'ARP Timing'!R7*VLOOKUP(S$1,'ARP Score'!$A$5:$M15,$A4)</f>
        <v>2.33</v>
      </c>
      <c r="T4" s="316">
        <f>4*'ARP Timing'!S7*VLOOKUP(T$1,'ARP Score'!$A$5:$M15,$A4)</f>
        <v>2.33</v>
      </c>
      <c r="U4" s="316">
        <f>4*'ARP Timing'!T7*VLOOKUP(U$1,'ARP Score'!$A$5:$M15,$A4)</f>
        <v>2.33</v>
      </c>
      <c r="V4" s="316">
        <f>4*'ARP Timing'!U7*VLOOKUP(V$1,'ARP Score'!$A$5:$M15,$A4)</f>
        <v>2.371</v>
      </c>
      <c r="W4" s="316">
        <f>SUM(C4:U4)/4</f>
        <v>132.12</v>
      </c>
    </row>
    <row r="5" spans="1:23" s="212" customFormat="1" x14ac:dyDescent="0.35">
      <c r="A5" s="212">
        <v>6</v>
      </c>
      <c r="B5" s="317" t="s">
        <v>513</v>
      </c>
      <c r="C5" s="316">
        <f>4*'ARP Timing'!B8*VLOOKUP(C$1,'ARP Score'!$A$5:$M16,$A5)</f>
        <v>0</v>
      </c>
      <c r="D5" s="316">
        <f>4*'ARP Timing'!C8*VLOOKUP(D$1,'ARP Score'!$A$5:$M16,$A5)</f>
        <v>53.448640000000026</v>
      </c>
      <c r="E5" s="316">
        <f>4*'ARP Timing'!D8*VLOOKUP(E$1,'ARP Score'!$A$5:$M16,$A5)</f>
        <v>137.43936000000005</v>
      </c>
      <c r="F5" s="316">
        <f>4*'ARP Timing'!E8*VLOOKUP(F$1,'ARP Score'!$A$5:$M16,$A5)</f>
        <v>52.756999999999998</v>
      </c>
      <c r="G5" s="316">
        <f>4*'ARP Timing'!F8*VLOOKUP(G$1,'ARP Score'!$A$5:$M16,$A5)</f>
        <v>52.756999999999998</v>
      </c>
      <c r="H5" s="316">
        <f>4*'ARP Timing'!G8*VLOOKUP(H$1,'ARP Score'!$A$5:$M16,$A5)</f>
        <v>52.756999999999998</v>
      </c>
      <c r="I5" s="316">
        <f>4*'ARP Timing'!H8*VLOOKUP(I$1,'ARP Score'!$A$5:$M16,$A5)</f>
        <v>52.756999999999998</v>
      </c>
      <c r="J5" s="316">
        <f>4*'ARP Timing'!I8*VLOOKUP(J$1,'ARP Score'!$A$5:$M16,$A5)</f>
        <v>12</v>
      </c>
      <c r="K5" s="316">
        <f>4*'ARP Timing'!J8*VLOOKUP(K$1,'ARP Score'!$A$5:$M16,$A5)</f>
        <v>12</v>
      </c>
      <c r="L5" s="316">
        <f>4*'ARP Timing'!K8*VLOOKUP(L$1,'ARP Score'!$A$5:$M16,$A5)</f>
        <v>12</v>
      </c>
      <c r="M5" s="316">
        <f>4*'ARP Timing'!L8*VLOOKUP(M$1,'ARP Score'!$A$5:$M16,$A5)</f>
        <v>12</v>
      </c>
      <c r="N5" s="316">
        <f>4*'ARP Timing'!M8*VLOOKUP(N$1,'ARP Score'!$A$5:$M16,$A5)</f>
        <v>4.2219999999999995</v>
      </c>
      <c r="O5" s="316">
        <f>4*'ARP Timing'!N8*VLOOKUP(O$1,'ARP Score'!$A$5:$M16,$A5)</f>
        <v>4.2219999999999995</v>
      </c>
      <c r="P5" s="316">
        <f>4*'ARP Timing'!O8*VLOOKUP(P$1,'ARP Score'!$A$5:$M16,$A5)</f>
        <v>4.2219999999999995</v>
      </c>
      <c r="Q5" s="316">
        <f>4*'ARP Timing'!P8*VLOOKUP(Q$1,'ARP Score'!$A$5:$M16,$A5)</f>
        <v>4.2219999999999995</v>
      </c>
      <c r="R5" s="316">
        <f>4*'ARP Timing'!Q8*VLOOKUP(R$1,'ARP Score'!$A$5:$M16,$A5)</f>
        <v>2.3719999999999999</v>
      </c>
      <c r="S5" s="316">
        <f>4*'ARP Timing'!R8*VLOOKUP(S$1,'ARP Score'!$A$5:$M16,$A5)</f>
        <v>2.3719999999999999</v>
      </c>
      <c r="T5" s="316">
        <f>4*'ARP Timing'!S8*VLOOKUP(T$1,'ARP Score'!$A$5:$M16,$A5)</f>
        <v>2.3719999999999999</v>
      </c>
      <c r="U5" s="316">
        <f>4*'ARP Timing'!T8*VLOOKUP(U$1,'ARP Score'!$A$5:$M16,$A5)</f>
        <v>2.3719999999999999</v>
      </c>
      <c r="V5" s="316">
        <f>4*'ARP Timing'!U8*VLOOKUP(V$1,'ARP Score'!$A$5:$M16,$A5)</f>
        <v>0.49</v>
      </c>
      <c r="W5" s="316">
        <f t="shared" ref="W5:W15" si="0">SUM(C5:U5)/4</f>
        <v>119.07300000000002</v>
      </c>
    </row>
    <row r="6" spans="1:23" s="212" customFormat="1" x14ac:dyDescent="0.35">
      <c r="A6" s="212">
        <v>7</v>
      </c>
      <c r="B6" s="317" t="s">
        <v>543</v>
      </c>
      <c r="C6" s="316">
        <f>4*'ARP Timing'!B9*VLOOKUP(C$1,'ARP Score'!$A$5:$M17,$A6)</f>
        <v>0</v>
      </c>
      <c r="D6" s="316">
        <f>4*'ARP Timing'!C9*VLOOKUP(D$1,'ARP Score'!$A$5:$M17,$A6)</f>
        <v>58.782959999999989</v>
      </c>
      <c r="E6" s="316">
        <f>4*'ARP Timing'!D9*VLOOKUP(E$1,'ARP Score'!$A$5:$M17,$A6)</f>
        <v>267.78904</v>
      </c>
      <c r="F6" s="316">
        <f>4*'ARP Timing'!E9*VLOOKUP(F$1,'ARP Score'!$A$5:$M17,$A6)</f>
        <v>110.24799999999999</v>
      </c>
      <c r="G6" s="316">
        <f>4*'ARP Timing'!F9*VLOOKUP(G$1,'ARP Score'!$A$5:$M17,$A6)</f>
        <v>110.24799999999999</v>
      </c>
      <c r="H6" s="316">
        <f>4*'ARP Timing'!G9*VLOOKUP(H$1,'ARP Score'!$A$5:$M17,$A6)</f>
        <v>110.24799999999999</v>
      </c>
      <c r="I6" s="316">
        <f>4*'ARP Timing'!H9*VLOOKUP(I$1,'ARP Score'!$A$5:$M17,$A6)</f>
        <v>110.24799999999999</v>
      </c>
      <c r="J6" s="316">
        <f>4*'ARP Timing'!I9*VLOOKUP(J$1,'ARP Score'!$A$5:$M17,$A6)</f>
        <v>12.726000000000001</v>
      </c>
      <c r="K6" s="316">
        <f>4*'ARP Timing'!J9*VLOOKUP(K$1,'ARP Score'!$A$5:$M17,$A6)</f>
        <v>12.726000000000001</v>
      </c>
      <c r="L6" s="316">
        <f>4*'ARP Timing'!K9*VLOOKUP(L$1,'ARP Score'!$A$5:$M17,$A6)</f>
        <v>12.726000000000001</v>
      </c>
      <c r="M6" s="316">
        <f>4*'ARP Timing'!L9*VLOOKUP(M$1,'ARP Score'!$A$5:$M17,$A6)</f>
        <v>12.726000000000001</v>
      </c>
      <c r="N6" s="316">
        <f>4*'ARP Timing'!M9*VLOOKUP(N$1,'ARP Score'!$A$5:$M17,$A6)</f>
        <v>1.365</v>
      </c>
      <c r="O6" s="316">
        <f>4*'ARP Timing'!N9*VLOOKUP(O$1,'ARP Score'!$A$5:$M17,$A6)</f>
        <v>1.365</v>
      </c>
      <c r="P6" s="316">
        <f>4*'ARP Timing'!O9*VLOOKUP(P$1,'ARP Score'!$A$5:$M17,$A6)</f>
        <v>1.365</v>
      </c>
      <c r="Q6" s="316">
        <f>4*'ARP Timing'!P9*VLOOKUP(Q$1,'ARP Score'!$A$5:$M17,$A6)</f>
        <v>1.365</v>
      </c>
      <c r="R6" s="316">
        <f>4*'ARP Timing'!Q9*VLOOKUP(R$1,'ARP Score'!$A$5:$M17,$A6)</f>
        <v>-0.90100000000000025</v>
      </c>
      <c r="S6" s="316">
        <f>4*'ARP Timing'!R9*VLOOKUP(S$1,'ARP Score'!$A$5:$M17,$A6)</f>
        <v>-0.90100000000000025</v>
      </c>
      <c r="T6" s="316">
        <f>4*'ARP Timing'!S9*VLOOKUP(T$1,'ARP Score'!$A$5:$M17,$A6)</f>
        <v>-0.90100000000000025</v>
      </c>
      <c r="U6" s="316">
        <f>4*'ARP Timing'!T9*VLOOKUP(U$1,'ARP Score'!$A$5:$M17,$A6)</f>
        <v>-0.90100000000000025</v>
      </c>
      <c r="V6" s="316">
        <f>4*'ARP Timing'!U9*VLOOKUP(V$1,'ARP Score'!$A$5:$M17,$A6)</f>
        <v>-2.1500000000000004</v>
      </c>
      <c r="W6" s="316">
        <f t="shared" si="0"/>
        <v>205.08100000000007</v>
      </c>
    </row>
    <row r="7" spans="1:23" s="212" customFormat="1" x14ac:dyDescent="0.35">
      <c r="A7" s="212">
        <v>8</v>
      </c>
      <c r="B7" s="317" t="s">
        <v>512</v>
      </c>
      <c r="C7" s="316">
        <f>4*'ARP Timing'!B10*VLOOKUP(C$1,'ARP Score'!$A$5:$M18,$A7)</f>
        <v>0</v>
      </c>
      <c r="D7" s="316">
        <f>4*'ARP Timing'!C10*VLOOKUP(D$1,'ARP Score'!$A$5:$M18,$A7)</f>
        <v>15.596</v>
      </c>
      <c r="E7" s="316">
        <f>4*'ARP Timing'!D10*VLOOKUP(E$1,'ARP Score'!$A$5:$M18,$A7)</f>
        <v>15.596</v>
      </c>
      <c r="F7" s="316">
        <f>4*'ARP Timing'!E10*VLOOKUP(F$1,'ARP Score'!$A$5:$M18,$A7)</f>
        <v>7.9489999999999998</v>
      </c>
      <c r="G7" s="316">
        <f>4*'ARP Timing'!F10*VLOOKUP(G$1,'ARP Score'!$A$5:$M18,$A7)</f>
        <v>7.9489999999999998</v>
      </c>
      <c r="H7" s="316">
        <f>4*'ARP Timing'!G10*VLOOKUP(H$1,'ARP Score'!$A$5:$M18,$A7)</f>
        <v>7.9489999999999998</v>
      </c>
      <c r="I7" s="316">
        <f>4*'ARP Timing'!H10*VLOOKUP(I$1,'ARP Score'!$A$5:$M18,$A7)</f>
        <v>7.9489999999999998</v>
      </c>
      <c r="J7" s="316">
        <f>4*'ARP Timing'!I10*VLOOKUP(J$1,'ARP Score'!$A$5:$M18,$A7)</f>
        <v>4.7519999999999998</v>
      </c>
      <c r="K7" s="316">
        <f>4*'ARP Timing'!J10*VLOOKUP(K$1,'ARP Score'!$A$5:$M18,$A7)</f>
        <v>4.7519999999999998</v>
      </c>
      <c r="L7" s="316">
        <f>4*'ARP Timing'!K10*VLOOKUP(L$1,'ARP Score'!$A$5:$M18,$A7)</f>
        <v>4.7519999999999998</v>
      </c>
      <c r="M7" s="316">
        <f>4*'ARP Timing'!L10*VLOOKUP(M$1,'ARP Score'!$A$5:$M18,$A7)</f>
        <v>4.7519999999999998</v>
      </c>
      <c r="N7" s="316">
        <f>4*'ARP Timing'!M10*VLOOKUP(N$1,'ARP Score'!$A$5:$M18,$A7)</f>
        <v>4.637999999999999</v>
      </c>
      <c r="O7" s="316">
        <f>4*'ARP Timing'!N10*VLOOKUP(O$1,'ARP Score'!$A$5:$M18,$A7)</f>
        <v>4.637999999999999</v>
      </c>
      <c r="P7" s="316">
        <f>4*'ARP Timing'!O10*VLOOKUP(P$1,'ARP Score'!$A$5:$M18,$A7)</f>
        <v>4.637999999999999</v>
      </c>
      <c r="Q7" s="316">
        <f>4*'ARP Timing'!P10*VLOOKUP(Q$1,'ARP Score'!$A$5:$M18,$A7)</f>
        <v>4.637999999999999</v>
      </c>
      <c r="R7" s="316">
        <f>4*'ARP Timing'!Q10*VLOOKUP(R$1,'ARP Score'!$A$5:$M18,$A7)</f>
        <v>1.8800000000000001</v>
      </c>
      <c r="S7" s="316">
        <f>4*'ARP Timing'!R10*VLOOKUP(S$1,'ARP Score'!$A$5:$M18,$A7)</f>
        <v>1.8800000000000001</v>
      </c>
      <c r="T7" s="316">
        <f>4*'ARP Timing'!S10*VLOOKUP(T$1,'ARP Score'!$A$5:$M18,$A7)</f>
        <v>1.8800000000000001</v>
      </c>
      <c r="U7" s="316">
        <f>4*'ARP Timing'!T10*VLOOKUP(U$1,'ARP Score'!$A$5:$M18,$A7)</f>
        <v>1.8800000000000001</v>
      </c>
      <c r="V7" s="316">
        <f>4*'ARP Timing'!U10*VLOOKUP(V$1,'ARP Score'!$A$5:$M18,$A7)</f>
        <v>1.446</v>
      </c>
      <c r="W7" s="316">
        <f t="shared" si="0"/>
        <v>27.016999999999996</v>
      </c>
    </row>
    <row r="8" spans="1:23" s="212" customFormat="1" x14ac:dyDescent="0.35">
      <c r="A8" s="212">
        <v>9</v>
      </c>
      <c r="B8" s="321" t="s">
        <v>365</v>
      </c>
      <c r="C8" s="316">
        <f>4*'ARP Timing'!B$11*VLOOKUP(C$1,'ARP Score'!$A$5:$M19,$A8)</f>
        <v>0</v>
      </c>
      <c r="D8" s="316">
        <f>0.6*SUM('ARP Score'!B5:B7)*4</f>
        <v>989.16719999999987</v>
      </c>
      <c r="E8" s="315">
        <v>0</v>
      </c>
      <c r="F8" s="316">
        <v>0</v>
      </c>
      <c r="G8" s="316">
        <v>0</v>
      </c>
      <c r="H8" s="316">
        <f>D8*0.4/0.6</f>
        <v>659.44479999999999</v>
      </c>
      <c r="I8" s="316">
        <v>0</v>
      </c>
      <c r="J8" s="212">
        <v>0</v>
      </c>
      <c r="K8" s="316">
        <v>0</v>
      </c>
      <c r="L8" s="316">
        <v>0</v>
      </c>
      <c r="M8" s="316">
        <v>0</v>
      </c>
      <c r="N8" s="316">
        <v>0</v>
      </c>
      <c r="O8" s="316">
        <v>0</v>
      </c>
      <c r="P8" s="316">
        <v>0</v>
      </c>
      <c r="Q8" s="316">
        <v>0</v>
      </c>
      <c r="R8" s="316">
        <v>0</v>
      </c>
      <c r="S8" s="316">
        <v>0</v>
      </c>
      <c r="T8" s="316">
        <v>0</v>
      </c>
      <c r="U8" s="316">
        <v>0</v>
      </c>
      <c r="V8" s="316">
        <v>0</v>
      </c>
      <c r="W8" s="316">
        <f t="shared" si="0"/>
        <v>412.15299999999996</v>
      </c>
    </row>
    <row r="9" spans="1:23" s="212" customFormat="1" x14ac:dyDescent="0.35">
      <c r="A9" s="212">
        <v>10</v>
      </c>
      <c r="B9" s="321" t="s">
        <v>288</v>
      </c>
      <c r="C9" s="316">
        <f>4*'ARP Timing'!B$11*VLOOKUP(C$1,'ARP Score'!$A$5:$M20,$A9)</f>
        <v>0</v>
      </c>
      <c r="D9" s="316">
        <f>4*'ARP Timing'!C$11*VLOOKUP(D$1,'ARP Score'!$A$5:$M20,$A9)</f>
        <v>24.693999999999999</v>
      </c>
      <c r="E9" s="316">
        <f>4*'ARP Timing'!D$11*VLOOKUP(E$1,'ARP Score'!$A$5:$M20,$A9)</f>
        <v>24.693999999999999</v>
      </c>
      <c r="F9" s="316">
        <f>4*'ARP Timing'!E$11*VLOOKUP(F$1,'ARP Score'!$A$5:$M20,$A9)</f>
        <v>46.79</v>
      </c>
      <c r="G9" s="316">
        <f>4*'ARP Timing'!F$11*VLOOKUP(G$1,'ARP Score'!$A$5:$M20,$A9)</f>
        <v>46.79</v>
      </c>
      <c r="H9" s="316">
        <f>4*'ARP Timing'!G$11*VLOOKUP(H$1,'ARP Score'!$A$5:$M20,$A9)</f>
        <v>46.79</v>
      </c>
      <c r="I9" s="316">
        <f>4*'ARP Timing'!H$11*VLOOKUP(I$1,'ARP Score'!$A$5:$M20,$A9)</f>
        <v>46.79</v>
      </c>
      <c r="J9" s="316">
        <f>4*'ARP Timing'!I$11*VLOOKUP(J$1,'ARP Score'!$A$5:$M20,$A9)</f>
        <v>38.595999999999997</v>
      </c>
      <c r="K9" s="316">
        <f>4*'ARP Timing'!J$11*VLOOKUP(K$1,'ARP Score'!$A$5:$M20,$A9)</f>
        <v>38.595999999999997</v>
      </c>
      <c r="L9" s="316">
        <f>4*'ARP Timing'!K$11*VLOOKUP(L$1,'ARP Score'!$A$5:$M20,$A9)</f>
        <v>38.595999999999997</v>
      </c>
      <c r="M9" s="316">
        <f>4*'ARP Timing'!L$11*VLOOKUP(M$1,'ARP Score'!$A$5:$M20,$A9)</f>
        <v>38.595999999999997</v>
      </c>
      <c r="N9" s="316">
        <f>4*'ARP Timing'!M$11*VLOOKUP(N$1,'ARP Score'!$A$5:$M20,$A9)</f>
        <v>31.911000000000001</v>
      </c>
      <c r="O9" s="316">
        <f>4*'ARP Timing'!N$11*VLOOKUP(O$1,'ARP Score'!$A$5:$M20,$A9)</f>
        <v>31.911000000000001</v>
      </c>
      <c r="P9" s="316">
        <f>4*'ARP Timing'!O$11*VLOOKUP(P$1,'ARP Score'!$A$5:$M20,$A9)</f>
        <v>31.911000000000001</v>
      </c>
      <c r="Q9" s="316">
        <f>4*'ARP Timing'!P$11*VLOOKUP(Q$1,'ARP Score'!$A$5:$M20,$A9)</f>
        <v>31.911000000000001</v>
      </c>
      <c r="R9" s="316">
        <f>4*'ARP Timing'!Q$11*VLOOKUP(R$1,'ARP Score'!$A$5:$M20,$A9)</f>
        <v>23.099</v>
      </c>
      <c r="S9" s="316">
        <f>4*'ARP Timing'!R$11*VLOOKUP(S$1,'ARP Score'!$A$5:$M20,$A9)</f>
        <v>23.099</v>
      </c>
      <c r="T9" s="316">
        <f>4*'ARP Timing'!S$11*VLOOKUP(T$1,'ARP Score'!$A$5:$M20,$A9)</f>
        <v>23.099</v>
      </c>
      <c r="U9" s="316">
        <f>4*'ARP Timing'!T$11*VLOOKUP(U$1,'ARP Score'!$A$5:$M20,$A9)</f>
        <v>23.099</v>
      </c>
      <c r="V9" s="316">
        <f>4*'ARP Timing'!U$11*VLOOKUP(V$1,'ARP Score'!$A$5:$M20,$A9)</f>
        <v>10.766999999999999</v>
      </c>
      <c r="W9" s="316">
        <f t="shared" si="0"/>
        <v>152.74300000000005</v>
      </c>
    </row>
    <row r="10" spans="1:23" s="212" customFormat="1" x14ac:dyDescent="0.35">
      <c r="A10" s="562">
        <v>11</v>
      </c>
      <c r="B10" s="321" t="s">
        <v>392</v>
      </c>
      <c r="C10" s="316">
        <f>4*'ARP Timing'!B$11*VLOOKUP(C$1,'ARP Score'!$A$5:$M22,$A10)</f>
        <v>0</v>
      </c>
      <c r="D10" s="316">
        <f>4*'ARP Timing'!C$11*VLOOKUP(D$1,'ARP Score'!$A$5:$M22,$A10)</f>
        <v>59.256</v>
      </c>
      <c r="E10" s="316">
        <f>4*'ARP Timing'!D$11*VLOOKUP(E$1,'ARP Score'!$A$5:$M22,$A10)</f>
        <v>59.256</v>
      </c>
      <c r="F10" s="316">
        <f>4*'ARP Timing'!E$11*VLOOKUP(F$1,'ARP Score'!$A$5:$M22,$A10)</f>
        <v>35.671000000000006</v>
      </c>
      <c r="G10" s="316">
        <f>4*'ARP Timing'!F$11*VLOOKUP(G$1,'ARP Score'!$A$5:$M22,$A10)</f>
        <v>35.671000000000006</v>
      </c>
      <c r="H10" s="316">
        <f>4*'ARP Timing'!G$11*VLOOKUP(H$1,'ARP Score'!$A$5:$M22,$A10)</f>
        <v>35.671000000000006</v>
      </c>
      <c r="I10" s="316">
        <f>4*'ARP Timing'!H$11*VLOOKUP(I$1,'ARP Score'!$A$5:$M22,$A10)</f>
        <v>35.671000000000006</v>
      </c>
      <c r="J10" s="316">
        <f>4*'ARP Timing'!I$11*VLOOKUP(J$1,'ARP Score'!$A$5:$M22,$A10)</f>
        <v>24.216000000000001</v>
      </c>
      <c r="K10" s="316">
        <f>4*'ARP Timing'!J$11*VLOOKUP(K$1,'ARP Score'!$A$5:$M22,$A10)</f>
        <v>24.216000000000001</v>
      </c>
      <c r="L10" s="316">
        <f>4*'ARP Timing'!K$11*VLOOKUP(L$1,'ARP Score'!$A$5:$M22,$A10)</f>
        <v>24.216000000000001</v>
      </c>
      <c r="M10" s="316">
        <f>4*'ARP Timing'!L$11*VLOOKUP(M$1,'ARP Score'!$A$5:$M22,$A10)</f>
        <v>24.216000000000001</v>
      </c>
      <c r="N10" s="316">
        <f>4*'ARP Timing'!M$11*VLOOKUP(N$1,'ARP Score'!$A$5:$M22,$A10)</f>
        <v>9.6430000000000007</v>
      </c>
      <c r="O10" s="316">
        <f>4*'ARP Timing'!N$11*VLOOKUP(O$1,'ARP Score'!$A$5:$M22,$A10)</f>
        <v>9.6430000000000007</v>
      </c>
      <c r="P10" s="316">
        <f>4*'ARP Timing'!O$11*VLOOKUP(P$1,'ARP Score'!$A$5:$M22,$A10)</f>
        <v>9.6430000000000007</v>
      </c>
      <c r="Q10" s="316">
        <f>4*'ARP Timing'!P$11*VLOOKUP(Q$1,'ARP Score'!$A$5:$M22,$A10)</f>
        <v>9.6430000000000007</v>
      </c>
      <c r="R10" s="316">
        <f>4*'ARP Timing'!Q$11*VLOOKUP(R$1,'ARP Score'!$A$5:$M22,$A10)</f>
        <v>4.5789999999999997</v>
      </c>
      <c r="S10" s="316">
        <f>4*'ARP Timing'!R$11*VLOOKUP(S$1,'ARP Score'!$A$5:$M22,$A10)</f>
        <v>4.5789999999999997</v>
      </c>
      <c r="T10" s="316">
        <f>4*'ARP Timing'!S$11*VLOOKUP(T$1,'ARP Score'!$A$5:$M22,$A10)</f>
        <v>4.5789999999999997</v>
      </c>
      <c r="U10" s="316">
        <f>4*'ARP Timing'!T$11*VLOOKUP(U$1,'ARP Score'!$A$5:$M22,$A10)</f>
        <v>4.5789999999999997</v>
      </c>
      <c r="V10" s="316">
        <f>4*'ARP Timing'!U$11*VLOOKUP(V$1,'ARP Score'!$A$5:$M22,$A10)</f>
        <v>2.9130000000000003</v>
      </c>
      <c r="W10" s="316">
        <f t="shared" si="0"/>
        <v>103.73700000000002</v>
      </c>
    </row>
    <row r="11" spans="1:23" s="212" customFormat="1" x14ac:dyDescent="0.35">
      <c r="A11" s="212">
        <v>12</v>
      </c>
      <c r="B11" s="318" t="s">
        <v>530</v>
      </c>
      <c r="C11" s="316">
        <f>4*'ARP Timing'!B12*VLOOKUP(C$1,'ARP Score'!$A$5:$M20,$A11)</f>
        <v>103</v>
      </c>
      <c r="D11" s="316">
        <f>4*'ARP Timing'!C12*VLOOKUP(D$1,'ARP Score'!$A$5:$M20,$A11)</f>
        <v>0</v>
      </c>
      <c r="E11" s="316">
        <f>4*'ARP Timing'!D12*VLOOKUP(E$1,'ARP Score'!$A$5:$M20,$A11)</f>
        <v>0</v>
      </c>
      <c r="F11" s="316">
        <f>4*'ARP Timing'!E12*VLOOKUP(F$1,'ARP Score'!$A$5:$M20,$A11)</f>
        <v>0</v>
      </c>
      <c r="G11" s="316">
        <f>4*'ARP Timing'!F12*VLOOKUP(G$1,'ARP Score'!$A$5:$M20,$A11)</f>
        <v>0</v>
      </c>
      <c r="H11" s="316">
        <f>4*'ARP Timing'!G12*VLOOKUP(H$1,'ARP Score'!$A$5:$M20,$A11)</f>
        <v>0</v>
      </c>
      <c r="I11" s="316">
        <f>4*'ARP Timing'!H12*VLOOKUP(I$1,'ARP Score'!$A$5:$M20,$A11)</f>
        <v>0</v>
      </c>
      <c r="J11" s="316">
        <f>4*'ARP Timing'!I12*VLOOKUP(J$1,'ARP Score'!$A$5:$M20,$A11)</f>
        <v>0</v>
      </c>
      <c r="K11" s="316">
        <f>4*'ARP Timing'!J12*VLOOKUP(K$1,'ARP Score'!$A$5:$M20,$A11)</f>
        <v>0</v>
      </c>
      <c r="L11" s="316">
        <f>4*'ARP Timing'!K12*VLOOKUP(L$1,'ARP Score'!$A$5:$M20,$A11)</f>
        <v>0</v>
      </c>
      <c r="M11" s="316">
        <f>4*'ARP Timing'!L12*VLOOKUP(M$1,'ARP Score'!$A$5:$M20,$A11)</f>
        <v>0</v>
      </c>
      <c r="N11" s="316">
        <f>4*'ARP Timing'!M12*VLOOKUP(N$1,'ARP Score'!$A$5:$M20,$A11)</f>
        <v>0</v>
      </c>
      <c r="O11" s="316">
        <f>4*'ARP Timing'!N12*VLOOKUP(O$1,'ARP Score'!$A$5:$M20,$A11)</f>
        <v>0</v>
      </c>
      <c r="P11" s="316">
        <f>4*'ARP Timing'!O12*VLOOKUP(P$1,'ARP Score'!$A$5:$M20,$A11)</f>
        <v>0</v>
      </c>
      <c r="Q11" s="316">
        <f>4*'ARP Timing'!P12*VLOOKUP(Q$1,'ARP Score'!$A$5:$M20,$A11)</f>
        <v>0</v>
      </c>
      <c r="R11" s="316">
        <f>4*'ARP Timing'!Q12*VLOOKUP(R$1,'ARP Score'!$A$5:$M20,$A11)</f>
        <v>0</v>
      </c>
      <c r="S11" s="316">
        <f>4*'ARP Timing'!R12*VLOOKUP(S$1,'ARP Score'!$A$5:$M20,$A11)</f>
        <v>0</v>
      </c>
      <c r="T11" s="316">
        <f>4*'ARP Timing'!S12*VLOOKUP(T$1,'ARP Score'!$A$5:$M20,$A11)</f>
        <v>0</v>
      </c>
      <c r="U11" s="316">
        <f>4*'ARP Timing'!T12*VLOOKUP(U$1,'ARP Score'!$A$5:$M20,$A11)</f>
        <v>0</v>
      </c>
      <c r="V11" s="316">
        <f>4*'ARP Timing'!U12*VLOOKUP(V$1,'ARP Score'!$A$5:$M20,$A11)</f>
        <v>0</v>
      </c>
      <c r="W11" s="316">
        <f t="shared" si="0"/>
        <v>25.75</v>
      </c>
    </row>
    <row r="12" spans="1:23" s="212" customFormat="1" x14ac:dyDescent="0.35">
      <c r="A12" s="212">
        <v>13</v>
      </c>
      <c r="B12" s="317" t="s">
        <v>380</v>
      </c>
      <c r="C12" s="316">
        <f>4*'ARP Timing'!B13*VLOOKUP(C$1,'ARP Score'!$A$5:$M21,$A12)</f>
        <v>0</v>
      </c>
      <c r="D12" s="316">
        <f>4*'ARP Timing'!C13*VLOOKUP(D$1,'ARP Score'!$A$5:$M21,$A12)</f>
        <v>51.102400000000003</v>
      </c>
      <c r="E12" s="316">
        <f>4*'ARP Timing'!D13*VLOOKUP(E$1,'ARP Score'!$A$5:$M21,$A12)</f>
        <v>76.653599999999997</v>
      </c>
      <c r="F12" s="316">
        <f>4*'ARP Timing'!E13*VLOOKUP(F$1,'ARP Score'!$A$5:$M21,$A12)</f>
        <v>90.260800000000003</v>
      </c>
      <c r="G12" s="316">
        <f>4*'ARP Timing'!F13*VLOOKUP(G$1,'ARP Score'!$A$5:$M21,$A12)</f>
        <v>67.695599999999999</v>
      </c>
      <c r="H12" s="316">
        <f>4*'ARP Timing'!G13*VLOOKUP(H$1,'ARP Score'!$A$5:$M21,$A12)</f>
        <v>45.130400000000002</v>
      </c>
      <c r="I12" s="316">
        <f>4*'ARP Timing'!H13*VLOOKUP(I$1,'ARP Score'!$A$5:$M21,$A12)</f>
        <v>22.565200000000001</v>
      </c>
      <c r="J12" s="316">
        <f>4*'ARP Timing'!I13*VLOOKUP(J$1,'ARP Score'!$A$5:$M21,$A12)</f>
        <v>15.652999999999999</v>
      </c>
      <c r="K12" s="316">
        <f>4*'ARP Timing'!J13*VLOOKUP(K$1,'ARP Score'!$A$5:$M21,$A12)</f>
        <v>15.652999999999999</v>
      </c>
      <c r="L12" s="316">
        <f>4*'ARP Timing'!K13*VLOOKUP(L$1,'ARP Score'!$A$5:$M21,$A12)</f>
        <v>15.652999999999999</v>
      </c>
      <c r="M12" s="316">
        <f>4*'ARP Timing'!L13*VLOOKUP(M$1,'ARP Score'!$A$5:$M21,$A12)</f>
        <v>15.652999999999999</v>
      </c>
      <c r="N12" s="316">
        <f>4*'ARP Timing'!M13*VLOOKUP(N$1,'ARP Score'!$A$5:$M21,$A12)</f>
        <v>3.9320000000000004</v>
      </c>
      <c r="O12" s="316">
        <f>4*'ARP Timing'!N13*VLOOKUP(O$1,'ARP Score'!$A$5:$M21,$A12)</f>
        <v>3.9320000000000004</v>
      </c>
      <c r="P12" s="316">
        <f>4*'ARP Timing'!O13*VLOOKUP(P$1,'ARP Score'!$A$5:$M21,$A12)</f>
        <v>3.9320000000000004</v>
      </c>
      <c r="Q12" s="316">
        <f>4*'ARP Timing'!P13*VLOOKUP(Q$1,'ARP Score'!$A$5:$M21,$A12)</f>
        <v>3.9320000000000004</v>
      </c>
      <c r="R12" s="316">
        <f>4*'ARP Timing'!Q13*VLOOKUP(R$1,'ARP Score'!$A$5:$M21,$A12)</f>
        <v>-0.74299999999999988</v>
      </c>
      <c r="S12" s="316">
        <f>4*'ARP Timing'!R13*VLOOKUP(S$1,'ARP Score'!$A$5:$M21,$A12)</f>
        <v>-0.74299999999999988</v>
      </c>
      <c r="T12" s="316">
        <f>4*'ARP Timing'!S13*VLOOKUP(T$1,'ARP Score'!$A$5:$M21,$A12)</f>
        <v>-0.74299999999999988</v>
      </c>
      <c r="U12" s="316">
        <f>4*'ARP Timing'!T13*VLOOKUP(U$1,'ARP Score'!$A$5:$M21,$A12)</f>
        <v>-0.74299999999999988</v>
      </c>
      <c r="V12" s="316">
        <f>4*'ARP Timing'!U13*VLOOKUP(V$1,'ARP Score'!$A$5:$M21,$A12)</f>
        <v>-21.606000000000002</v>
      </c>
      <c r="W12" s="316">
        <f t="shared" si="0"/>
        <v>107.19400000000005</v>
      </c>
    </row>
    <row r="13" spans="1:23" x14ac:dyDescent="0.35">
      <c r="A13" s="49">
        <v>15</v>
      </c>
      <c r="B13" s="49" t="s">
        <v>549</v>
      </c>
      <c r="C13" s="316">
        <f>0.3*'ARP Score'!$N5*4*'ARP Timing'!B6</f>
        <v>0</v>
      </c>
      <c r="D13" s="316">
        <f>0.3*'ARP Score'!$N5*4*'ARP Timing'!C6</f>
        <v>1.1424000000000001</v>
      </c>
      <c r="E13" s="316">
        <f>0.3*'ARP Score'!$N5*4*'ARP Timing'!D6</f>
        <v>2.9375999999999998</v>
      </c>
      <c r="F13" s="316">
        <f>0.3*'ARP Score'!$N6*4*'ARP Timing'!E6</f>
        <v>1.5299999999999998</v>
      </c>
      <c r="G13" s="316">
        <f>0.3*'ARP Score'!$N6*4*'ARP Timing'!F6</f>
        <v>1.5299999999999998</v>
      </c>
      <c r="H13" s="316">
        <f>0.3*'ARP Score'!$N6*4*'ARP Timing'!G6</f>
        <v>1.5299999999999998</v>
      </c>
      <c r="I13" s="316">
        <f>0.3*'ARP Score'!$N6*4*'ARP Timing'!H6</f>
        <v>1.5299999999999998</v>
      </c>
      <c r="J13" s="316">
        <f>0.3*'ARP Score'!$N7*4*'ARP Timing'!I6</f>
        <v>0</v>
      </c>
      <c r="K13" s="316">
        <f>0.3*'ARP Score'!$N7*4*'ARP Timing'!J6</f>
        <v>0</v>
      </c>
      <c r="L13" s="316">
        <f>0.3*'ARP Score'!$N7*4*'ARP Timing'!K6</f>
        <v>0</v>
      </c>
      <c r="M13" s="316">
        <f>0.3*'ARP Score'!$N7*4*'ARP Timing'!L6</f>
        <v>0</v>
      </c>
      <c r="N13" s="316">
        <f>0.3*'ARP Score'!$N7*4*'ARP Timing'!M6</f>
        <v>0</v>
      </c>
      <c r="O13" s="316">
        <f>0.3*'ARP Score'!$N7*4*'ARP Timing'!N6</f>
        <v>0</v>
      </c>
      <c r="P13" s="316">
        <f>0.3*'ARP Score'!$N7*4*'ARP Timing'!O6</f>
        <v>0</v>
      </c>
      <c r="Q13" s="316">
        <f>0.3*'ARP Score'!$N7*4*'ARP Timing'!P6</f>
        <v>0</v>
      </c>
      <c r="R13" s="316">
        <f>0.3*'ARP Score'!$N7*4*'ARP Timing'!Q6</f>
        <v>0</v>
      </c>
      <c r="S13" s="316">
        <f>0.3*'ARP Score'!$N7*4*'ARP Timing'!R6</f>
        <v>0</v>
      </c>
      <c r="T13" s="316">
        <f>0.3*'ARP Score'!$N7*4*'ARP Timing'!S6</f>
        <v>0</v>
      </c>
      <c r="U13" s="316">
        <f>0.3*'ARP Score'!$N7*4*'ARP Timing'!T6</f>
        <v>0</v>
      </c>
      <c r="V13" s="316">
        <f>0.3*'ARP Score'!$N7*4*'ARP Timing'!U6</f>
        <v>0</v>
      </c>
      <c r="W13" s="316">
        <f t="shared" si="0"/>
        <v>2.5499999999999994</v>
      </c>
    </row>
    <row r="14" spans="1:23" s="212" customFormat="1" x14ac:dyDescent="0.35">
      <c r="A14" s="212">
        <v>14</v>
      </c>
      <c r="B14" s="212" t="s">
        <v>550</v>
      </c>
      <c r="C14" s="316">
        <f>C13/0.3*0.2</f>
        <v>0</v>
      </c>
      <c r="D14" s="316">
        <f t="shared" ref="D14:F14" si="1">D13/0.3*0.2</f>
        <v>0.76160000000000005</v>
      </c>
      <c r="E14" s="316">
        <f t="shared" si="1"/>
        <v>1.9584000000000001</v>
      </c>
      <c r="F14" s="316">
        <f t="shared" si="1"/>
        <v>1.02</v>
      </c>
      <c r="G14" s="316">
        <f t="shared" ref="G14" si="2">G13/0.3*0.2</f>
        <v>1.02</v>
      </c>
      <c r="H14" s="316">
        <f t="shared" ref="H14" si="3">H13/0.3*0.2</f>
        <v>1.02</v>
      </c>
      <c r="I14" s="316">
        <f t="shared" ref="I14" si="4">I13/0.3*0.2</f>
        <v>1.02</v>
      </c>
      <c r="J14" s="316">
        <f t="shared" ref="J14" si="5">J13/0.3*0.2</f>
        <v>0</v>
      </c>
      <c r="K14" s="316">
        <f t="shared" ref="K14" si="6">K13/0.3*0.2</f>
        <v>0</v>
      </c>
      <c r="L14" s="316">
        <f t="shared" ref="L14" si="7">L13/0.3*0.2</f>
        <v>0</v>
      </c>
      <c r="M14" s="316">
        <f t="shared" ref="M14" si="8">M13/0.3*0.2</f>
        <v>0</v>
      </c>
      <c r="N14" s="316">
        <f t="shared" ref="N14" si="9">N13/0.3*0.2</f>
        <v>0</v>
      </c>
      <c r="O14" s="316">
        <f t="shared" ref="O14" si="10">O13/0.3*0.2</f>
        <v>0</v>
      </c>
      <c r="P14" s="316">
        <f t="shared" ref="P14" si="11">P13/0.3*0.2</f>
        <v>0</v>
      </c>
      <c r="Q14" s="316">
        <f t="shared" ref="Q14" si="12">Q13/0.3*0.2</f>
        <v>0</v>
      </c>
      <c r="R14" s="316">
        <f t="shared" ref="R14" si="13">R13/0.3*0.2</f>
        <v>0</v>
      </c>
      <c r="S14" s="316">
        <f t="shared" ref="S14" si="14">S13/0.3*0.2</f>
        <v>0</v>
      </c>
      <c r="T14" s="316">
        <f t="shared" ref="T14" si="15">T13/0.3*0.2</f>
        <v>0</v>
      </c>
      <c r="U14" s="316">
        <f t="shared" ref="U14" si="16">U13/0.3*0.2</f>
        <v>0</v>
      </c>
      <c r="V14" s="316">
        <f t="shared" ref="V14" si="17">V13/0.3*0.2</f>
        <v>0</v>
      </c>
      <c r="W14" s="316">
        <f t="shared" si="0"/>
        <v>1.6999999999999997</v>
      </c>
    </row>
    <row r="15" spans="1:23" s="212" customFormat="1" x14ac:dyDescent="0.35">
      <c r="A15" s="212">
        <v>14</v>
      </c>
      <c r="B15" s="212" t="s">
        <v>485</v>
      </c>
      <c r="C15" s="316">
        <f>C14/0.2*0.5</f>
        <v>0</v>
      </c>
      <c r="D15" s="316">
        <f t="shared" ref="D15:F15" si="18">D14/0.2*0.5</f>
        <v>1.9040000000000001</v>
      </c>
      <c r="E15" s="316">
        <f t="shared" si="18"/>
        <v>4.8959999999999999</v>
      </c>
      <c r="F15" s="316">
        <f t="shared" si="18"/>
        <v>2.5499999999999998</v>
      </c>
      <c r="G15" s="316">
        <f t="shared" ref="G15" si="19">G14/0.2*0.5</f>
        <v>2.5499999999999998</v>
      </c>
      <c r="H15" s="316">
        <f t="shared" ref="H15" si="20">H14/0.2*0.5</f>
        <v>2.5499999999999998</v>
      </c>
      <c r="I15" s="316">
        <f t="shared" ref="I15" si="21">I14/0.2*0.5</f>
        <v>2.5499999999999998</v>
      </c>
      <c r="J15" s="316">
        <f t="shared" ref="J15" si="22">J14/0.2*0.5</f>
        <v>0</v>
      </c>
      <c r="K15" s="316">
        <f t="shared" ref="K15" si="23">K14/0.2*0.5</f>
        <v>0</v>
      </c>
      <c r="L15" s="316">
        <f t="shared" ref="L15" si="24">L14/0.2*0.5</f>
        <v>0</v>
      </c>
      <c r="M15" s="316">
        <f t="shared" ref="M15" si="25">M14/0.2*0.5</f>
        <v>0</v>
      </c>
      <c r="N15" s="316">
        <f t="shared" ref="N15" si="26">N14/0.2*0.5</f>
        <v>0</v>
      </c>
      <c r="O15" s="316">
        <f t="shared" ref="O15" si="27">O14/0.2*0.5</f>
        <v>0</v>
      </c>
      <c r="P15" s="316">
        <f t="shared" ref="P15" si="28">P14/0.2*0.5</f>
        <v>0</v>
      </c>
      <c r="Q15" s="316">
        <f t="shared" ref="Q15" si="29">Q14/0.2*0.5</f>
        <v>0</v>
      </c>
      <c r="R15" s="316">
        <f t="shared" ref="R15" si="30">R14/0.2*0.5</f>
        <v>0</v>
      </c>
      <c r="S15" s="316">
        <f t="shared" ref="S15" si="31">S14/0.2*0.5</f>
        <v>0</v>
      </c>
      <c r="T15" s="316">
        <f t="shared" ref="T15" si="32">T14/0.2*0.5</f>
        <v>0</v>
      </c>
      <c r="U15" s="316">
        <f t="shared" ref="U15" si="33">U14/0.2*0.5</f>
        <v>0</v>
      </c>
      <c r="V15" s="316">
        <f t="shared" ref="V15" si="34">V14/0.2*0.5</f>
        <v>0</v>
      </c>
      <c r="W15" s="316">
        <f t="shared" si="0"/>
        <v>4.25</v>
      </c>
    </row>
    <row r="16" spans="1:23" s="212" customFormat="1" x14ac:dyDescent="0.35">
      <c r="C16" s="531"/>
      <c r="D16" s="531"/>
      <c r="E16" s="531"/>
      <c r="F16" s="531"/>
      <c r="G16" s="531"/>
      <c r="H16" s="531"/>
      <c r="I16" s="531"/>
      <c r="J16" s="531"/>
      <c r="K16" s="531"/>
      <c r="L16" s="531"/>
      <c r="M16" s="531"/>
      <c r="N16" s="531"/>
      <c r="O16" s="531"/>
      <c r="P16" s="531"/>
      <c r="Q16" s="531"/>
      <c r="R16" s="531"/>
      <c r="S16" s="531"/>
      <c r="T16" s="531"/>
      <c r="U16" s="531"/>
      <c r="V16" s="531"/>
      <c r="W16" s="531"/>
    </row>
    <row r="17" spans="1:23" s="212" customFormat="1" x14ac:dyDescent="0.35">
      <c r="A17" s="212" t="s">
        <v>1161</v>
      </c>
      <c r="C17" s="531"/>
      <c r="D17" s="531"/>
      <c r="E17" s="531"/>
      <c r="F17" s="531"/>
      <c r="G17" s="531"/>
      <c r="H17" s="531"/>
      <c r="I17" s="531"/>
      <c r="J17" s="531"/>
      <c r="K17" s="531"/>
      <c r="L17" s="531"/>
      <c r="M17" s="531"/>
      <c r="N17" s="531"/>
      <c r="O17" s="531"/>
      <c r="P17" s="531"/>
      <c r="Q17" s="531"/>
      <c r="R17" s="531"/>
      <c r="S17" s="531"/>
      <c r="T17" s="531"/>
      <c r="U17" s="531"/>
      <c r="V17" s="531"/>
      <c r="W17" s="531"/>
    </row>
    <row r="18" spans="1:23" s="212" customFormat="1" x14ac:dyDescent="0.35">
      <c r="B18" s="185" t="s">
        <v>407</v>
      </c>
      <c r="C18" s="531">
        <f>'ARP Score'!$BG5/'ARP Score'!$G5*C6</f>
        <v>0</v>
      </c>
      <c r="D18" s="531">
        <f>'ARP Score'!$BG5/'ARP Score'!$G5*D6</f>
        <v>2.2132800000000001</v>
      </c>
      <c r="E18" s="531">
        <f>'ARP Score'!$BG5/'ARP Score'!$G5*E6</f>
        <v>10.082720000000002</v>
      </c>
      <c r="F18" s="531">
        <f>'ARP Score'!$BG6/'ARP Score'!$G6*F6</f>
        <v>7.1439999999999992</v>
      </c>
      <c r="G18" s="531">
        <f>'ARP Score'!$BG6/'ARP Score'!$G6*G6</f>
        <v>7.1439999999999992</v>
      </c>
      <c r="H18" s="531">
        <f>'ARP Score'!$BG6/'ARP Score'!$G6*H6</f>
        <v>7.1439999999999992</v>
      </c>
      <c r="I18" s="531">
        <f>'ARP Score'!$BG6/'ARP Score'!$G6*I6</f>
        <v>7.1439999999999992</v>
      </c>
      <c r="J18" s="531">
        <f>'ARP Score'!$BG7/'ARP Score'!$G7*J6</f>
        <v>0</v>
      </c>
      <c r="K18" s="531">
        <f>'ARP Score'!$BG7/'ARP Score'!$G7*K6</f>
        <v>0</v>
      </c>
      <c r="L18" s="531">
        <f>'ARP Score'!$BG7/'ARP Score'!$G7*L6</f>
        <v>0</v>
      </c>
      <c r="M18" s="531">
        <f>'ARP Score'!$BG7/'ARP Score'!$G7*M6</f>
        <v>0</v>
      </c>
      <c r="N18" s="531"/>
      <c r="O18" s="531"/>
      <c r="P18" s="531"/>
      <c r="Q18" s="531"/>
      <c r="R18" s="531"/>
      <c r="S18" s="531"/>
      <c r="T18" s="531"/>
      <c r="U18" s="531"/>
      <c r="V18" s="531"/>
      <c r="W18" s="531"/>
    </row>
    <row r="19" spans="1:23" s="212" customFormat="1" x14ac:dyDescent="0.35">
      <c r="B19" s="185" t="s">
        <v>1165</v>
      </c>
      <c r="C19" s="531">
        <f>'ARP Score'!$BI5/'ARP Score'!$G5*C6</f>
        <v>0</v>
      </c>
      <c r="D19" s="531">
        <f>'ARP Score'!$BI5/'ARP Score'!$G5*D6</f>
        <v>15.128640000000001</v>
      </c>
      <c r="E19" s="531">
        <f>'ARP Score'!$BI5/'ARP Score'!$G5*E6</f>
        <v>68.919360000000012</v>
      </c>
      <c r="F19" s="531">
        <f>'ARP Score'!$BI6/'ARP Score'!$G6*F6</f>
        <v>5.6120000000000001</v>
      </c>
      <c r="G19" s="531">
        <f>'ARP Score'!$BI6/'ARP Score'!$G6*G6</f>
        <v>5.6120000000000001</v>
      </c>
      <c r="H19" s="531">
        <f>'ARP Score'!$BI6/'ARP Score'!$G6*H6</f>
        <v>5.6120000000000001</v>
      </c>
      <c r="I19" s="531">
        <f>'ARP Score'!$BI6/'ARP Score'!$G6*I6</f>
        <v>5.6120000000000001</v>
      </c>
      <c r="J19" s="531">
        <f>'ARP Score'!$B7/'ARP Score'!$G7*J6</f>
        <v>0.48599999999999993</v>
      </c>
      <c r="K19" s="531">
        <f>'ARP Score'!$B7/'ARP Score'!$G7*K6</f>
        <v>0.48599999999999993</v>
      </c>
      <c r="L19" s="531">
        <f>'ARP Score'!$B7/'ARP Score'!$G7*L6</f>
        <v>0.48599999999999993</v>
      </c>
      <c r="M19" s="531">
        <f>'ARP Score'!$B7/'ARP Score'!$G7*M6</f>
        <v>0.48599999999999993</v>
      </c>
      <c r="N19" s="531">
        <f>'ARP Score'!$B8/'ARP Score'!$G8*N6</f>
        <v>0</v>
      </c>
      <c r="O19" s="531"/>
      <c r="P19" s="531"/>
      <c r="Q19" s="531"/>
      <c r="R19" s="531"/>
      <c r="S19" s="531"/>
      <c r="T19" s="531"/>
      <c r="U19" s="531"/>
      <c r="V19" s="531"/>
      <c r="W19" s="531"/>
    </row>
    <row r="20" spans="1:23" s="212" customFormat="1" x14ac:dyDescent="0.35">
      <c r="B20" s="185" t="s">
        <v>412</v>
      </c>
      <c r="C20" s="531">
        <f>'ARP Score'!$BF5/'ARP Score'!$G5*C6</f>
        <v>0</v>
      </c>
      <c r="D20" s="531">
        <f>'ARP Score'!$BF5/'ARP Score'!$G5*D6</f>
        <v>3.2479199999999997</v>
      </c>
      <c r="E20" s="531">
        <f>'ARP Score'!$BF5/'ARP Score'!$G5*E6</f>
        <v>14.796080000000002</v>
      </c>
      <c r="F20" s="531">
        <f>'ARP Score'!$BF6/'ARP Score'!$G6*F6</f>
        <v>1.7329999999999999</v>
      </c>
      <c r="G20" s="531">
        <f>'ARP Score'!$BF6/'ARP Score'!$G6*G6</f>
        <v>1.7329999999999999</v>
      </c>
      <c r="H20" s="531">
        <f>'ARP Score'!$BF6/'ARP Score'!$G6*H6</f>
        <v>1.7329999999999999</v>
      </c>
      <c r="I20" s="531">
        <f>'ARP Score'!$BF6/'ARP Score'!$G6*I6</f>
        <v>1.7329999999999999</v>
      </c>
      <c r="J20" s="531">
        <f>'ARP Score'!$BF7/'ARP Score'!$G7*J6</f>
        <v>0</v>
      </c>
      <c r="K20" s="531">
        <f>'ARP Score'!$BF7/'ARP Score'!$G7*K6</f>
        <v>0</v>
      </c>
      <c r="L20" s="531">
        <f>'ARP Score'!$BF7/'ARP Score'!$G7*L6</f>
        <v>0</v>
      </c>
      <c r="M20" s="531">
        <f>'ARP Score'!$BF7/'ARP Score'!$G7*M6</f>
        <v>0</v>
      </c>
      <c r="N20" s="531"/>
      <c r="O20" s="531"/>
      <c r="P20" s="531"/>
      <c r="Q20" s="531"/>
      <c r="R20" s="531"/>
      <c r="S20" s="531"/>
      <c r="T20" s="531"/>
      <c r="U20" s="531"/>
      <c r="V20" s="531"/>
      <c r="W20" s="531"/>
    </row>
    <row r="21" spans="1:23" s="212" customFormat="1" x14ac:dyDescent="0.35">
      <c r="B21" s="914" t="s">
        <v>303</v>
      </c>
      <c r="C21" s="531">
        <f>15/40*(C6*'ARP Score'!$BD5/'ARP Score'!$G5)</f>
        <v>0</v>
      </c>
      <c r="D21" s="531">
        <f>15/40*(D6*('ARP Score'!$BD5+'ARP Score'!$BE5)/'ARP Score'!$G5)</f>
        <v>13.2921</v>
      </c>
      <c r="E21" s="531">
        <f>15/40*(E6*('ARP Score'!$BD5+'ARP Score'!$BE5)/'ARP Score'!$G5)</f>
        <v>60.552900000000008</v>
      </c>
      <c r="F21" s="531">
        <f>15/40*(F6*('ARP Score'!$BD6+'ARP Score'!$BE6)/'ARP Score'!$G6)</f>
        <v>1.0687500000000001</v>
      </c>
      <c r="G21" s="531">
        <f>15/40*(G6*('ARP Score'!$BD6+'ARP Score'!$BE6)/'ARP Score'!$G6)</f>
        <v>1.0687500000000001</v>
      </c>
      <c r="H21" s="531">
        <f>15/40*(H6*('ARP Score'!$BD6+'ARP Score'!$BE6)/'ARP Score'!$G6)</f>
        <v>1.0687500000000001</v>
      </c>
      <c r="I21" s="531">
        <f>15/40*(I6*('ARP Score'!$BD6+'ARP Score'!$BE6)/'ARP Score'!$G6)</f>
        <v>1.0687500000000001</v>
      </c>
      <c r="J21" s="531">
        <f>15/40*(J6*('ARP Score'!$BD7+'ARP Score'!$BE7)/'ARP Score'!$G7)</f>
        <v>0.78750000000000009</v>
      </c>
      <c r="K21" s="531">
        <f>15/40*(K6*('ARP Score'!$BD7+'ARP Score'!$BE7)/'ARP Score'!$G7)</f>
        <v>0.78750000000000009</v>
      </c>
      <c r="L21" s="531">
        <f>15/40*(L6*('ARP Score'!$BD7+'ARP Score'!$BE7)/'ARP Score'!$G7)</f>
        <v>0.78750000000000009</v>
      </c>
      <c r="M21" s="531">
        <f>15/40*(M6*('ARP Score'!$BD7+'ARP Score'!$BE7)/'ARP Score'!$G7)</f>
        <v>0.78750000000000009</v>
      </c>
      <c r="N21" s="531"/>
      <c r="O21" s="531"/>
      <c r="P21" s="531"/>
      <c r="Q21" s="531"/>
      <c r="R21" s="531"/>
      <c r="S21" s="531"/>
      <c r="T21" s="531"/>
      <c r="U21" s="531"/>
      <c r="V21" s="531"/>
      <c r="W21" s="531"/>
    </row>
    <row r="22" spans="1:23" s="212" customFormat="1" x14ac:dyDescent="0.35">
      <c r="B22" s="914" t="s">
        <v>1164</v>
      </c>
      <c r="C22" s="531"/>
      <c r="D22" s="531">
        <f>D21/15*25</f>
        <v>22.153499999999998</v>
      </c>
      <c r="E22" s="531">
        <f>E21/15*25</f>
        <v>100.92150000000002</v>
      </c>
      <c r="F22" s="531">
        <f>F21/15*25</f>
        <v>1.7812500000000002</v>
      </c>
      <c r="G22" s="531">
        <f t="shared" ref="G22:J22" si="35">G21/15*25</f>
        <v>1.7812500000000002</v>
      </c>
      <c r="H22" s="531">
        <f t="shared" si="35"/>
        <v>1.7812500000000002</v>
      </c>
      <c r="I22" s="531">
        <f t="shared" si="35"/>
        <v>1.7812500000000002</v>
      </c>
      <c r="J22" s="531">
        <f t="shared" si="35"/>
        <v>1.3125000000000002</v>
      </c>
      <c r="K22" s="531">
        <f t="shared" ref="K22" si="36">K21/15*25</f>
        <v>1.3125000000000002</v>
      </c>
      <c r="L22" s="531">
        <f t="shared" ref="L22" si="37">L21/15*25</f>
        <v>1.3125000000000002</v>
      </c>
      <c r="M22" s="531">
        <f t="shared" ref="M22" si="38">M21/15*25</f>
        <v>1.3125000000000002</v>
      </c>
      <c r="N22" s="531"/>
      <c r="O22" s="531"/>
      <c r="P22" s="531"/>
      <c r="Q22" s="531"/>
      <c r="R22" s="531"/>
      <c r="S22" s="531"/>
      <c r="T22" s="531"/>
      <c r="U22" s="531"/>
      <c r="V22" s="531"/>
      <c r="W22" s="531"/>
    </row>
    <row r="23" spans="1:23" s="212" customFormat="1" x14ac:dyDescent="0.35">
      <c r="B23" s="917" t="s">
        <v>93</v>
      </c>
      <c r="C23" s="531">
        <f>'ARP Score'!$BB5/'ARP Score'!$G5*C6</f>
        <v>0</v>
      </c>
      <c r="D23" s="531">
        <f>'ARP Score'!$BB5/'ARP Score'!$G5*D6</f>
        <v>2.9519999999999995</v>
      </c>
      <c r="E23" s="531">
        <f>'ARP Score'!$BB5/'ARP Score'!$G5*E6</f>
        <v>13.448</v>
      </c>
      <c r="F23" s="531">
        <f>'ARP Score'!$BB6/'ARP Score'!$G6*F6</f>
        <v>11.3</v>
      </c>
      <c r="G23" s="531">
        <f>'ARP Score'!$BB6/'ARP Score'!$G6*G6</f>
        <v>11.3</v>
      </c>
      <c r="H23" s="531">
        <f>'ARP Score'!$BB6/'ARP Score'!$G6*H6</f>
        <v>11.3</v>
      </c>
      <c r="I23" s="531">
        <f>'ARP Score'!$BB6/'ARP Score'!$G6*I6</f>
        <v>11.3</v>
      </c>
      <c r="J23" s="531">
        <f>'ARP Score'!$BB7/'ARP Score'!$G7*J6</f>
        <v>8.4</v>
      </c>
      <c r="K23" s="531">
        <f>'ARP Score'!$BB7/'ARP Score'!$G7*K6</f>
        <v>8.4</v>
      </c>
      <c r="L23" s="531">
        <f>'ARP Score'!$BB7/'ARP Score'!$G7*L6</f>
        <v>8.4</v>
      </c>
      <c r="M23" s="531">
        <f>'ARP Score'!$BB7/'ARP Score'!$G7*M6</f>
        <v>8.4</v>
      </c>
      <c r="N23" s="531">
        <f>'ARP Score'!$BB8/'ARP Score'!$G8*N6</f>
        <v>0.2</v>
      </c>
      <c r="O23" s="531">
        <f>'ARP Score'!$BB8/'ARP Score'!$G8*O6</f>
        <v>0.2</v>
      </c>
      <c r="P23" s="531">
        <f>'ARP Score'!$BB8/'ARP Score'!$G8*P6</f>
        <v>0.2</v>
      </c>
      <c r="Q23" s="531">
        <f>'ARP Score'!$BB8/'ARP Score'!$G8*Q6</f>
        <v>0.2</v>
      </c>
      <c r="R23" s="531"/>
      <c r="S23" s="531"/>
      <c r="T23" s="531"/>
      <c r="U23" s="531"/>
      <c r="V23" s="531"/>
      <c r="W23" s="531"/>
    </row>
    <row r="24" spans="1:23" s="212" customFormat="1" x14ac:dyDescent="0.35">
      <c r="B24" s="917" t="s">
        <v>1166</v>
      </c>
      <c r="C24" s="531">
        <f>'ARP Score'!$BH5/'ARP Score'!$G5*C6</f>
        <v>0</v>
      </c>
      <c r="D24" s="531">
        <f>'ARP Score'!$BH5/'ARP Score'!$G5*D6</f>
        <v>-0.20447999999999997</v>
      </c>
      <c r="E24" s="531">
        <f>'ARP Score'!$BH5/'ARP Score'!$G5*E6</f>
        <v>-0.93152000000000001</v>
      </c>
      <c r="F24" s="531">
        <f>'ARP Score'!$BH6/'ARP Score'!$G6*F6</f>
        <v>81.608999999999995</v>
      </c>
      <c r="G24" s="531">
        <f>'ARP Score'!$BH6/'ARP Score'!$G6*G6</f>
        <v>81.608999999999995</v>
      </c>
      <c r="H24" s="531">
        <f>'ARP Score'!$BH6/'ARP Score'!$G6*H6</f>
        <v>81.608999999999995</v>
      </c>
      <c r="I24" s="531">
        <f>'ARP Score'!$BH6/'ARP Score'!$G6*I6</f>
        <v>81.608999999999995</v>
      </c>
      <c r="J24" s="531">
        <f>'ARP Score'!$BH7/'ARP Score'!$G7*J6</f>
        <v>1.3759999999999999</v>
      </c>
      <c r="K24" s="531">
        <f>'ARP Score'!$BH7/'ARP Score'!$G7*K6</f>
        <v>1.3759999999999999</v>
      </c>
      <c r="L24" s="531">
        <f>'ARP Score'!$BH7/'ARP Score'!$G7*L6</f>
        <v>1.3759999999999999</v>
      </c>
      <c r="M24" s="531">
        <f>'ARP Score'!$BH7/'ARP Score'!$G7*M6</f>
        <v>1.3759999999999999</v>
      </c>
      <c r="N24" s="531">
        <f>'ARP Score'!$BH8/'ARP Score'!$G8*N6</f>
        <v>-0.87500000000000011</v>
      </c>
      <c r="O24" s="531">
        <f>'ARP Score'!$BH8/'ARP Score'!$G8*O6</f>
        <v>-0.87500000000000011</v>
      </c>
      <c r="P24" s="531">
        <f>'ARP Score'!$BH8/'ARP Score'!$G8*P6</f>
        <v>-0.87500000000000011</v>
      </c>
      <c r="Q24" s="531">
        <f>'ARP Score'!$BH8/'ARP Score'!$G8*Q6</f>
        <v>-0.87500000000000011</v>
      </c>
      <c r="R24" s="531"/>
      <c r="S24" s="531"/>
      <c r="T24" s="531"/>
      <c r="U24" s="531"/>
      <c r="V24" s="531"/>
      <c r="W24" s="531"/>
    </row>
    <row r="25" spans="1:23" s="212" customFormat="1" x14ac:dyDescent="0.35">
      <c r="B25" s="917" t="s">
        <v>5</v>
      </c>
      <c r="C25" s="531">
        <f>SUM(C18:C24)</f>
        <v>0</v>
      </c>
      <c r="D25" s="531">
        <f t="shared" ref="D25:Q25" si="39">SUM(D18:D24)</f>
        <v>58.782959999999996</v>
      </c>
      <c r="E25" s="531">
        <f t="shared" si="39"/>
        <v>267.78904000000006</v>
      </c>
      <c r="F25" s="531">
        <f t="shared" si="39"/>
        <v>110.24799999999999</v>
      </c>
      <c r="G25" s="531">
        <f t="shared" si="39"/>
        <v>110.24799999999999</v>
      </c>
      <c r="H25" s="531">
        <f t="shared" si="39"/>
        <v>110.24799999999999</v>
      </c>
      <c r="I25" s="531">
        <f t="shared" si="39"/>
        <v>110.24799999999999</v>
      </c>
      <c r="J25" s="531">
        <f t="shared" si="39"/>
        <v>12.362</v>
      </c>
      <c r="K25" s="531">
        <f t="shared" si="39"/>
        <v>12.362</v>
      </c>
      <c r="L25" s="531">
        <f t="shared" si="39"/>
        <v>12.362</v>
      </c>
      <c r="M25" s="531">
        <f t="shared" si="39"/>
        <v>12.362</v>
      </c>
      <c r="N25" s="531">
        <f t="shared" si="39"/>
        <v>-0.67500000000000004</v>
      </c>
      <c r="O25" s="531">
        <f t="shared" si="39"/>
        <v>-0.67500000000000004</v>
      </c>
      <c r="P25" s="531">
        <f t="shared" si="39"/>
        <v>-0.67500000000000004</v>
      </c>
      <c r="Q25" s="531">
        <f t="shared" si="39"/>
        <v>-0.67500000000000004</v>
      </c>
      <c r="R25" s="531"/>
      <c r="S25" s="531"/>
      <c r="T25" s="531"/>
      <c r="U25" s="531"/>
      <c r="V25" s="531"/>
      <c r="W25" s="531"/>
    </row>
    <row r="26" spans="1:23" x14ac:dyDescent="0.35">
      <c r="D26" s="319">
        <f>D6-D25</f>
        <v>0</v>
      </c>
      <c r="E26" s="319">
        <f t="shared" ref="E26:M26" si="40">E6-E25</f>
        <v>0</v>
      </c>
      <c r="F26" s="319">
        <f t="shared" si="40"/>
        <v>0</v>
      </c>
      <c r="G26" s="319">
        <f t="shared" si="40"/>
        <v>0</v>
      </c>
      <c r="H26" s="319">
        <f t="shared" si="40"/>
        <v>0</v>
      </c>
      <c r="I26" s="319">
        <f t="shared" si="40"/>
        <v>0</v>
      </c>
      <c r="J26" s="319">
        <f t="shared" si="40"/>
        <v>0.36400000000000077</v>
      </c>
      <c r="K26" s="319">
        <f t="shared" si="40"/>
        <v>0.36400000000000077</v>
      </c>
      <c r="L26" s="319">
        <f t="shared" si="40"/>
        <v>0.36400000000000077</v>
      </c>
      <c r="M26" s="319">
        <f t="shared" si="40"/>
        <v>0.36400000000000077</v>
      </c>
    </row>
    <row r="27" spans="1:23" s="212" customFormat="1" x14ac:dyDescent="0.35">
      <c r="B27" s="212" t="s">
        <v>1157</v>
      </c>
      <c r="D27" s="359" t="s">
        <v>152</v>
      </c>
      <c r="E27" s="359" t="s">
        <v>153</v>
      </c>
      <c r="F27" s="359" t="s">
        <v>154</v>
      </c>
      <c r="G27" s="359" t="s">
        <v>155</v>
      </c>
      <c r="H27" s="359" t="s">
        <v>156</v>
      </c>
      <c r="I27" s="359" t="s">
        <v>157</v>
      </c>
      <c r="J27" s="359" t="s">
        <v>158</v>
      </c>
      <c r="K27" s="359" t="s">
        <v>159</v>
      </c>
      <c r="L27" s="359" t="s">
        <v>160</v>
      </c>
      <c r="M27" s="359" t="s">
        <v>161</v>
      </c>
      <c r="N27" s="359" t="s">
        <v>162</v>
      </c>
      <c r="O27" s="359" t="s">
        <v>163</v>
      </c>
      <c r="P27" s="359" t="s">
        <v>164</v>
      </c>
      <c r="Q27" s="359" t="s">
        <v>165</v>
      </c>
      <c r="R27" s="359" t="s">
        <v>166</v>
      </c>
      <c r="S27" s="359" t="s">
        <v>167</v>
      </c>
      <c r="T27" s="359" t="s">
        <v>168</v>
      </c>
      <c r="U27" s="359" t="s">
        <v>169</v>
      </c>
      <c r="V27" s="359" t="s">
        <v>170</v>
      </c>
    </row>
    <row r="28" spans="1:23" s="212" customFormat="1" x14ac:dyDescent="0.35">
      <c r="B28" s="317"/>
      <c r="C28" s="319" t="s">
        <v>5</v>
      </c>
      <c r="D28" s="327">
        <f>SUM(D29:D43)</f>
        <v>5.8765000000000009</v>
      </c>
      <c r="E28" s="327">
        <f t="shared" ref="E28:V28" si="41">SUM(E29:E43)</f>
        <v>11.753000000000002</v>
      </c>
      <c r="F28" s="327">
        <f t="shared" si="41"/>
        <v>15.762320000000003</v>
      </c>
      <c r="G28" s="327">
        <f t="shared" si="41"/>
        <v>19.771640000000005</v>
      </c>
      <c r="H28" s="327">
        <f t="shared" si="41"/>
        <v>23.812229000000006</v>
      </c>
      <c r="I28" s="327">
        <f t="shared" si="41"/>
        <v>27.852818000000006</v>
      </c>
      <c r="J28" s="327">
        <f t="shared" si="41"/>
        <v>30.517977000000005</v>
      </c>
      <c r="K28" s="327">
        <f t="shared" si="41"/>
        <v>33.183136000000005</v>
      </c>
      <c r="L28" s="327">
        <f t="shared" si="41"/>
        <v>36.260924000000003</v>
      </c>
      <c r="M28" s="327">
        <f t="shared" si="41"/>
        <v>39.338711999999994</v>
      </c>
      <c r="N28" s="327">
        <f t="shared" si="41"/>
        <v>40.928439999999995</v>
      </c>
      <c r="O28" s="327">
        <f t="shared" si="41"/>
        <v>42.518167999999996</v>
      </c>
      <c r="P28" s="327">
        <f t="shared" si="41"/>
        <v>44.428388999999996</v>
      </c>
      <c r="Q28" s="327">
        <f t="shared" si="41"/>
        <v>46.338610000000003</v>
      </c>
      <c r="R28" s="327">
        <f t="shared" si="41"/>
        <v>47.279744500000007</v>
      </c>
      <c r="S28" s="327">
        <f t="shared" si="41"/>
        <v>46.283419000000009</v>
      </c>
      <c r="T28" s="327">
        <f t="shared" si="41"/>
        <v>45.578489500000011</v>
      </c>
      <c r="U28" s="327">
        <f t="shared" si="41"/>
        <v>45.454798000000011</v>
      </c>
      <c r="V28" s="327">
        <f t="shared" si="41"/>
        <v>45.360580000000013</v>
      </c>
    </row>
    <row r="29" spans="1:23" s="212" customFormat="1" x14ac:dyDescent="0.35">
      <c r="A29" s="212">
        <v>2021</v>
      </c>
      <c r="B29" s="317" t="s">
        <v>708</v>
      </c>
      <c r="C29" s="319"/>
      <c r="D29" s="212">
        <f>($D$9+$D$10)*'ARP Timing'!B$16</f>
        <v>5.8765000000000009</v>
      </c>
      <c r="E29" s="212">
        <f>($D$9+$D$10)*'ARP Timing'!C$16</f>
        <v>5.8765000000000009</v>
      </c>
      <c r="F29" s="212">
        <f>($D$9+$D$10)*'ARP Timing'!D$16</f>
        <v>4.11355</v>
      </c>
      <c r="G29" s="212">
        <f>($D$9+$D$10)*'ARP Timing'!E$16</f>
        <v>4.11355</v>
      </c>
      <c r="H29" s="212">
        <f>($D$9+$D$10)*'ARP Timing'!F$16</f>
        <v>4.11355</v>
      </c>
      <c r="I29" s="212">
        <f>($D$9+$D$10)*'ARP Timing'!G$16</f>
        <v>4.11355</v>
      </c>
      <c r="J29" s="212">
        <f>($D$9+$D$10)*'ARP Timing'!H$16</f>
        <v>4.11355</v>
      </c>
      <c r="K29" s="212">
        <f>($D$9+$D$10)*'ARP Timing'!I$16</f>
        <v>4.11355</v>
      </c>
      <c r="L29" s="212">
        <f>($D$9+$D$10)*'ARP Timing'!J$16</f>
        <v>4.11355</v>
      </c>
      <c r="M29" s="212">
        <f>($D$9+$D$10)*'ARP Timing'!K$16</f>
        <v>4.11355</v>
      </c>
      <c r="N29" s="212">
        <f>($D$9+$D$10)*'ARP Timing'!L$16</f>
        <v>4.11355</v>
      </c>
      <c r="O29" s="212">
        <f>($D$9+$D$10)*'ARP Timing'!M$16</f>
        <v>4.11355</v>
      </c>
      <c r="P29" s="212">
        <f>($D$9+$D$10)*'ARP Timing'!N$16</f>
        <v>3.987625</v>
      </c>
      <c r="Q29" s="212">
        <f>($D$9+$D$10)*'ARP Timing'!O$16</f>
        <v>3.987625</v>
      </c>
      <c r="R29" s="212">
        <f>($D$9+$D$10)*'ARP Timing'!P$16</f>
        <v>3.987625</v>
      </c>
      <c r="S29" s="212">
        <f>($D$9+$D$10)*'ARP Timing'!Q$16</f>
        <v>3.987625</v>
      </c>
      <c r="T29" s="212">
        <f>($D$9+$D$10)*'ARP Timing'!R$16</f>
        <v>3.987625</v>
      </c>
      <c r="U29" s="212">
        <f>($D$9+$D$10)*'ARP Timing'!S$16</f>
        <v>3.987625</v>
      </c>
      <c r="V29" s="212">
        <f>($D$9+$D$10)*'ARP Timing'!T$16</f>
        <v>3.987625</v>
      </c>
    </row>
    <row r="30" spans="1:23" s="212" customFormat="1" x14ac:dyDescent="0.35">
      <c r="B30" s="317" t="s">
        <v>706</v>
      </c>
      <c r="C30" s="319"/>
      <c r="E30" s="212">
        <f>($E$9+$E$10)*'ARP Timing'!B$16</f>
        <v>5.8765000000000009</v>
      </c>
      <c r="F30" s="212">
        <f>($E$9+$E$10)*'ARP Timing'!C$16</f>
        <v>5.8765000000000009</v>
      </c>
      <c r="G30" s="212">
        <f>($E$9+$E$10)*'ARP Timing'!D$16</f>
        <v>4.11355</v>
      </c>
      <c r="H30" s="212">
        <f>($E$9+$E$10)*'ARP Timing'!E$16</f>
        <v>4.11355</v>
      </c>
      <c r="I30" s="212">
        <f>($E$9+$E$10)*'ARP Timing'!F$16</f>
        <v>4.11355</v>
      </c>
      <c r="J30" s="212">
        <f>($E$9+$E$10)*'ARP Timing'!G$16</f>
        <v>4.11355</v>
      </c>
      <c r="K30" s="212">
        <f>($E$9+$E$10)*'ARP Timing'!H$16</f>
        <v>4.11355</v>
      </c>
      <c r="L30" s="212">
        <f>($E$9+$E$10)*'ARP Timing'!I$16</f>
        <v>4.11355</v>
      </c>
      <c r="M30" s="212">
        <f>($E$9+$E$10)*'ARP Timing'!J$16</f>
        <v>4.11355</v>
      </c>
      <c r="N30" s="212">
        <f>($E$9+$E$10)*'ARP Timing'!K$16</f>
        <v>4.11355</v>
      </c>
      <c r="O30" s="212">
        <f>($E$9+$E$10)*'ARP Timing'!L$16</f>
        <v>4.11355</v>
      </c>
      <c r="P30" s="212">
        <f>($E$9+$E$10)*'ARP Timing'!M$16</f>
        <v>4.11355</v>
      </c>
      <c r="Q30" s="212">
        <f>($E$9+$E$10)*'ARP Timing'!N$16</f>
        <v>3.987625</v>
      </c>
      <c r="R30" s="212">
        <f>($E$9+$E$10)*'ARP Timing'!O$16</f>
        <v>3.987625</v>
      </c>
      <c r="S30" s="212">
        <f>($E$9+$E$10)*'ARP Timing'!P$16</f>
        <v>3.987625</v>
      </c>
      <c r="T30" s="212">
        <f>($E$9+$E$10)*'ARP Timing'!Q$16</f>
        <v>3.987625</v>
      </c>
      <c r="U30" s="212">
        <f>($E$9+$E$10)*'ARP Timing'!R$16</f>
        <v>3.987625</v>
      </c>
      <c r="V30" s="212">
        <f>($E$9+$E$10)*'ARP Timing'!S$16</f>
        <v>3.987625</v>
      </c>
    </row>
    <row r="31" spans="1:23" s="212" customFormat="1" x14ac:dyDescent="0.35">
      <c r="B31" s="317" t="s">
        <v>707</v>
      </c>
      <c r="C31" s="319"/>
      <c r="F31" s="212">
        <f>($F$9+$F$10)*'ARP Timing'!B$16</f>
        <v>5.7722700000000016</v>
      </c>
      <c r="G31" s="212">
        <f>($F$9+$F$10)*'ARP Timing'!C$16</f>
        <v>5.7722700000000016</v>
      </c>
      <c r="H31" s="212">
        <f>($F$9+$F$10)*'ARP Timing'!D$16</f>
        <v>4.0405890000000007</v>
      </c>
      <c r="I31" s="212">
        <f>($F$9+$F$10)*'ARP Timing'!E$16</f>
        <v>4.0405890000000007</v>
      </c>
      <c r="J31" s="212">
        <f>($F$9+$F$10)*'ARP Timing'!F$16</f>
        <v>4.0405890000000007</v>
      </c>
      <c r="K31" s="212">
        <f>($F$9+$F$10)*'ARP Timing'!G$16</f>
        <v>4.0405890000000007</v>
      </c>
      <c r="L31" s="212">
        <f>($F$9+$F$10)*'ARP Timing'!H$16</f>
        <v>4.0405890000000007</v>
      </c>
      <c r="M31" s="212">
        <f>($F$9+$F$10)*'ARP Timing'!I$16</f>
        <v>4.0405890000000007</v>
      </c>
      <c r="N31" s="212">
        <f>($F$9+$F$10)*'ARP Timing'!J$16</f>
        <v>4.0405890000000007</v>
      </c>
      <c r="O31" s="212">
        <f>($F$9+$F$10)*'ARP Timing'!K$16</f>
        <v>4.0405890000000007</v>
      </c>
      <c r="P31" s="212">
        <f>($F$9+$F$10)*'ARP Timing'!L$16</f>
        <v>4.0405890000000007</v>
      </c>
      <c r="Q31" s="212">
        <f>($F$9+$F$10)*'ARP Timing'!M$16</f>
        <v>4.0405890000000007</v>
      </c>
      <c r="R31" s="212">
        <f>($F$9+$F$10)*'ARP Timing'!N$16</f>
        <v>3.9168975000000006</v>
      </c>
      <c r="S31" s="212">
        <f>($F$9+$F$10)*'ARP Timing'!O$16</f>
        <v>3.9168975000000006</v>
      </c>
      <c r="T31" s="212">
        <f>($F$9+$F$10)*'ARP Timing'!P$16</f>
        <v>3.9168975000000006</v>
      </c>
      <c r="U31" s="212">
        <f>($F$9+$F$10)*'ARP Timing'!Q$16</f>
        <v>3.9168975000000006</v>
      </c>
      <c r="V31" s="212">
        <f>($F$9+$F$10)*'ARP Timing'!R$16</f>
        <v>3.9168975000000006</v>
      </c>
    </row>
    <row r="32" spans="1:23" s="212" customFormat="1" x14ac:dyDescent="0.35">
      <c r="A32" s="212">
        <v>2022</v>
      </c>
      <c r="B32" s="317" t="s">
        <v>704</v>
      </c>
      <c r="C32" s="319"/>
      <c r="G32" s="212">
        <f>($G$9+$G$10)*'ARP Timing'!B$16</f>
        <v>5.7722700000000016</v>
      </c>
      <c r="H32" s="212">
        <f>($G$9+$G$10)*'ARP Timing'!C$16</f>
        <v>5.7722700000000016</v>
      </c>
      <c r="I32" s="212">
        <f>($G$9+$G$10)*'ARP Timing'!D$16</f>
        <v>4.0405890000000007</v>
      </c>
      <c r="J32" s="212">
        <f>($G$9+$G$10)*'ARP Timing'!E$16</f>
        <v>4.0405890000000007</v>
      </c>
      <c r="K32" s="212">
        <f>($G$9+$G$10)*'ARP Timing'!F$16</f>
        <v>4.0405890000000007</v>
      </c>
      <c r="L32" s="212">
        <f>($G$9+$G$10)*'ARP Timing'!G$16</f>
        <v>4.0405890000000007</v>
      </c>
      <c r="M32" s="212">
        <f>($G$9+$G$10)*'ARP Timing'!H$16</f>
        <v>4.0405890000000007</v>
      </c>
      <c r="N32" s="212">
        <f>($G$9+$G$10)*'ARP Timing'!I$16</f>
        <v>4.0405890000000007</v>
      </c>
      <c r="O32" s="212">
        <f>($G$9+$G$10)*'ARP Timing'!J$16</f>
        <v>4.0405890000000007</v>
      </c>
      <c r="P32" s="212">
        <f>($G$9+$G$10)*'ARP Timing'!K$16</f>
        <v>4.0405890000000007</v>
      </c>
      <c r="Q32" s="212">
        <f>($G$9+$G$10)*'ARP Timing'!L$16</f>
        <v>4.0405890000000007</v>
      </c>
      <c r="R32" s="212">
        <f>($G$9+$G$10)*'ARP Timing'!M$16</f>
        <v>4.0405890000000007</v>
      </c>
      <c r="S32" s="212">
        <f>($G$9+$G$10)*'ARP Timing'!N$16</f>
        <v>3.9168975000000006</v>
      </c>
      <c r="T32" s="212">
        <f>($G$9+$G$10)*'ARP Timing'!O$16</f>
        <v>3.9168975000000006</v>
      </c>
      <c r="U32" s="212">
        <f>($G$9+$G$10)*'ARP Timing'!P$16</f>
        <v>3.9168975000000006</v>
      </c>
      <c r="V32" s="212">
        <f>($G$9+$G$10)*'ARP Timing'!Q$16</f>
        <v>3.9168975000000006</v>
      </c>
    </row>
    <row r="33" spans="1:23" s="212" customFormat="1" x14ac:dyDescent="0.35">
      <c r="B33" s="317" t="s">
        <v>705</v>
      </c>
      <c r="C33" s="319"/>
      <c r="H33" s="212">
        <f>($H$9+$H$10)*'ARP Timing'!B$16</f>
        <v>5.7722700000000016</v>
      </c>
      <c r="I33" s="212">
        <f>($H$9+$H$10)*'ARP Timing'!C$16</f>
        <v>5.7722700000000016</v>
      </c>
      <c r="J33" s="212">
        <f>($H$9+$H$10)*'ARP Timing'!D$16</f>
        <v>4.0405890000000007</v>
      </c>
      <c r="K33" s="212">
        <f>($H$9+$H$10)*'ARP Timing'!E$16</f>
        <v>4.0405890000000007</v>
      </c>
      <c r="L33" s="212">
        <f>($H$9+$H$10)*'ARP Timing'!F$16</f>
        <v>4.0405890000000007</v>
      </c>
      <c r="M33" s="212">
        <f>($H$9+$H$10)*'ARP Timing'!G$16</f>
        <v>4.0405890000000007</v>
      </c>
      <c r="N33" s="212">
        <f>($H$9+$H$10)*'ARP Timing'!H$16</f>
        <v>4.0405890000000007</v>
      </c>
      <c r="O33" s="212">
        <f>($H$9+$H$10)*'ARP Timing'!I$16</f>
        <v>4.0405890000000007</v>
      </c>
      <c r="P33" s="212">
        <f>($H$9+$H$10)*'ARP Timing'!J$16</f>
        <v>4.0405890000000007</v>
      </c>
      <c r="Q33" s="212">
        <f>($H$9+$H$10)*'ARP Timing'!K$16</f>
        <v>4.0405890000000007</v>
      </c>
      <c r="R33" s="212">
        <f>($H$9+$H$10)*'ARP Timing'!L$16</f>
        <v>4.0405890000000007</v>
      </c>
      <c r="S33" s="212">
        <f>($H$9+$H$10)*'ARP Timing'!M$16</f>
        <v>4.0405890000000007</v>
      </c>
      <c r="T33" s="212">
        <f>($H$9+$H$10)*'ARP Timing'!N$16</f>
        <v>3.9168975000000006</v>
      </c>
      <c r="U33" s="212">
        <f>($H$9+$H$10)*'ARP Timing'!O$16</f>
        <v>3.9168975000000006</v>
      </c>
      <c r="V33" s="212">
        <f>($H$9+$H$10)*'ARP Timing'!P$16</f>
        <v>3.9168975000000006</v>
      </c>
    </row>
    <row r="34" spans="1:23" s="212" customFormat="1" x14ac:dyDescent="0.35">
      <c r="B34" s="317" t="s">
        <v>706</v>
      </c>
      <c r="C34" s="319"/>
      <c r="H34" s="319"/>
      <c r="I34" s="212">
        <f>($I$9+$I10)*'ARP Timing'!B$16</f>
        <v>5.7722700000000016</v>
      </c>
      <c r="J34" s="212">
        <f>($I$9+$I10)*'ARP Timing'!C$16</f>
        <v>5.7722700000000016</v>
      </c>
      <c r="K34" s="212">
        <f>($I$9+$I10)*'ARP Timing'!D$16</f>
        <v>4.0405890000000007</v>
      </c>
      <c r="L34" s="212">
        <f>($I$9+$I10)*'ARP Timing'!E$16</f>
        <v>4.0405890000000007</v>
      </c>
      <c r="M34" s="212">
        <f>($I$9+$I10)*'ARP Timing'!F$16</f>
        <v>4.0405890000000007</v>
      </c>
      <c r="N34" s="212">
        <f>($I$9+$I10)*'ARP Timing'!G$16</f>
        <v>4.0405890000000007</v>
      </c>
      <c r="O34" s="212">
        <f>($I$9+$I10)*'ARP Timing'!H$16</f>
        <v>4.0405890000000007</v>
      </c>
      <c r="P34" s="212">
        <f>($I$9+$I10)*'ARP Timing'!I$16</f>
        <v>4.0405890000000007</v>
      </c>
      <c r="Q34" s="212">
        <f>($I$9+$I10)*'ARP Timing'!J$16</f>
        <v>4.0405890000000007</v>
      </c>
      <c r="R34" s="212">
        <f>($I$9+$I10)*'ARP Timing'!K$16</f>
        <v>4.0405890000000007</v>
      </c>
      <c r="S34" s="212">
        <f>($I$9+$I10)*'ARP Timing'!L$16</f>
        <v>4.0405890000000007</v>
      </c>
      <c r="T34" s="212">
        <f>($I$9+$I10)*'ARP Timing'!M$16</f>
        <v>4.0405890000000007</v>
      </c>
      <c r="U34" s="212">
        <f>($I$9+$I10)*'ARP Timing'!N$16</f>
        <v>3.9168975000000006</v>
      </c>
      <c r="V34" s="212">
        <f>($I$9+$I10)*'ARP Timing'!O$16</f>
        <v>3.9168975000000006</v>
      </c>
    </row>
    <row r="35" spans="1:23" s="212" customFormat="1" x14ac:dyDescent="0.35">
      <c r="B35" s="317" t="s">
        <v>707</v>
      </c>
      <c r="C35" s="319"/>
      <c r="H35" s="319"/>
      <c r="J35" s="212">
        <f>($J$9+$J$10)*'ARP Timing'!B$16</f>
        <v>4.3968400000000001</v>
      </c>
      <c r="K35" s="212">
        <f>($J$9+$J$10)*'ARP Timing'!C$16</f>
        <v>4.3968400000000001</v>
      </c>
      <c r="L35" s="212">
        <f>($J$9+$J$10)*'ARP Timing'!D$16</f>
        <v>3.077788</v>
      </c>
      <c r="M35" s="212">
        <f>($J$9+$J$10)*'ARP Timing'!E$16</f>
        <v>3.077788</v>
      </c>
      <c r="N35" s="212">
        <f>($J$9+$J$10)*'ARP Timing'!F$16</f>
        <v>3.077788</v>
      </c>
      <c r="O35" s="212">
        <f>($J$9+$J$10)*'ARP Timing'!G$16</f>
        <v>3.077788</v>
      </c>
      <c r="P35" s="212">
        <f>($J$9+$J$10)*'ARP Timing'!H$16</f>
        <v>3.077788</v>
      </c>
      <c r="Q35" s="212">
        <f>($J$9+$J$10)*'ARP Timing'!I$16</f>
        <v>3.077788</v>
      </c>
      <c r="R35" s="212">
        <f>($J$9+$J$10)*'ARP Timing'!J$16</f>
        <v>3.077788</v>
      </c>
      <c r="S35" s="212">
        <f>($J$9+$J$10)*'ARP Timing'!K$16</f>
        <v>3.077788</v>
      </c>
      <c r="T35" s="212">
        <f>($J$9+$J$10)*'ARP Timing'!L$16</f>
        <v>3.077788</v>
      </c>
      <c r="U35" s="212">
        <f>($J$9+$J$10)*'ARP Timing'!M$16</f>
        <v>3.077788</v>
      </c>
      <c r="V35" s="212">
        <f>($J$9+$J$10)*'ARP Timing'!N$16</f>
        <v>2.9835699999999998</v>
      </c>
    </row>
    <row r="36" spans="1:23" s="212" customFormat="1" x14ac:dyDescent="0.35">
      <c r="A36" s="212">
        <v>2023</v>
      </c>
      <c r="B36" s="317" t="s">
        <v>704</v>
      </c>
      <c r="C36" s="319"/>
      <c r="H36" s="319"/>
      <c r="K36" s="212">
        <f>($K$9+$K$10)*'ARP Timing'!B$16</f>
        <v>4.3968400000000001</v>
      </c>
      <c r="L36" s="212">
        <f>($K$9+$K$10)*'ARP Timing'!C$16</f>
        <v>4.3968400000000001</v>
      </c>
      <c r="M36" s="212">
        <f>($K$9+$K$10)*'ARP Timing'!D$16</f>
        <v>3.077788</v>
      </c>
      <c r="N36" s="212">
        <f>($K$9+$K$10)*'ARP Timing'!E$16</f>
        <v>3.077788</v>
      </c>
      <c r="O36" s="212">
        <f>($K$9+$K$10)*'ARP Timing'!F$16</f>
        <v>3.077788</v>
      </c>
      <c r="P36" s="212">
        <f>($K$9+$K$10)*'ARP Timing'!G$16</f>
        <v>3.077788</v>
      </c>
      <c r="Q36" s="212">
        <f>($K$9+$K$10)*'ARP Timing'!H$16</f>
        <v>3.077788</v>
      </c>
      <c r="R36" s="212">
        <f>($K$9+$K$10)*'ARP Timing'!I$16</f>
        <v>3.077788</v>
      </c>
      <c r="S36" s="212">
        <f>($K$9+$K$10)*'ARP Timing'!J$16</f>
        <v>3.077788</v>
      </c>
      <c r="T36" s="212">
        <f>($K$9+$K$10)*'ARP Timing'!K$16</f>
        <v>3.077788</v>
      </c>
      <c r="U36" s="212">
        <f>($K$9+$K$10)*'ARP Timing'!L$16</f>
        <v>3.077788</v>
      </c>
      <c r="V36" s="212">
        <f>($K$9+$K$10)*'ARP Timing'!M$16</f>
        <v>3.077788</v>
      </c>
    </row>
    <row r="37" spans="1:23" s="212" customFormat="1" x14ac:dyDescent="0.35">
      <c r="B37" s="317" t="s">
        <v>705</v>
      </c>
      <c r="C37" s="319"/>
      <c r="H37" s="319"/>
      <c r="L37" s="212">
        <f>($L$9+$L$10)*'ARP Timing'!B$16</f>
        <v>4.3968400000000001</v>
      </c>
      <c r="M37" s="212">
        <f>($L$9+$L$10)*'ARP Timing'!C$16</f>
        <v>4.3968400000000001</v>
      </c>
      <c r="N37" s="212">
        <f>($L$9+$L$10)*'ARP Timing'!D$16</f>
        <v>3.077788</v>
      </c>
      <c r="O37" s="212">
        <f>($L$9+$L$10)*'ARP Timing'!E$16</f>
        <v>3.077788</v>
      </c>
      <c r="P37" s="212">
        <f>($L$9+$L$10)*'ARP Timing'!F$16</f>
        <v>3.077788</v>
      </c>
      <c r="Q37" s="212">
        <f>($L$9+$L$10)*'ARP Timing'!G$16</f>
        <v>3.077788</v>
      </c>
      <c r="R37" s="212">
        <f>($L$9+$L$10)*'ARP Timing'!H$16</f>
        <v>3.077788</v>
      </c>
      <c r="S37" s="212">
        <f>($L$9+$L$10)*'ARP Timing'!I$16</f>
        <v>3.077788</v>
      </c>
      <c r="T37" s="212">
        <f>($L$9+$L$10)*'ARP Timing'!J$16</f>
        <v>3.077788</v>
      </c>
      <c r="U37" s="212">
        <f>($L$9+$L$10)*'ARP Timing'!K$16</f>
        <v>3.077788</v>
      </c>
      <c r="V37" s="212">
        <f>($L$9+$L$10)*'ARP Timing'!L$16</f>
        <v>3.077788</v>
      </c>
    </row>
    <row r="38" spans="1:23" s="212" customFormat="1" x14ac:dyDescent="0.35">
      <c r="B38" s="317" t="s">
        <v>706</v>
      </c>
      <c r="C38" s="319"/>
      <c r="H38" s="319"/>
      <c r="M38" s="212">
        <f>($M$9+$M$10)*'ARP Timing'!B$16</f>
        <v>4.3968400000000001</v>
      </c>
      <c r="N38" s="212">
        <f>($M$9+$M$10)*'ARP Timing'!C$16</f>
        <v>4.3968400000000001</v>
      </c>
      <c r="O38" s="212">
        <f>($M$9+$M$10)*'ARP Timing'!D$16</f>
        <v>3.077788</v>
      </c>
      <c r="P38" s="212">
        <f>($M$9+$M$10)*'ARP Timing'!E$16</f>
        <v>3.077788</v>
      </c>
      <c r="Q38" s="212">
        <f>($M$9+$M$10)*'ARP Timing'!F$16</f>
        <v>3.077788</v>
      </c>
      <c r="R38" s="212">
        <f>($M$9+$M$10)*'ARP Timing'!G$16</f>
        <v>3.077788</v>
      </c>
      <c r="S38" s="212">
        <f>($M$9+$M$10)*'ARP Timing'!H$16</f>
        <v>3.077788</v>
      </c>
      <c r="T38" s="212">
        <f>($M$9+$M$10)*'ARP Timing'!I$16</f>
        <v>3.077788</v>
      </c>
      <c r="U38" s="212">
        <f>($M$9+$M$10)*'ARP Timing'!J$16</f>
        <v>3.077788</v>
      </c>
      <c r="V38" s="212">
        <f>($M$9+$M$10)*'ARP Timing'!K$16</f>
        <v>3.077788</v>
      </c>
    </row>
    <row r="39" spans="1:23" s="212" customFormat="1" x14ac:dyDescent="0.35">
      <c r="B39" s="317" t="s">
        <v>707</v>
      </c>
      <c r="C39" s="319"/>
      <c r="H39" s="319"/>
      <c r="N39" s="212">
        <f>($N$9+$N$10)*'ARP Timing'!B$16</f>
        <v>2.9087800000000006</v>
      </c>
      <c r="O39" s="212">
        <f>($N$9+$N$10)*'ARP Timing'!C$16</f>
        <v>2.9087800000000006</v>
      </c>
      <c r="P39" s="212">
        <f>($N$9+$N$10)*'ARP Timing'!D$16</f>
        <v>2.036146</v>
      </c>
      <c r="Q39" s="212">
        <f>($N$9+$N$10)*'ARP Timing'!E$16</f>
        <v>2.036146</v>
      </c>
      <c r="R39" s="212">
        <f>($N$9+$N$10)*'ARP Timing'!F$16</f>
        <v>2.036146</v>
      </c>
      <c r="S39" s="212">
        <f>($N$9+$N$10)*'ARP Timing'!G$16</f>
        <v>2.036146</v>
      </c>
      <c r="T39" s="212">
        <f>($N$9+$N$10)*'ARP Timing'!H$16</f>
        <v>2.036146</v>
      </c>
      <c r="U39" s="212">
        <f>($N$9+$N$10)*'ARP Timing'!I$16</f>
        <v>2.036146</v>
      </c>
      <c r="V39" s="212">
        <f>($N$9+$N$10)*'ARP Timing'!J$16</f>
        <v>2.036146</v>
      </c>
    </row>
    <row r="40" spans="1:23" s="212" customFormat="1" x14ac:dyDescent="0.35">
      <c r="A40" s="212">
        <v>2024</v>
      </c>
      <c r="B40" s="317" t="s">
        <v>704</v>
      </c>
      <c r="C40" s="319"/>
      <c r="H40" s="319"/>
      <c r="O40" s="212">
        <f>($O$9+$O$10)*'ARP Timing'!B$16</f>
        <v>2.9087800000000006</v>
      </c>
      <c r="P40" s="212">
        <f>($O$9+$O$10)*'ARP Timing'!C$16</f>
        <v>2.9087800000000006</v>
      </c>
      <c r="Q40" s="212">
        <f>($O$9+$O$10)*'ARP Timing'!D$16</f>
        <v>2.036146</v>
      </c>
      <c r="R40" s="212">
        <f>($O$9+$O$10)*'ARP Timing'!E$16</f>
        <v>2.036146</v>
      </c>
      <c r="S40" s="212">
        <f>($O$9+$O$10)*'ARP Timing'!F$16</f>
        <v>2.036146</v>
      </c>
      <c r="T40" s="212">
        <f>($O$9+$O$10)*'ARP Timing'!G$16</f>
        <v>2.036146</v>
      </c>
      <c r="U40" s="212">
        <f>($O$9+$O$10)*'ARP Timing'!H$16</f>
        <v>2.036146</v>
      </c>
      <c r="V40" s="212">
        <f>($O$9+$O$10)*'ARP Timing'!I$16</f>
        <v>2.036146</v>
      </c>
    </row>
    <row r="41" spans="1:23" s="212" customFormat="1" x14ac:dyDescent="0.35">
      <c r="B41" s="317" t="s">
        <v>705</v>
      </c>
      <c r="C41" s="319"/>
      <c r="H41" s="319"/>
      <c r="P41" s="212">
        <f>($P$9+$P$10)*'ARP Timing'!B$16</f>
        <v>2.9087800000000006</v>
      </c>
      <c r="Q41" s="212">
        <f>($P$9+$P$10)*'ARP Timing'!C$16</f>
        <v>2.9087800000000006</v>
      </c>
      <c r="R41" s="212">
        <f>($P$9+$P$10)*'ARP Timing'!D$16</f>
        <v>2.036146</v>
      </c>
      <c r="S41" s="212">
        <f>($P$9+$P$10)*'ARP Timing'!E$16</f>
        <v>2.036146</v>
      </c>
      <c r="T41" s="212">
        <f>($P$9+$P$10)*'ARP Timing'!F$16</f>
        <v>2.036146</v>
      </c>
      <c r="U41" s="212">
        <f>($P$9+$P$10)*'ARP Timing'!G$16</f>
        <v>2.036146</v>
      </c>
      <c r="V41" s="212">
        <f>($P$9+$P$10)*'ARP Timing'!H$16</f>
        <v>2.036146</v>
      </c>
    </row>
    <row r="42" spans="1:23" s="212" customFormat="1" x14ac:dyDescent="0.35">
      <c r="B42" s="317" t="s">
        <v>706</v>
      </c>
      <c r="C42" s="319"/>
      <c r="H42" s="319"/>
      <c r="Q42" s="212">
        <f>($Q$9+$Q$10)*'ARP Timing'!B$16</f>
        <v>2.9087800000000006</v>
      </c>
      <c r="R42" s="212">
        <f>($Q$9+$Q$10)*'ARP Timing'!C$16</f>
        <v>2.9087800000000006</v>
      </c>
      <c r="S42" s="212">
        <f>($Q$9+$Q$10)*'ARP Timing'!D$16</f>
        <v>2.036146</v>
      </c>
      <c r="T42" s="212">
        <f>($Q$9+$Q$10)*'ARP Timing'!E$16</f>
        <v>2.036146</v>
      </c>
      <c r="U42" s="212">
        <f>($Q$9+$Q$10)*'ARP Timing'!F$16</f>
        <v>2.036146</v>
      </c>
      <c r="V42" s="212">
        <f>($Q$9+$Q$10)*'ARP Timing'!G$16</f>
        <v>2.036146</v>
      </c>
    </row>
    <row r="43" spans="1:23" s="212" customFormat="1" x14ac:dyDescent="0.35">
      <c r="B43" s="317" t="s">
        <v>707</v>
      </c>
      <c r="C43" s="319"/>
      <c r="H43" s="319"/>
      <c r="R43" s="212">
        <f>($R$9+$R$10)*'ARP Timing'!B$16</f>
        <v>1.9374600000000002</v>
      </c>
      <c r="S43" s="212">
        <f>($R$9+$R$10)*'ARP Timing'!C$16</f>
        <v>1.9374600000000002</v>
      </c>
      <c r="T43" s="212">
        <f>($R$9+$R$10)*'ARP Timing'!D$16</f>
        <v>1.356222</v>
      </c>
      <c r="U43" s="212">
        <f>($R$9+$R$10)*'ARP Timing'!E$16</f>
        <v>1.356222</v>
      </c>
      <c r="V43" s="212">
        <f>($R$9+$R$10)*'ARP Timing'!F$16</f>
        <v>1.356222</v>
      </c>
    </row>
    <row r="44" spans="1:23" s="212" customFormat="1" x14ac:dyDescent="0.35">
      <c r="S44" s="212">
        <f>($S$9+$S$10)*'ARP Timing'!B$16</f>
        <v>1.9374600000000002</v>
      </c>
      <c r="T44" s="212">
        <f>($S$9+$S$10)*'ARP Timing'!C$16</f>
        <v>1.9374600000000002</v>
      </c>
      <c r="U44" s="212">
        <f>($S$9+$S$10)*'ARP Timing'!D$16</f>
        <v>1.356222</v>
      </c>
      <c r="V44" s="212">
        <f>($S$9+$S$10)*'ARP Timing'!E$16</f>
        <v>1.356222</v>
      </c>
    </row>
    <row r="45" spans="1:23" s="212" customFormat="1" x14ac:dyDescent="0.35"/>
    <row r="46" spans="1:23" x14ac:dyDescent="0.35">
      <c r="B46" s="212" t="s">
        <v>710</v>
      </c>
      <c r="D46" s="359" t="s">
        <v>152</v>
      </c>
      <c r="E46" s="359" t="s">
        <v>153</v>
      </c>
      <c r="F46" s="359" t="s">
        <v>154</v>
      </c>
      <c r="G46" s="359" t="s">
        <v>155</v>
      </c>
      <c r="H46" s="359" t="s">
        <v>156</v>
      </c>
      <c r="I46" s="359" t="s">
        <v>157</v>
      </c>
      <c r="J46" s="359" t="s">
        <v>158</v>
      </c>
      <c r="K46" s="359" t="s">
        <v>159</v>
      </c>
      <c r="L46" s="359" t="s">
        <v>160</v>
      </c>
      <c r="M46" s="359" t="s">
        <v>161</v>
      </c>
      <c r="N46" s="359" t="s">
        <v>162</v>
      </c>
      <c r="O46" s="359" t="s">
        <v>163</v>
      </c>
      <c r="P46" s="359" t="s">
        <v>164</v>
      </c>
      <c r="Q46" s="359" t="s">
        <v>165</v>
      </c>
      <c r="R46" s="359" t="s">
        <v>166</v>
      </c>
      <c r="S46" s="359" t="s">
        <v>167</v>
      </c>
      <c r="T46" s="359" t="s">
        <v>168</v>
      </c>
      <c r="U46" s="359" t="s">
        <v>169</v>
      </c>
      <c r="V46" s="359" t="s">
        <v>170</v>
      </c>
      <c r="W46" s="212"/>
    </row>
    <row r="47" spans="1:23" x14ac:dyDescent="0.35">
      <c r="B47" s="317"/>
      <c r="C47" s="319" t="s">
        <v>5</v>
      </c>
      <c r="D47" s="327">
        <f t="shared" ref="D47:U47" si="42">SUM(D48:D66)</f>
        <v>0</v>
      </c>
      <c r="E47" s="327">
        <f t="shared" si="42"/>
        <v>0</v>
      </c>
      <c r="F47" s="327">
        <f t="shared" si="42"/>
        <v>34.620851999999999</v>
      </c>
      <c r="G47" s="327">
        <f t="shared" si="42"/>
        <v>45.996274799999995</v>
      </c>
      <c r="H47" s="327">
        <f t="shared" si="42"/>
        <v>59.350031999999992</v>
      </c>
      <c r="I47" s="327">
        <f t="shared" si="42"/>
        <v>64.295867999999999</v>
      </c>
      <c r="J47" s="327">
        <f t="shared" si="42"/>
        <v>72.538927999999999</v>
      </c>
      <c r="K47" s="327">
        <f t="shared" si="42"/>
        <v>80.122543199999996</v>
      </c>
      <c r="L47" s="327">
        <f t="shared" si="42"/>
        <v>98.916719999999998</v>
      </c>
      <c r="M47" s="327">
        <f t="shared" si="42"/>
        <v>102.213944</v>
      </c>
      <c r="N47" s="327">
        <f t="shared" si="42"/>
        <v>102.213944</v>
      </c>
      <c r="O47" s="327">
        <f t="shared" si="42"/>
        <v>102.213944</v>
      </c>
      <c r="P47" s="327">
        <f t="shared" si="42"/>
        <v>98.916719999999998</v>
      </c>
      <c r="Q47" s="327">
        <f t="shared" si="42"/>
        <v>98.916719999999998</v>
      </c>
      <c r="R47" s="327">
        <f t="shared" si="42"/>
        <v>99.081581199999988</v>
      </c>
      <c r="S47" s="327">
        <f t="shared" si="42"/>
        <v>93.146578000000005</v>
      </c>
      <c r="T47" s="327">
        <f t="shared" si="42"/>
        <v>86.552129999999991</v>
      </c>
      <c r="U47" s="327">
        <f t="shared" si="42"/>
        <v>86.552129999999991</v>
      </c>
      <c r="V47" s="327">
        <f>SUM(V48:V66)</f>
        <v>82.265738799999994</v>
      </c>
      <c r="W47" s="49">
        <f>SUM(G47:V47)/4</f>
        <v>343.32344900000004</v>
      </c>
    </row>
    <row r="48" spans="1:23" s="212" customFormat="1" x14ac:dyDescent="0.35">
      <c r="A48" s="212">
        <v>2021</v>
      </c>
      <c r="B48" s="317" t="s">
        <v>708</v>
      </c>
      <c r="C48" s="319"/>
      <c r="D48" s="212">
        <f>($D$8)*'ARP Timing'!B17</f>
        <v>0</v>
      </c>
      <c r="E48" s="212">
        <f>($D$8)*'ARP Timing'!C17</f>
        <v>0</v>
      </c>
      <c r="F48" s="212">
        <f>($D$8)*'ARP Timing'!D17</f>
        <v>34.620851999999999</v>
      </c>
      <c r="G48" s="212">
        <f>($D$8)*'ARP Timing'!E17</f>
        <v>45.996274799999995</v>
      </c>
      <c r="H48" s="212">
        <f>($D$8)*'ARP Timing'!F17</f>
        <v>59.350031999999992</v>
      </c>
      <c r="I48" s="212">
        <f>($D$8)*'ARP Timing'!G17</f>
        <v>64.295867999999999</v>
      </c>
      <c r="J48" s="212">
        <f>($D$8)*'ARP Timing'!H17</f>
        <v>49.458359999999999</v>
      </c>
      <c r="K48" s="212">
        <f>($D$8)*'ARP Timing'!I17</f>
        <v>49.458359999999999</v>
      </c>
      <c r="L48" s="212">
        <f>($D$8)*'ARP Timing'!J17</f>
        <v>59.350031999999992</v>
      </c>
      <c r="M48" s="212">
        <f>($D$8)*'ARP Timing'!K17</f>
        <v>59.350031999999992</v>
      </c>
      <c r="N48" s="212">
        <f>($D$8)*'ARP Timing'!L17</f>
        <v>69.241703999999999</v>
      </c>
      <c r="O48" s="212">
        <f>($D$8)*'ARP Timing'!M17</f>
        <v>69.241703999999999</v>
      </c>
      <c r="P48" s="212">
        <f>($D$8)*'ARP Timing'!N17</f>
        <v>59.350031999999992</v>
      </c>
      <c r="Q48" s="212">
        <f>($D$8)*'ARP Timing'!O17</f>
        <v>59.350031999999992</v>
      </c>
      <c r="R48" s="212">
        <f>($D$8)*'ARP Timing'!P17</f>
        <v>52.920445199999989</v>
      </c>
      <c r="S48" s="212">
        <f>($D$8)*'ARP Timing'!Q17</f>
        <v>46.985441999999992</v>
      </c>
      <c r="T48" s="212">
        <f>($D$8)*'ARP Timing'!R17</f>
        <v>46.985441999999992</v>
      </c>
      <c r="U48" s="212">
        <f>($D$8)*'ARP Timing'!S17</f>
        <v>46.985441999999992</v>
      </c>
      <c r="V48" s="212">
        <f>($D$8)*'ARP Timing'!T17</f>
        <v>46.985441999999992</v>
      </c>
    </row>
    <row r="49" spans="1:22" s="212" customFormat="1" x14ac:dyDescent="0.35">
      <c r="B49" s="317" t="s">
        <v>706</v>
      </c>
      <c r="C49" s="319"/>
      <c r="E49" s="212">
        <f>($E$8)*'ARP Timing'!B$17</f>
        <v>0</v>
      </c>
      <c r="F49" s="212">
        <f>($E$8)*'ARP Timing'!C$16</f>
        <v>0</v>
      </c>
      <c r="G49" s="212">
        <f>($E$8)*'ARP Timing'!D$16</f>
        <v>0</v>
      </c>
      <c r="H49" s="212">
        <f>($E$8)*'ARP Timing'!E$16</f>
        <v>0</v>
      </c>
      <c r="I49" s="212">
        <f>($E$8)*'ARP Timing'!F$16</f>
        <v>0</v>
      </c>
      <c r="J49" s="212">
        <f>($E$8)*'ARP Timing'!G$16</f>
        <v>0</v>
      </c>
      <c r="K49" s="212">
        <f>($E$8)*'ARP Timing'!H$16</f>
        <v>0</v>
      </c>
      <c r="L49" s="212">
        <f>($E$8)*'ARP Timing'!I$16</f>
        <v>0</v>
      </c>
      <c r="M49" s="212">
        <f>($E$8)*'ARP Timing'!J$16</f>
        <v>0</v>
      </c>
      <c r="N49" s="212">
        <f>($E$8)*'ARP Timing'!K$16</f>
        <v>0</v>
      </c>
      <c r="O49" s="212">
        <f>($E$8)*'ARP Timing'!L$16</f>
        <v>0</v>
      </c>
      <c r="P49" s="212">
        <f>($E$8)*'ARP Timing'!M$16</f>
        <v>0</v>
      </c>
      <c r="Q49" s="212">
        <f>($E$8)*'ARP Timing'!N$16</f>
        <v>0</v>
      </c>
      <c r="R49" s="212">
        <f>($E$8)*'ARP Timing'!O$16</f>
        <v>0</v>
      </c>
      <c r="S49" s="212">
        <f>($E$8)*'ARP Timing'!P$16</f>
        <v>0</v>
      </c>
      <c r="T49" s="212">
        <f>($E$8)*'ARP Timing'!Q$16</f>
        <v>0</v>
      </c>
      <c r="U49" s="212">
        <f>($E$8)*'ARP Timing'!R$16</f>
        <v>0</v>
      </c>
      <c r="V49" s="212">
        <f>($E$8)*'ARP Timing'!S$16</f>
        <v>0</v>
      </c>
    </row>
    <row r="50" spans="1:22" s="212" customFormat="1" x14ac:dyDescent="0.35">
      <c r="B50" s="317" t="s">
        <v>707</v>
      </c>
      <c r="C50" s="319"/>
      <c r="F50" s="212">
        <f>($F$8)*'ARP Timing'!C$17</f>
        <v>0</v>
      </c>
      <c r="G50" s="212">
        <f>($F$8)*'ARP Timing'!D$17</f>
        <v>0</v>
      </c>
      <c r="H50" s="212">
        <f>($F$8)*'ARP Timing'!E$17</f>
        <v>0</v>
      </c>
      <c r="I50" s="212">
        <f>($F$8)*'ARP Timing'!F$17</f>
        <v>0</v>
      </c>
      <c r="J50" s="212">
        <f>($F$8)*'ARP Timing'!G$17</f>
        <v>0</v>
      </c>
      <c r="K50" s="212">
        <f>($F$8)*'ARP Timing'!H$17</f>
        <v>0</v>
      </c>
      <c r="L50" s="212">
        <f>($F$8)*'ARP Timing'!I$17</f>
        <v>0</v>
      </c>
      <c r="M50" s="212">
        <f>($F$8)*'ARP Timing'!J$17</f>
        <v>0</v>
      </c>
      <c r="N50" s="212">
        <f>($F$8)*'ARP Timing'!K$17</f>
        <v>0</v>
      </c>
      <c r="O50" s="212">
        <f>($F$8)*'ARP Timing'!L$17</f>
        <v>0</v>
      </c>
      <c r="P50" s="212">
        <f>($F$8)*'ARP Timing'!M$17</f>
        <v>0</v>
      </c>
      <c r="Q50" s="212">
        <f>($F$8)*'ARP Timing'!N$17</f>
        <v>0</v>
      </c>
      <c r="R50" s="212">
        <f>($F$8)*'ARP Timing'!O$17</f>
        <v>0</v>
      </c>
      <c r="S50" s="212">
        <f>($F$8)*'ARP Timing'!P$17</f>
        <v>0</v>
      </c>
      <c r="T50" s="212">
        <f>($F$8)*'ARP Timing'!Q$17</f>
        <v>0</v>
      </c>
      <c r="U50" s="212">
        <f>($F$8)*'ARP Timing'!R$17</f>
        <v>0</v>
      </c>
      <c r="V50" s="212">
        <f>($F$8)*'ARP Timing'!S$17</f>
        <v>0</v>
      </c>
    </row>
    <row r="51" spans="1:22" s="212" customFormat="1" x14ac:dyDescent="0.35">
      <c r="A51" s="212">
        <v>2022</v>
      </c>
      <c r="B51" s="317" t="s">
        <v>704</v>
      </c>
      <c r="C51" s="319"/>
      <c r="G51" s="212">
        <f>($G$8)*'ARP Timing'!D$17</f>
        <v>0</v>
      </c>
      <c r="H51" s="212">
        <f>($G$8)*'ARP Timing'!E$17</f>
        <v>0</v>
      </c>
      <c r="I51" s="212">
        <f>($G$8)*'ARP Timing'!F$17</f>
        <v>0</v>
      </c>
      <c r="J51" s="212">
        <f>($G$8)*'ARP Timing'!G$17</f>
        <v>0</v>
      </c>
      <c r="K51" s="212">
        <f>($G$8)*'ARP Timing'!H$17</f>
        <v>0</v>
      </c>
      <c r="L51" s="212">
        <f>($G$8)*'ARP Timing'!I$17</f>
        <v>0</v>
      </c>
      <c r="M51" s="212">
        <f>($G$8)*'ARP Timing'!J$17</f>
        <v>0</v>
      </c>
      <c r="N51" s="212">
        <f>($G$8)*'ARP Timing'!K$17</f>
        <v>0</v>
      </c>
      <c r="O51" s="212">
        <f>($G$8)*'ARP Timing'!L$17</f>
        <v>0</v>
      </c>
      <c r="P51" s="212">
        <f>($G$8)*'ARP Timing'!M$17</f>
        <v>0</v>
      </c>
      <c r="Q51" s="212">
        <f>($G$8)*'ARP Timing'!N$17</f>
        <v>0</v>
      </c>
      <c r="R51" s="212">
        <f>($G$8)*'ARP Timing'!O$17</f>
        <v>0</v>
      </c>
      <c r="S51" s="212">
        <f>($G$8)*'ARP Timing'!P$17</f>
        <v>0</v>
      </c>
      <c r="T51" s="212">
        <f>($G$8)*'ARP Timing'!Q$17</f>
        <v>0</v>
      </c>
      <c r="U51" s="212">
        <f>($G$8)*'ARP Timing'!R$17</f>
        <v>0</v>
      </c>
      <c r="V51" s="212">
        <f>($G$8)*'ARP Timing'!S$17</f>
        <v>0</v>
      </c>
    </row>
    <row r="52" spans="1:22" s="212" customFormat="1" x14ac:dyDescent="0.35">
      <c r="B52" s="317" t="s">
        <v>705</v>
      </c>
      <c r="C52" s="319"/>
      <c r="H52" s="212">
        <f>($H$8)*'ARP Timing'!B$17</f>
        <v>0</v>
      </c>
      <c r="I52" s="212">
        <f>($H$8)*'ARP Timing'!C$17</f>
        <v>0</v>
      </c>
      <c r="J52" s="212">
        <f>($H$8)*'ARP Timing'!D$17</f>
        <v>23.080568000000003</v>
      </c>
      <c r="K52" s="212">
        <f>($H$8)*'ARP Timing'!E$17</f>
        <v>30.6641832</v>
      </c>
      <c r="L52" s="212">
        <f>($H$8)*'ARP Timing'!F$17</f>
        <v>39.566687999999999</v>
      </c>
      <c r="M52" s="212">
        <f>($H$8)*'ARP Timing'!G$17</f>
        <v>42.863911999999999</v>
      </c>
      <c r="N52" s="212">
        <f>($H$8)*'ARP Timing'!H$17</f>
        <v>32.972239999999999</v>
      </c>
      <c r="O52" s="212">
        <f>($H$8)*'ARP Timing'!I$17</f>
        <v>32.972239999999999</v>
      </c>
      <c r="P52" s="212">
        <f>($H$8)*'ARP Timing'!J$17</f>
        <v>39.566687999999999</v>
      </c>
      <c r="Q52" s="212">
        <f>($H$8)*'ARP Timing'!K$17</f>
        <v>39.566687999999999</v>
      </c>
      <c r="R52" s="212">
        <f>($H$8)*'ARP Timing'!L$17</f>
        <v>46.161136000000006</v>
      </c>
      <c r="S52" s="212">
        <f>($H$8)*'ARP Timing'!M$17</f>
        <v>46.161136000000006</v>
      </c>
      <c r="T52" s="212">
        <f>($H$8)*'ARP Timing'!N$17</f>
        <v>39.566687999999999</v>
      </c>
      <c r="U52" s="212">
        <f>($H$8)*'ARP Timing'!O$17</f>
        <v>39.566687999999999</v>
      </c>
      <c r="V52" s="212">
        <f>($H$8)*'ARP Timing'!P$17</f>
        <v>35.280296800000002</v>
      </c>
    </row>
    <row r="53" spans="1:22" s="212" customFormat="1" x14ac:dyDescent="0.35">
      <c r="B53" s="317" t="s">
        <v>706</v>
      </c>
      <c r="C53" s="319"/>
      <c r="H53" s="319"/>
      <c r="I53" s="212">
        <f>($I$8)*'ARP Timing'!B$17</f>
        <v>0</v>
      </c>
      <c r="J53" s="212">
        <f>($I$8)*'ARP Timing'!C$17</f>
        <v>0</v>
      </c>
      <c r="K53" s="212">
        <f>($I$8)*'ARP Timing'!D$17</f>
        <v>0</v>
      </c>
      <c r="L53" s="212">
        <f>($I$8)*'ARP Timing'!E$17</f>
        <v>0</v>
      </c>
      <c r="M53" s="212">
        <f>($I$8)*'ARP Timing'!F$17</f>
        <v>0</v>
      </c>
      <c r="N53" s="212">
        <f>($I$8)*'ARP Timing'!G$17</f>
        <v>0</v>
      </c>
      <c r="O53" s="212">
        <f>($I$8)*'ARP Timing'!H$17</f>
        <v>0</v>
      </c>
      <c r="P53" s="212">
        <f>($I$8)*'ARP Timing'!I$17</f>
        <v>0</v>
      </c>
      <c r="Q53" s="212">
        <f>($I$8)*'ARP Timing'!J$17</f>
        <v>0</v>
      </c>
      <c r="R53" s="212">
        <f>($I$8)*'ARP Timing'!K$17</f>
        <v>0</v>
      </c>
      <c r="S53" s="212">
        <f>($I$8)*'ARP Timing'!L$17</f>
        <v>0</v>
      </c>
      <c r="T53" s="212">
        <f>($I$8)*'ARP Timing'!M$17</f>
        <v>0</v>
      </c>
      <c r="U53" s="212">
        <f>($I$8)*'ARP Timing'!N$17</f>
        <v>0</v>
      </c>
      <c r="V53" s="212">
        <f>($I$8)*'ARP Timing'!O$17</f>
        <v>0</v>
      </c>
    </row>
    <row r="54" spans="1:22" s="212" customFormat="1" x14ac:dyDescent="0.35">
      <c r="B54" s="317" t="s">
        <v>707</v>
      </c>
      <c r="C54" s="319"/>
      <c r="H54" s="319"/>
    </row>
    <row r="55" spans="1:22" s="212" customFormat="1" x14ac:dyDescent="0.35">
      <c r="A55" s="212">
        <v>2023</v>
      </c>
      <c r="B55" s="317" t="s">
        <v>704</v>
      </c>
      <c r="C55" s="319"/>
      <c r="H55" s="319"/>
    </row>
    <row r="56" spans="1:22" s="212" customFormat="1" x14ac:dyDescent="0.35">
      <c r="B56" s="317" t="s">
        <v>705</v>
      </c>
      <c r="C56" s="319"/>
      <c r="H56" s="319"/>
    </row>
    <row r="57" spans="1:22" s="212" customFormat="1" x14ac:dyDescent="0.35">
      <c r="B57" s="317" t="s">
        <v>706</v>
      </c>
      <c r="C57" s="319"/>
      <c r="H57" s="319"/>
    </row>
    <row r="58" spans="1:22" s="212" customFormat="1" x14ac:dyDescent="0.35">
      <c r="B58" s="317" t="s">
        <v>707</v>
      </c>
      <c r="C58" s="319"/>
      <c r="H58" s="319"/>
    </row>
    <row r="59" spans="1:22" s="212" customFormat="1" x14ac:dyDescent="0.35">
      <c r="A59" s="212">
        <v>2024</v>
      </c>
      <c r="B59" s="317" t="s">
        <v>704</v>
      </c>
      <c r="C59" s="319"/>
      <c r="H59" s="319"/>
    </row>
    <row r="60" spans="1:22" s="212" customFormat="1" x14ac:dyDescent="0.35">
      <c r="B60" s="317" t="s">
        <v>705</v>
      </c>
      <c r="C60" s="319"/>
      <c r="H60" s="319"/>
    </row>
    <row r="61" spans="1:22" s="212" customFormat="1" x14ac:dyDescent="0.35">
      <c r="B61" s="317" t="s">
        <v>706</v>
      </c>
      <c r="C61" s="319"/>
      <c r="H61" s="319"/>
    </row>
    <row r="62" spans="1:22" s="212" customFormat="1" x14ac:dyDescent="0.35">
      <c r="B62" s="317" t="s">
        <v>707</v>
      </c>
      <c r="C62" s="319"/>
      <c r="H62" s="319"/>
    </row>
    <row r="63" spans="1:22" s="212" customFormat="1" x14ac:dyDescent="0.35">
      <c r="B63" s="317"/>
      <c r="C63" s="319"/>
      <c r="H63" s="319"/>
    </row>
    <row r="64" spans="1:22" s="212" customFormat="1" x14ac:dyDescent="0.35">
      <c r="B64" s="317"/>
      <c r="C64" s="319"/>
      <c r="H64" s="319"/>
    </row>
    <row r="65" spans="2:25" s="212" customFormat="1" x14ac:dyDescent="0.35">
      <c r="B65" s="317"/>
      <c r="C65" s="319"/>
      <c r="H65" s="319"/>
    </row>
    <row r="66" spans="2:25" s="212" customFormat="1" x14ac:dyDescent="0.35">
      <c r="B66" s="317"/>
      <c r="C66" s="319"/>
      <c r="H66" s="319"/>
    </row>
    <row r="67" spans="2:25" s="212" customFormat="1" x14ac:dyDescent="0.35">
      <c r="B67" s="317"/>
      <c r="C67" s="319"/>
      <c r="H67" s="319"/>
    </row>
    <row r="68" spans="2:25" s="212" customFormat="1" x14ac:dyDescent="0.35">
      <c r="B68" s="317"/>
      <c r="C68" s="319"/>
      <c r="H68" s="319"/>
    </row>
    <row r="69" spans="2:25" s="212" customFormat="1" x14ac:dyDescent="0.35">
      <c r="B69" s="317"/>
      <c r="C69" s="319"/>
      <c r="H69" s="319"/>
    </row>
    <row r="70" spans="2:25" s="212" customFormat="1" x14ac:dyDescent="0.35">
      <c r="B70" s="317"/>
      <c r="C70" s="319"/>
      <c r="H70" s="319"/>
    </row>
    <row r="71" spans="2:25" s="212" customFormat="1" x14ac:dyDescent="0.35">
      <c r="B71" s="317"/>
      <c r="C71" s="319"/>
      <c r="H71" s="319"/>
    </row>
    <row r="72" spans="2:25" s="212" customFormat="1" x14ac:dyDescent="0.35">
      <c r="B72" s="317"/>
      <c r="C72" s="319"/>
      <c r="H72" s="319"/>
    </row>
    <row r="73" spans="2:25" x14ac:dyDescent="0.35">
      <c r="B73" s="317" t="s">
        <v>541</v>
      </c>
      <c r="C73" s="324">
        <v>2021</v>
      </c>
      <c r="D73" s="315">
        <v>2022</v>
      </c>
      <c r="E73" s="315">
        <v>2023</v>
      </c>
      <c r="F73" s="315">
        <v>2024</v>
      </c>
      <c r="G73" s="315">
        <v>2025</v>
      </c>
      <c r="H73" s="319"/>
    </row>
    <row r="74" spans="2:25" x14ac:dyDescent="0.35">
      <c r="B74" s="317" t="s">
        <v>511</v>
      </c>
      <c r="C74" s="328">
        <f t="shared" ref="C74:C85" si="43">SUM(C4:E4)/4</f>
        <v>50.77600000000001</v>
      </c>
      <c r="D74" s="328">
        <f t="shared" ref="D74:D85" si="44">SUM(F4:I4)/4</f>
        <v>74.718999999999994</v>
      </c>
      <c r="E74" s="328">
        <f t="shared" ref="E74:E85" si="45">SUM(J4:M4)/4</f>
        <v>2.1159999999999997</v>
      </c>
      <c r="F74" s="328">
        <f t="shared" ref="F74:F85" si="46">SUM(N4:Q4)/4</f>
        <v>2.1789999999999998</v>
      </c>
      <c r="G74" s="328">
        <f t="shared" ref="G74:G85" si="47">SUM(R4:U4)/4</f>
        <v>2.33</v>
      </c>
    </row>
    <row r="75" spans="2:25" s="212" customFormat="1" x14ac:dyDescent="0.35">
      <c r="B75" s="317" t="s">
        <v>513</v>
      </c>
      <c r="C75" s="328">
        <f t="shared" si="43"/>
        <v>47.722000000000023</v>
      </c>
      <c r="D75" s="328">
        <f t="shared" si="44"/>
        <v>52.756999999999998</v>
      </c>
      <c r="E75" s="328">
        <f t="shared" si="45"/>
        <v>12</v>
      </c>
      <c r="F75" s="328">
        <f t="shared" si="46"/>
        <v>4.2219999999999995</v>
      </c>
      <c r="G75" s="328">
        <f t="shared" si="47"/>
        <v>2.3719999999999999</v>
      </c>
      <c r="H75" s="319"/>
    </row>
    <row r="76" spans="2:25" s="212" customFormat="1" x14ac:dyDescent="0.35">
      <c r="B76" s="317" t="s">
        <v>132</v>
      </c>
      <c r="C76" s="328">
        <f t="shared" si="43"/>
        <v>81.643000000000001</v>
      </c>
      <c r="D76" s="328">
        <f t="shared" si="44"/>
        <v>110.24799999999999</v>
      </c>
      <c r="E76" s="328">
        <f t="shared" si="45"/>
        <v>12.726000000000001</v>
      </c>
      <c r="F76" s="328">
        <f t="shared" si="46"/>
        <v>1.365</v>
      </c>
      <c r="G76" s="328">
        <f t="shared" si="47"/>
        <v>-0.90100000000000025</v>
      </c>
      <c r="H76" s="319"/>
      <c r="O76" s="317"/>
      <c r="P76" s="317"/>
      <c r="Q76" s="317"/>
      <c r="R76" s="317"/>
      <c r="S76" s="329"/>
      <c r="T76" s="329"/>
      <c r="U76" s="329"/>
      <c r="V76" s="318"/>
      <c r="W76" s="317"/>
      <c r="X76" s="317"/>
      <c r="Y76" s="330"/>
    </row>
    <row r="77" spans="2:25" s="212" customFormat="1" x14ac:dyDescent="0.35">
      <c r="B77" s="317" t="s">
        <v>512</v>
      </c>
      <c r="C77" s="328">
        <f t="shared" si="43"/>
        <v>7.798</v>
      </c>
      <c r="D77" s="328">
        <f t="shared" si="44"/>
        <v>7.9489999999999998</v>
      </c>
      <c r="E77" s="328">
        <f t="shared" si="45"/>
        <v>4.7519999999999998</v>
      </c>
      <c r="F77" s="328">
        <f t="shared" si="46"/>
        <v>4.637999999999999</v>
      </c>
      <c r="G77" s="328">
        <f t="shared" si="47"/>
        <v>1.8800000000000001</v>
      </c>
      <c r="H77" s="319"/>
      <c r="O77" s="330"/>
      <c r="P77" s="330"/>
      <c r="Q77" s="330"/>
      <c r="R77" s="330"/>
      <c r="S77" s="330"/>
      <c r="T77" s="330"/>
      <c r="U77" s="330"/>
      <c r="V77" s="330"/>
      <c r="W77" s="330"/>
      <c r="X77" s="330"/>
      <c r="Y77" s="330"/>
    </row>
    <row r="78" spans="2:25" x14ac:dyDescent="0.35">
      <c r="B78" s="321" t="s">
        <v>365</v>
      </c>
      <c r="C78" s="328">
        <f t="shared" si="43"/>
        <v>247.29179999999997</v>
      </c>
      <c r="D78" s="328">
        <f t="shared" si="44"/>
        <v>164.8612</v>
      </c>
      <c r="E78" s="328">
        <f t="shared" si="45"/>
        <v>0</v>
      </c>
      <c r="F78" s="328">
        <f t="shared" si="46"/>
        <v>0</v>
      </c>
      <c r="G78" s="328">
        <f t="shared" si="47"/>
        <v>0</v>
      </c>
      <c r="H78" s="319"/>
      <c r="O78" s="330"/>
      <c r="P78" s="330"/>
      <c r="Q78" s="330"/>
      <c r="R78" s="331"/>
      <c r="S78" s="331"/>
      <c r="T78" s="330"/>
      <c r="U78" s="330"/>
      <c r="V78" s="330"/>
      <c r="W78" s="330"/>
      <c r="X78" s="330"/>
      <c r="Y78" s="330"/>
    </row>
    <row r="79" spans="2:25" x14ac:dyDescent="0.35">
      <c r="B79" s="321" t="s">
        <v>288</v>
      </c>
      <c r="C79" s="328">
        <f t="shared" si="43"/>
        <v>12.347</v>
      </c>
      <c r="D79" s="328">
        <f t="shared" si="44"/>
        <v>46.79</v>
      </c>
      <c r="E79" s="328">
        <f t="shared" si="45"/>
        <v>38.595999999999997</v>
      </c>
      <c r="F79" s="328">
        <f t="shared" si="46"/>
        <v>31.911000000000001</v>
      </c>
      <c r="G79" s="328">
        <f t="shared" si="47"/>
        <v>23.099</v>
      </c>
      <c r="H79" s="319"/>
      <c r="R79" s="3"/>
      <c r="S79" s="3"/>
    </row>
    <row r="80" spans="2:25" x14ac:dyDescent="0.35">
      <c r="B80" s="321" t="s">
        <v>392</v>
      </c>
      <c r="C80" s="328">
        <f t="shared" si="43"/>
        <v>29.628</v>
      </c>
      <c r="D80" s="328">
        <f t="shared" si="44"/>
        <v>35.671000000000006</v>
      </c>
      <c r="E80" s="328">
        <f t="shared" si="45"/>
        <v>24.216000000000001</v>
      </c>
      <c r="F80" s="328">
        <f t="shared" si="46"/>
        <v>9.6430000000000007</v>
      </c>
      <c r="G80" s="328">
        <f t="shared" si="47"/>
        <v>4.5789999999999997</v>
      </c>
      <c r="H80" s="319"/>
      <c r="R80" s="3"/>
      <c r="S80" s="3"/>
    </row>
    <row r="81" spans="2:19" x14ac:dyDescent="0.35">
      <c r="B81" s="318" t="s">
        <v>530</v>
      </c>
      <c r="C81" s="328">
        <f t="shared" si="43"/>
        <v>25.75</v>
      </c>
      <c r="D81" s="328">
        <f t="shared" si="44"/>
        <v>0</v>
      </c>
      <c r="E81" s="328">
        <f t="shared" si="45"/>
        <v>0</v>
      </c>
      <c r="F81" s="328">
        <f t="shared" si="46"/>
        <v>0</v>
      </c>
      <c r="G81" s="328">
        <f t="shared" si="47"/>
        <v>0</v>
      </c>
      <c r="H81" s="319"/>
      <c r="R81" s="3"/>
      <c r="S81" s="3"/>
    </row>
    <row r="82" spans="2:19" x14ac:dyDescent="0.35">
      <c r="B82" s="317" t="s">
        <v>380</v>
      </c>
      <c r="C82" s="328">
        <f t="shared" si="43"/>
        <v>31.939</v>
      </c>
      <c r="D82" s="328">
        <f t="shared" si="44"/>
        <v>56.413000000000004</v>
      </c>
      <c r="E82" s="328">
        <f t="shared" si="45"/>
        <v>15.652999999999999</v>
      </c>
      <c r="F82" s="328">
        <f t="shared" si="46"/>
        <v>3.9320000000000004</v>
      </c>
      <c r="G82" s="328">
        <f t="shared" si="47"/>
        <v>-0.74299999999999988</v>
      </c>
      <c r="R82" s="3"/>
      <c r="S82" s="3"/>
    </row>
    <row r="83" spans="2:19" x14ac:dyDescent="0.35">
      <c r="B83" s="212" t="s">
        <v>549</v>
      </c>
      <c r="C83" s="328">
        <f t="shared" si="43"/>
        <v>1.02</v>
      </c>
      <c r="D83" s="328">
        <f t="shared" si="44"/>
        <v>1.5299999999999998</v>
      </c>
      <c r="E83" s="328">
        <f t="shared" si="45"/>
        <v>0</v>
      </c>
      <c r="F83" s="328">
        <f t="shared" si="46"/>
        <v>0</v>
      </c>
      <c r="G83" s="328">
        <f t="shared" si="47"/>
        <v>0</v>
      </c>
      <c r="R83" s="3"/>
      <c r="S83" s="3"/>
    </row>
    <row r="84" spans="2:19" s="212" customFormat="1" x14ac:dyDescent="0.35">
      <c r="B84" s="212" t="s">
        <v>550</v>
      </c>
      <c r="C84" s="328">
        <f t="shared" si="43"/>
        <v>0.68</v>
      </c>
      <c r="D84" s="328">
        <f t="shared" si="44"/>
        <v>1.02</v>
      </c>
      <c r="E84" s="328">
        <f t="shared" si="45"/>
        <v>0</v>
      </c>
      <c r="F84" s="328">
        <f t="shared" si="46"/>
        <v>0</v>
      </c>
      <c r="G84" s="328">
        <f t="shared" si="47"/>
        <v>0</v>
      </c>
      <c r="R84" s="3"/>
      <c r="S84" s="3"/>
    </row>
    <row r="85" spans="2:19" s="212" customFormat="1" x14ac:dyDescent="0.35">
      <c r="B85" s="212" t="s">
        <v>485</v>
      </c>
      <c r="C85" s="328">
        <f t="shared" si="43"/>
        <v>1.7</v>
      </c>
      <c r="D85" s="328">
        <f t="shared" si="44"/>
        <v>2.5499999999999998</v>
      </c>
      <c r="E85" s="328">
        <f t="shared" si="45"/>
        <v>0</v>
      </c>
      <c r="F85" s="328">
        <f t="shared" si="46"/>
        <v>0</v>
      </c>
      <c r="G85" s="328">
        <f t="shared" si="47"/>
        <v>0</v>
      </c>
      <c r="R85" s="3"/>
      <c r="S85" s="3"/>
    </row>
    <row r="86" spans="2:19" x14ac:dyDescent="0.35">
      <c r="B86" s="212"/>
      <c r="C86" s="315">
        <v>2021</v>
      </c>
      <c r="D86" s="315">
        <v>2022</v>
      </c>
      <c r="E86" s="315">
        <v>2023</v>
      </c>
      <c r="F86" s="315">
        <v>2024</v>
      </c>
      <c r="G86" s="315">
        <v>2025</v>
      </c>
      <c r="H86" s="212"/>
      <c r="I86" s="212"/>
      <c r="J86" s="212"/>
      <c r="K86" s="212"/>
      <c r="L86" s="212"/>
      <c r="M86" s="212"/>
      <c r="N86" s="212"/>
      <c r="R86" s="3"/>
      <c r="S86" s="3"/>
    </row>
    <row r="87" spans="2:19" x14ac:dyDescent="0.35">
      <c r="B87" s="212" t="s">
        <v>551</v>
      </c>
      <c r="C87" s="327">
        <f>SUM(C83:C85)</f>
        <v>3.4000000000000004</v>
      </c>
      <c r="D87" s="327">
        <f t="shared" ref="D87:G87" si="48">SUM(D83:D85)</f>
        <v>5.0999999999999996</v>
      </c>
      <c r="E87" s="327">
        <f t="shared" si="48"/>
        <v>0</v>
      </c>
      <c r="F87" s="327">
        <f t="shared" si="48"/>
        <v>0</v>
      </c>
      <c r="G87" s="327">
        <f t="shared" si="48"/>
        <v>0</v>
      </c>
      <c r="H87" s="212"/>
      <c r="I87" s="212"/>
      <c r="J87" s="212"/>
      <c r="K87" s="212"/>
      <c r="L87" s="212"/>
      <c r="M87" s="212"/>
      <c r="N87" s="212"/>
      <c r="R87" s="3"/>
      <c r="S87" s="3"/>
    </row>
    <row r="88" spans="2:19" x14ac:dyDescent="0.35">
      <c r="B88" s="212"/>
      <c r="C88" s="212"/>
      <c r="D88" s="212"/>
      <c r="E88" s="212"/>
      <c r="F88" s="212"/>
      <c r="G88" s="212"/>
      <c r="H88" s="212"/>
      <c r="I88" s="212"/>
      <c r="J88" s="212"/>
      <c r="K88" s="212"/>
      <c r="L88" s="212"/>
      <c r="M88" s="212"/>
      <c r="N88" s="212"/>
    </row>
    <row r="89" spans="2:19" x14ac:dyDescent="0.35">
      <c r="B89" s="212"/>
      <c r="C89" s="212"/>
      <c r="D89" s="212"/>
      <c r="E89" s="212"/>
      <c r="F89" s="212"/>
      <c r="G89" s="212"/>
      <c r="H89" s="212"/>
      <c r="I89" s="212"/>
      <c r="J89" s="212"/>
      <c r="K89" s="212"/>
      <c r="L89" s="212"/>
      <c r="M89" s="212"/>
      <c r="N89" s="212"/>
    </row>
    <row r="90" spans="2:19" x14ac:dyDescent="0.35">
      <c r="B90" s="212" t="s">
        <v>511</v>
      </c>
      <c r="C90" s="328">
        <v>26.636000000000024</v>
      </c>
      <c r="D90" s="328">
        <v>98.978999999999999</v>
      </c>
      <c r="E90" s="328">
        <v>2.1159999999999997</v>
      </c>
      <c r="F90" s="328">
        <v>2.1789999999999998</v>
      </c>
      <c r="G90" s="328">
        <v>2.33</v>
      </c>
      <c r="H90" s="328"/>
      <c r="I90" s="328"/>
      <c r="J90" s="328"/>
      <c r="K90" s="328"/>
      <c r="L90" s="328"/>
      <c r="M90" s="328"/>
      <c r="N90" s="212"/>
    </row>
    <row r="91" spans="2:19" x14ac:dyDescent="0.35">
      <c r="B91" s="212" t="s">
        <v>513</v>
      </c>
      <c r="C91" s="328">
        <v>47.722000000000016</v>
      </c>
      <c r="D91" s="328">
        <v>52.756999999999998</v>
      </c>
      <c r="E91" s="328">
        <v>12</v>
      </c>
      <c r="F91" s="328">
        <v>4.2219999999999995</v>
      </c>
      <c r="G91" s="328">
        <v>2.3719999999999999</v>
      </c>
      <c r="H91" s="328"/>
      <c r="I91" s="328"/>
      <c r="J91" s="328"/>
      <c r="K91" s="328"/>
      <c r="L91" s="328"/>
      <c r="M91" s="328"/>
      <c r="N91" s="212"/>
    </row>
    <row r="92" spans="2:19" x14ac:dyDescent="0.35">
      <c r="B92" s="212" t="s">
        <v>132</v>
      </c>
      <c r="C92" s="328">
        <v>81.842999999999989</v>
      </c>
      <c r="D92" s="328">
        <v>110.24799999999999</v>
      </c>
      <c r="E92" s="328">
        <v>12.726000000000001</v>
      </c>
      <c r="F92" s="328">
        <v>1.365</v>
      </c>
      <c r="G92" s="328">
        <v>-0.90100000000000025</v>
      </c>
      <c r="H92" s="328"/>
      <c r="I92" s="328"/>
      <c r="J92" s="328"/>
      <c r="K92" s="328"/>
      <c r="L92" s="328"/>
      <c r="M92" s="328"/>
      <c r="N92" s="212"/>
    </row>
    <row r="93" spans="2:19" x14ac:dyDescent="0.35">
      <c r="B93" s="212" t="s">
        <v>512</v>
      </c>
      <c r="C93" s="328">
        <v>7.798</v>
      </c>
      <c r="D93" s="328">
        <v>7.9489999999999998</v>
      </c>
      <c r="E93" s="328">
        <v>4.7519999999999998</v>
      </c>
      <c r="F93" s="328">
        <v>4.637999999999999</v>
      </c>
      <c r="G93" s="328">
        <v>1.8800000000000001</v>
      </c>
      <c r="H93" s="328"/>
      <c r="I93" s="328"/>
      <c r="J93" s="328"/>
      <c r="K93" s="328"/>
      <c r="L93" s="328"/>
      <c r="M93" s="328"/>
      <c r="N93" s="212"/>
    </row>
    <row r="94" spans="2:19" x14ac:dyDescent="0.35">
      <c r="B94" s="49" t="s">
        <v>365</v>
      </c>
      <c r="C94" s="328">
        <v>283.95749999999998</v>
      </c>
      <c r="D94" s="328">
        <v>77.092500000000001</v>
      </c>
      <c r="E94" s="328">
        <v>1</v>
      </c>
      <c r="F94" s="328">
        <v>0</v>
      </c>
      <c r="G94" s="328">
        <v>0</v>
      </c>
      <c r="H94" s="328"/>
      <c r="I94" s="328"/>
      <c r="J94" s="328"/>
      <c r="K94" s="328"/>
      <c r="L94" s="328"/>
      <c r="M94" s="328"/>
      <c r="N94" s="212"/>
    </row>
    <row r="95" spans="2:19" x14ac:dyDescent="0.35">
      <c r="B95" s="49" t="s">
        <v>288</v>
      </c>
      <c r="C95" s="328">
        <v>12.347</v>
      </c>
      <c r="D95" s="328">
        <v>46.79</v>
      </c>
      <c r="E95" s="328">
        <v>38.595999999999997</v>
      </c>
      <c r="F95" s="328">
        <v>31.911000000000001</v>
      </c>
      <c r="G95" s="328">
        <v>23.099</v>
      </c>
      <c r="H95" s="328"/>
      <c r="I95" s="328"/>
      <c r="J95" s="328"/>
      <c r="K95" s="328"/>
      <c r="L95" s="328"/>
      <c r="M95" s="328"/>
      <c r="N95" s="212"/>
    </row>
    <row r="96" spans="2:19" x14ac:dyDescent="0.35">
      <c r="B96" s="49" t="s">
        <v>392</v>
      </c>
      <c r="C96" s="328">
        <v>2.286</v>
      </c>
      <c r="D96" s="328">
        <v>4.6049999999999995</v>
      </c>
      <c r="E96" s="328">
        <v>1.349</v>
      </c>
      <c r="F96" s="328">
        <v>0.441</v>
      </c>
      <c r="G96" s="328">
        <v>0.313</v>
      </c>
      <c r="H96" s="328"/>
      <c r="I96" s="328"/>
      <c r="J96" s="328"/>
      <c r="K96" s="328"/>
      <c r="L96" s="328"/>
      <c r="M96" s="328"/>
      <c r="N96" s="212"/>
    </row>
    <row r="97" spans="2:14" x14ac:dyDescent="0.35">
      <c r="B97" s="49" t="s">
        <v>530</v>
      </c>
      <c r="C97" s="328">
        <v>25.75</v>
      </c>
      <c r="D97" s="328">
        <v>0</v>
      </c>
      <c r="E97" s="328">
        <v>0</v>
      </c>
      <c r="F97" s="328">
        <v>0</v>
      </c>
      <c r="G97" s="328">
        <v>0</v>
      </c>
      <c r="H97" s="328"/>
      <c r="I97" s="328"/>
      <c r="J97" s="328"/>
      <c r="K97" s="328"/>
      <c r="L97" s="328"/>
      <c r="M97" s="328"/>
      <c r="N97" s="212"/>
    </row>
    <row r="98" spans="2:14" x14ac:dyDescent="0.35">
      <c r="B98" s="49" t="s">
        <v>380</v>
      </c>
      <c r="C98" s="328">
        <v>60.441000000000003</v>
      </c>
      <c r="D98" s="328">
        <v>91.678999999999988</v>
      </c>
      <c r="E98" s="328">
        <v>41.220000000000006</v>
      </c>
      <c r="F98" s="328">
        <v>14.004000000000003</v>
      </c>
      <c r="G98" s="328">
        <v>3.8530000000000006</v>
      </c>
      <c r="H98" s="328"/>
      <c r="I98" s="328"/>
      <c r="J98" s="328"/>
      <c r="K98" s="328"/>
      <c r="L98" s="328"/>
      <c r="M98" s="328"/>
      <c r="N98" s="212"/>
    </row>
    <row r="99" spans="2:14" x14ac:dyDescent="0.35">
      <c r="C99" s="315">
        <v>3.4</v>
      </c>
      <c r="D99" s="315">
        <v>5.0999999999999996</v>
      </c>
      <c r="E99" s="315">
        <v>0</v>
      </c>
      <c r="F99" s="315">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12" bestFit="1" customWidth="1"/>
    <col min="2" max="16384" width="10.81640625" style="212"/>
  </cols>
  <sheetData>
    <row r="1" spans="1:23" x14ac:dyDescent="0.35">
      <c r="B1" s="212" t="s">
        <v>146</v>
      </c>
      <c r="C1" s="212" t="s">
        <v>147</v>
      </c>
      <c r="D1" s="212" t="s">
        <v>148</v>
      </c>
      <c r="E1" s="212" t="s">
        <v>149</v>
      </c>
      <c r="F1" s="212" t="s">
        <v>150</v>
      </c>
      <c r="G1" s="212" t="s">
        <v>151</v>
      </c>
      <c r="H1" s="212" t="s">
        <v>152</v>
      </c>
      <c r="I1" s="212" t="s">
        <v>153</v>
      </c>
      <c r="J1" s="212" t="s">
        <v>154</v>
      </c>
      <c r="K1" s="212" t="s">
        <v>155</v>
      </c>
      <c r="L1" s="212" t="s">
        <v>156</v>
      </c>
      <c r="M1" s="212" t="s">
        <v>157</v>
      </c>
      <c r="N1" s="212" t="s">
        <v>158</v>
      </c>
      <c r="O1" s="212" t="s">
        <v>159</v>
      </c>
      <c r="P1" s="212" t="s">
        <v>160</v>
      </c>
      <c r="Q1" s="212" t="s">
        <v>161</v>
      </c>
      <c r="R1" s="212" t="s">
        <v>162</v>
      </c>
      <c r="S1" s="212" t="s">
        <v>163</v>
      </c>
      <c r="T1" s="212" t="s">
        <v>164</v>
      </c>
      <c r="U1" s="212" t="s">
        <v>165</v>
      </c>
      <c r="V1" s="212" t="s">
        <v>166</v>
      </c>
      <c r="W1" s="212" t="s">
        <v>167</v>
      </c>
    </row>
    <row r="2" spans="1:23" x14ac:dyDescent="0.35">
      <c r="A2" s="212" t="s">
        <v>456</v>
      </c>
      <c r="B2" s="239">
        <v>112.989</v>
      </c>
      <c r="C2" s="239">
        <v>113.38</v>
      </c>
      <c r="D2" s="239">
        <v>112.86</v>
      </c>
      <c r="E2" s="239">
        <v>113.83799999999999</v>
      </c>
      <c r="F2" s="239">
        <v>114.41500000000001</v>
      </c>
      <c r="G2" s="239">
        <v>115.613</v>
      </c>
      <c r="H2" s="239">
        <v>116.079929684229</v>
      </c>
      <c r="I2" s="239">
        <v>116.665860886253</v>
      </c>
      <c r="J2" s="239">
        <v>117.173130068039</v>
      </c>
      <c r="K2" s="239">
        <v>117.776205556525</v>
      </c>
      <c r="L2" s="239">
        <v>118.328856673063</v>
      </c>
      <c r="M2" s="239">
        <v>118.891592663992</v>
      </c>
      <c r="N2" s="239">
        <v>119.478532353454</v>
      </c>
      <c r="O2" s="239">
        <v>120.061438093161</v>
      </c>
      <c r="P2" s="239">
        <v>120.658462657013</v>
      </c>
      <c r="Q2" s="239">
        <v>121.265572095255</v>
      </c>
      <c r="R2" s="239">
        <v>121.88982581995801</v>
      </c>
      <c r="S2" s="239">
        <v>122.528198368807</v>
      </c>
      <c r="T2" s="239">
        <v>123.170604867411</v>
      </c>
      <c r="U2" s="239">
        <v>123.820070778088</v>
      </c>
      <c r="V2" s="239">
        <v>124.47558761339801</v>
      </c>
      <c r="W2" s="239">
        <v>125.131104448709</v>
      </c>
    </row>
    <row r="3" spans="1:23" x14ac:dyDescent="0.35">
      <c r="A3" s="212" t="s">
        <v>455</v>
      </c>
      <c r="B3" s="242">
        <v>3.4368838919380802E-3</v>
      </c>
      <c r="C3" s="242">
        <v>3.4605138553309698E-3</v>
      </c>
      <c r="D3" s="242">
        <v>-4.5863467983771099E-3</v>
      </c>
      <c r="E3" s="242">
        <v>8.6656034024454893E-3</v>
      </c>
      <c r="F3" s="242">
        <v>5.0686062650433499E-3</v>
      </c>
      <c r="G3" s="242">
        <v>1.04706550714504E-2</v>
      </c>
      <c r="H3" s="242">
        <v>4.0387299371946704E-3</v>
      </c>
      <c r="I3" s="242">
        <v>5.0476529716862997E-3</v>
      </c>
      <c r="J3" s="242">
        <v>4.3480515888107999E-3</v>
      </c>
      <c r="K3" s="242">
        <v>5.1468752958592203E-3</v>
      </c>
      <c r="L3" s="242">
        <v>4.6923834396541703E-3</v>
      </c>
      <c r="M3" s="242">
        <v>4.7556953286800301E-3</v>
      </c>
      <c r="N3" s="242">
        <v>4.9367636206325604E-3</v>
      </c>
      <c r="O3" s="242">
        <v>4.8787487444397204E-3</v>
      </c>
      <c r="P3" s="242">
        <v>4.97265877649067E-3</v>
      </c>
      <c r="Q3" s="242">
        <v>5.03163578312149E-3</v>
      </c>
      <c r="R3" s="242">
        <v>5.1478231943116199E-3</v>
      </c>
      <c r="S3" s="242">
        <v>5.23729150119134E-3</v>
      </c>
      <c r="T3" s="242">
        <v>5.2429278089169999E-3</v>
      </c>
      <c r="U3" s="242">
        <v>5.2728969820035098E-3</v>
      </c>
      <c r="V3" s="242">
        <v>5.2941080649626703E-3</v>
      </c>
      <c r="W3" s="242">
        <v>5.26622808438937E-3</v>
      </c>
    </row>
    <row r="4" spans="1:23" x14ac:dyDescent="0.35">
      <c r="A4" s="212" t="s">
        <v>454</v>
      </c>
      <c r="B4" s="239">
        <v>110.529</v>
      </c>
      <c r="C4" s="239">
        <v>110.88200000000001</v>
      </c>
      <c r="D4" s="239">
        <v>110.435</v>
      </c>
      <c r="E4" s="239">
        <v>111.431</v>
      </c>
      <c r="F4" s="239">
        <v>111.83499999999999</v>
      </c>
      <c r="G4" s="239">
        <v>112.864</v>
      </c>
      <c r="H4" s="239">
        <v>113.331748734778</v>
      </c>
      <c r="I4" s="239">
        <v>113.915555194576</v>
      </c>
      <c r="J4" s="239">
        <v>114.364746923467</v>
      </c>
      <c r="K4" s="239">
        <v>114.924235646865</v>
      </c>
      <c r="L4" s="239">
        <v>115.440791354819</v>
      </c>
      <c r="M4" s="239">
        <v>115.96851279450701</v>
      </c>
      <c r="N4" s="239">
        <v>116.52210368492899</v>
      </c>
      <c r="O4" s="239">
        <v>117.071115307263</v>
      </c>
      <c r="P4" s="239">
        <v>117.63129076657199</v>
      </c>
      <c r="Q4" s="239">
        <v>118.20059915499699</v>
      </c>
      <c r="R4" s="239">
        <v>118.776332952822</v>
      </c>
      <c r="S4" s="239">
        <v>119.374397493133</v>
      </c>
      <c r="T4" s="239">
        <v>119.981640842685</v>
      </c>
      <c r="U4" s="239">
        <v>120.594864779056</v>
      </c>
      <c r="V4" s="239">
        <v>121.219127553946</v>
      </c>
      <c r="W4" s="239">
        <v>121.837226137653</v>
      </c>
    </row>
    <row r="5" spans="1:23" x14ac:dyDescent="0.35">
      <c r="A5" s="212" t="s">
        <v>453</v>
      </c>
      <c r="B5" s="242">
        <v>3.82351872706788E-3</v>
      </c>
      <c r="C5" s="242">
        <v>3.1937319617476598E-3</v>
      </c>
      <c r="D5" s="242">
        <v>-4.0313125665121198E-3</v>
      </c>
      <c r="E5" s="242">
        <v>9.0188798840946695E-3</v>
      </c>
      <c r="F5" s="242">
        <v>3.6255620069818302E-3</v>
      </c>
      <c r="G5" s="242">
        <v>9.2010551258552304E-3</v>
      </c>
      <c r="H5" s="242">
        <v>4.1443572332882104E-3</v>
      </c>
      <c r="I5" s="242">
        <v>5.1513054930816303E-3</v>
      </c>
      <c r="J5" s="242">
        <v>3.9431992244038901E-3</v>
      </c>
      <c r="K5" s="242">
        <v>4.8921432386195302E-3</v>
      </c>
      <c r="L5" s="242">
        <v>4.49474999808697E-3</v>
      </c>
      <c r="M5" s="242">
        <v>4.5713602054786601E-3</v>
      </c>
      <c r="N5" s="242">
        <v>4.7736310234707301E-3</v>
      </c>
      <c r="O5" s="242">
        <v>4.7116521670327299E-3</v>
      </c>
      <c r="P5" s="242">
        <v>4.7849160558435201E-3</v>
      </c>
      <c r="Q5" s="242">
        <v>4.8397699686470999E-3</v>
      </c>
      <c r="R5" s="242">
        <v>4.87081962308911E-3</v>
      </c>
      <c r="S5" s="242">
        <v>5.0352164058453698E-3</v>
      </c>
      <c r="T5" s="242">
        <v>5.0868809585997701E-3</v>
      </c>
      <c r="U5" s="242">
        <v>5.11098141402422E-3</v>
      </c>
      <c r="V5" s="242">
        <v>5.1765286692269097E-3</v>
      </c>
      <c r="W5" s="242">
        <v>5.0990185804744596E-3</v>
      </c>
    </row>
    <row r="6" spans="1:23" x14ac:dyDescent="0.35">
      <c r="A6" s="212" t="s">
        <v>452</v>
      </c>
      <c r="B6" s="239">
        <v>111.28100000000001</v>
      </c>
      <c r="C6" s="239">
        <v>111.205</v>
      </c>
      <c r="D6" s="239">
        <v>110.901</v>
      </c>
      <c r="E6" s="239">
        <v>111.373</v>
      </c>
      <c r="F6" s="239">
        <v>112.102</v>
      </c>
      <c r="G6" s="239">
        <v>113.15</v>
      </c>
      <c r="H6" s="239">
        <v>113.740871678471</v>
      </c>
      <c r="I6" s="239">
        <v>114.281152336175</v>
      </c>
      <c r="J6" s="239">
        <v>114.807363360671</v>
      </c>
      <c r="K6" s="239">
        <v>115.391332330529</v>
      </c>
      <c r="L6" s="239">
        <v>115.906636484177</v>
      </c>
      <c r="M6" s="239">
        <v>116.47813120061301</v>
      </c>
      <c r="N6" s="239">
        <v>117.06948406540501</v>
      </c>
      <c r="O6" s="239">
        <v>117.660979705042</v>
      </c>
      <c r="P6" s="239">
        <v>118.263437866774</v>
      </c>
      <c r="Q6" s="239">
        <v>118.87469011020799</v>
      </c>
      <c r="R6" s="239">
        <v>119.499263080446</v>
      </c>
      <c r="S6" s="239">
        <v>120.12606865428199</v>
      </c>
      <c r="T6" s="239">
        <v>120.750798876066</v>
      </c>
      <c r="U6" s="239">
        <v>121.383984751452</v>
      </c>
      <c r="V6" s="239">
        <v>122.03331038248599</v>
      </c>
      <c r="W6" s="239">
        <v>122.676475823877</v>
      </c>
    </row>
    <row r="7" spans="1:23" x14ac:dyDescent="0.35">
      <c r="A7" s="212" t="s">
        <v>451</v>
      </c>
      <c r="B7" s="242">
        <v>3.24555314142505E-3</v>
      </c>
      <c r="C7" s="242">
        <v>-6.8295576064203401E-4</v>
      </c>
      <c r="D7" s="242">
        <v>-2.7336900319230302E-3</v>
      </c>
      <c r="E7" s="242">
        <v>4.2560481871218902E-3</v>
      </c>
      <c r="F7" s="242">
        <v>6.5455720865918998E-3</v>
      </c>
      <c r="G7" s="242">
        <v>9.3486289272271001E-3</v>
      </c>
      <c r="H7" s="242">
        <v>5.2220210205149399E-3</v>
      </c>
      <c r="I7" s="242">
        <v>4.7501012585042801E-3</v>
      </c>
      <c r="J7" s="242">
        <v>4.6045302636466001E-3</v>
      </c>
      <c r="K7" s="242">
        <v>5.08651146376282E-3</v>
      </c>
      <c r="L7" s="242">
        <v>4.4657093669009402E-3</v>
      </c>
      <c r="M7" s="242">
        <v>4.93064706017576E-3</v>
      </c>
      <c r="N7" s="242">
        <v>5.07694327421948E-3</v>
      </c>
      <c r="O7" s="242">
        <v>5.0525176937379302E-3</v>
      </c>
      <c r="P7" s="242">
        <v>5.1202885038195102E-3</v>
      </c>
      <c r="Q7" s="242">
        <v>5.1685648114068198E-3</v>
      </c>
      <c r="R7" s="242">
        <v>5.2540449919040704E-3</v>
      </c>
      <c r="S7" s="242">
        <v>5.2452672734406604E-3</v>
      </c>
      <c r="T7" s="242">
        <v>5.2006215535225202E-3</v>
      </c>
      <c r="U7" s="242">
        <v>5.2437406731884496E-3</v>
      </c>
      <c r="V7" s="242">
        <v>5.3493517482039498E-3</v>
      </c>
      <c r="W7" s="242">
        <v>5.2704088693051902E-3</v>
      </c>
    </row>
    <row r="8" spans="1:23" x14ac:dyDescent="0.35">
      <c r="A8" s="212" t="s">
        <v>450</v>
      </c>
      <c r="B8" s="239">
        <v>115.81100000000001</v>
      </c>
      <c r="C8" s="239">
        <v>116.688</v>
      </c>
      <c r="D8" s="239">
        <v>115.96899999999999</v>
      </c>
      <c r="E8" s="239">
        <v>116.889</v>
      </c>
      <c r="F8" s="239">
        <v>117.727</v>
      </c>
      <c r="G8" s="239">
        <v>119.875</v>
      </c>
      <c r="H8" s="239">
        <v>120.76873975873001</v>
      </c>
      <c r="I8" s="239">
        <v>121.552279732736</v>
      </c>
      <c r="J8" s="239">
        <v>122.340256590244</v>
      </c>
      <c r="K8" s="239">
        <v>123.25721026709</v>
      </c>
      <c r="L8" s="239">
        <v>124.206114070071</v>
      </c>
      <c r="M8" s="239">
        <v>125.17969366017699</v>
      </c>
      <c r="N8" s="239">
        <v>126.18181722618</v>
      </c>
      <c r="O8" s="239">
        <v>127.184679442917</v>
      </c>
      <c r="P8" s="239">
        <v>128.20678945908199</v>
      </c>
      <c r="Q8" s="239">
        <v>129.23804458913099</v>
      </c>
      <c r="R8" s="239">
        <v>130.283856199566</v>
      </c>
      <c r="S8" s="239">
        <v>131.336805862246</v>
      </c>
      <c r="T8" s="239">
        <v>132.40388083176001</v>
      </c>
      <c r="U8" s="239">
        <v>133.47650409411</v>
      </c>
      <c r="V8" s="239">
        <v>134.564804617167</v>
      </c>
      <c r="W8" s="239">
        <v>135.654176919939</v>
      </c>
    </row>
    <row r="9" spans="1:23" x14ac:dyDescent="0.35">
      <c r="A9" s="212" t="s">
        <v>449</v>
      </c>
      <c r="B9" s="242">
        <v>4.7630615467371103E-3</v>
      </c>
      <c r="C9" s="242">
        <v>7.57268307846393E-3</v>
      </c>
      <c r="D9" s="242">
        <v>-6.1617304264364198E-3</v>
      </c>
      <c r="E9" s="242">
        <v>7.9331545499228308E-3</v>
      </c>
      <c r="F9" s="242">
        <v>7.1691947060887901E-3</v>
      </c>
      <c r="G9" s="242">
        <v>1.8245602113363901E-2</v>
      </c>
      <c r="H9" s="242">
        <v>7.4555975702150796E-3</v>
      </c>
      <c r="I9" s="242">
        <v>6.4879369907486798E-3</v>
      </c>
      <c r="J9" s="242">
        <v>6.4826168562215304E-3</v>
      </c>
      <c r="K9" s="242">
        <v>7.4951099695452798E-3</v>
      </c>
      <c r="L9" s="242">
        <v>7.6985662820430196E-3</v>
      </c>
      <c r="M9" s="242">
        <v>7.8384192066154306E-3</v>
      </c>
      <c r="N9" s="242">
        <v>8.0054802556355203E-3</v>
      </c>
      <c r="O9" s="242">
        <v>7.9477553801552397E-3</v>
      </c>
      <c r="P9" s="242">
        <v>8.0364240460568705E-3</v>
      </c>
      <c r="Q9" s="242">
        <v>8.0436857860606299E-3</v>
      </c>
      <c r="R9" s="242">
        <v>8.0921342764015396E-3</v>
      </c>
      <c r="S9" s="242">
        <v>8.0819657430741803E-3</v>
      </c>
      <c r="T9" s="242">
        <v>8.1247214937825198E-3</v>
      </c>
      <c r="U9" s="242">
        <v>8.1011467006266696E-3</v>
      </c>
      <c r="V9" s="242">
        <v>8.1534988531763997E-3</v>
      </c>
      <c r="W9" s="242">
        <v>8.0955217515532602E-3</v>
      </c>
    </row>
    <row r="10" spans="1:23" x14ac:dyDescent="0.35">
      <c r="A10" s="212" t="s">
        <v>448</v>
      </c>
      <c r="B10" s="239">
        <v>115.65</v>
      </c>
      <c r="C10" s="239">
        <v>116.628</v>
      </c>
      <c r="D10" s="239">
        <v>115.81100000000001</v>
      </c>
      <c r="E10" s="239">
        <v>116.685</v>
      </c>
      <c r="F10" s="239">
        <v>117.64700000000001</v>
      </c>
      <c r="G10" s="239">
        <v>119.90600000000001</v>
      </c>
      <c r="H10" s="239">
        <v>120.799970882254</v>
      </c>
      <c r="I10" s="239">
        <v>121.583713481823</v>
      </c>
      <c r="J10" s="239">
        <v>122.37189411228201</v>
      </c>
      <c r="K10" s="239">
        <v>123.28908491583501</v>
      </c>
      <c r="L10" s="239">
        <v>124.23823410791201</v>
      </c>
      <c r="M10" s="239">
        <v>125.21206546833901</v>
      </c>
      <c r="N10" s="239">
        <v>126.214448186213</v>
      </c>
      <c r="O10" s="239">
        <v>127.217569745839</v>
      </c>
      <c r="P10" s="239">
        <v>128.23994408242501</v>
      </c>
      <c r="Q10" s="239">
        <v>129.27146589784601</v>
      </c>
      <c r="R10" s="239">
        <v>130.31754795799901</v>
      </c>
      <c r="S10" s="239">
        <v>131.37076991631699</v>
      </c>
      <c r="T10" s="239">
        <v>132.43812083431101</v>
      </c>
      <c r="U10" s="239">
        <v>133.51102147994499</v>
      </c>
      <c r="V10" s="239">
        <v>134.599603440468</v>
      </c>
      <c r="W10" s="239">
        <v>135.68925745787101</v>
      </c>
    </row>
    <row r="11" spans="1:23" x14ac:dyDescent="0.35">
      <c r="A11" s="212" t="s">
        <v>447</v>
      </c>
      <c r="B11" s="242">
        <v>5.5909640282765204E-3</v>
      </c>
      <c r="C11" s="242">
        <v>8.4565499351492192E-3</v>
      </c>
      <c r="D11" s="242">
        <v>-7.0051788592789804E-3</v>
      </c>
      <c r="E11" s="242">
        <v>7.5467788033951599E-3</v>
      </c>
      <c r="F11" s="242">
        <v>8.2444187341990105E-3</v>
      </c>
      <c r="G11" s="242">
        <v>1.9201509600754701E-2</v>
      </c>
      <c r="H11" s="242">
        <v>7.4555975702150796E-3</v>
      </c>
      <c r="I11" s="242">
        <v>6.4879369907486798E-3</v>
      </c>
      <c r="J11" s="242">
        <v>6.4826168562215304E-3</v>
      </c>
      <c r="K11" s="242">
        <v>7.4951099695452798E-3</v>
      </c>
      <c r="L11" s="242">
        <v>7.6985662820430196E-3</v>
      </c>
      <c r="M11" s="242">
        <v>7.8384192066154306E-3</v>
      </c>
      <c r="N11" s="242">
        <v>8.0054802556355203E-3</v>
      </c>
      <c r="O11" s="242">
        <v>7.9477553801552397E-3</v>
      </c>
      <c r="P11" s="242">
        <v>8.0364240460568705E-3</v>
      </c>
      <c r="Q11" s="242">
        <v>8.0436857860606299E-3</v>
      </c>
      <c r="R11" s="242">
        <v>8.0921342764015396E-3</v>
      </c>
      <c r="S11" s="242">
        <v>8.0819657430741803E-3</v>
      </c>
      <c r="T11" s="242">
        <v>8.1247214937825198E-3</v>
      </c>
      <c r="U11" s="242">
        <v>8.1011467006266696E-3</v>
      </c>
      <c r="V11" s="242">
        <v>8.1534988531763997E-3</v>
      </c>
      <c r="W11" s="242">
        <v>8.0955217515532602E-3</v>
      </c>
    </row>
    <row r="12" spans="1:23" x14ac:dyDescent="0.35">
      <c r="A12" s="212" t="s">
        <v>446</v>
      </c>
      <c r="B12" s="239">
        <v>116.521</v>
      </c>
      <c r="C12" s="239">
        <v>116.961</v>
      </c>
      <c r="D12" s="239">
        <v>116.655</v>
      </c>
      <c r="E12" s="239">
        <v>117.77500000000001</v>
      </c>
      <c r="F12" s="239">
        <v>118.093</v>
      </c>
      <c r="G12" s="239">
        <v>119.773</v>
      </c>
      <c r="H12" s="239">
        <v>120.66597928777701</v>
      </c>
      <c r="I12" s="239">
        <v>121.448852558323</v>
      </c>
      <c r="J12" s="239">
        <v>122.236158937087</v>
      </c>
      <c r="K12" s="239">
        <v>123.152332390575</v>
      </c>
      <c r="L12" s="239">
        <v>124.100428784272</v>
      </c>
      <c r="M12" s="239">
        <v>125.073179968804</v>
      </c>
      <c r="N12" s="239">
        <v>126.074450841554</v>
      </c>
      <c r="O12" s="239">
        <v>127.07645973653</v>
      </c>
      <c r="P12" s="239">
        <v>128.09770005324401</v>
      </c>
      <c r="Q12" s="239">
        <v>129.12807770238999</v>
      </c>
      <c r="R12" s="239">
        <v>130.172999446011</v>
      </c>
      <c r="S12" s="239">
        <v>131.22505316820701</v>
      </c>
      <c r="T12" s="239">
        <v>132.29122017820501</v>
      </c>
      <c r="U12" s="239">
        <v>133.36293076007399</v>
      </c>
      <c r="V12" s="239">
        <v>134.45030526308199</v>
      </c>
      <c r="W12" s="239">
        <v>135.53875063384299</v>
      </c>
    </row>
    <row r="13" spans="1:23" x14ac:dyDescent="0.35">
      <c r="A13" s="212" t="s">
        <v>445</v>
      </c>
      <c r="B13" s="242">
        <v>1.11692484814108E-3</v>
      </c>
      <c r="C13" s="242">
        <v>3.7761433561331898E-3</v>
      </c>
      <c r="D13" s="242">
        <v>-2.6162567009515602E-3</v>
      </c>
      <c r="E13" s="242">
        <v>9.6009600960096399E-3</v>
      </c>
      <c r="F13" s="242">
        <v>2.7000636807472701E-3</v>
      </c>
      <c r="G13" s="242">
        <v>1.42260760586994E-2</v>
      </c>
      <c r="H13" s="242">
        <v>7.4555975702150796E-3</v>
      </c>
      <c r="I13" s="242">
        <v>6.4879369907486798E-3</v>
      </c>
      <c r="J13" s="242">
        <v>6.4826168562215304E-3</v>
      </c>
      <c r="K13" s="242">
        <v>7.4951099695452798E-3</v>
      </c>
      <c r="L13" s="242">
        <v>7.6985662820430196E-3</v>
      </c>
      <c r="M13" s="242">
        <v>7.8384192066154306E-3</v>
      </c>
      <c r="N13" s="242">
        <v>8.0054802556355203E-3</v>
      </c>
      <c r="O13" s="242">
        <v>7.9477553801552397E-3</v>
      </c>
      <c r="P13" s="242">
        <v>8.0364240460568705E-3</v>
      </c>
      <c r="Q13" s="242">
        <v>8.0436857860606299E-3</v>
      </c>
      <c r="R13" s="242">
        <v>8.0921342764015396E-3</v>
      </c>
      <c r="S13" s="242">
        <v>8.0819657430741803E-3</v>
      </c>
      <c r="T13" s="242">
        <v>8.1247214937825198E-3</v>
      </c>
      <c r="U13" s="242">
        <v>8.1011467006266696E-3</v>
      </c>
      <c r="V13" s="242">
        <v>8.1534988531763997E-3</v>
      </c>
      <c r="W13" s="242">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4" activePane="bottomLeft" state="frozen"/>
      <selection pane="bottomLeft" activeCell="C6" sqref="C6"/>
    </sheetView>
  </sheetViews>
  <sheetFormatPr defaultColWidth="8.6328125" defaultRowHeight="14.5" x14ac:dyDescent="0.35"/>
  <cols>
    <col min="1" max="1" width="27" style="561" customWidth="1"/>
    <col min="2" max="2" width="109.36328125" style="26" customWidth="1"/>
    <col min="3" max="3" width="47" style="561" customWidth="1"/>
    <col min="4" max="4" width="18.81640625" style="561" customWidth="1"/>
    <col min="5" max="5" width="58.81640625" style="561" customWidth="1"/>
    <col min="6" max="6" width="33.1796875" style="561" customWidth="1"/>
    <col min="7" max="16384" width="8.6328125" style="561"/>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28" customFormat="1" ht="80" customHeight="1" x14ac:dyDescent="0.35">
      <c r="A3" s="26" t="s">
        <v>1124</v>
      </c>
      <c r="B3" s="26" t="s">
        <v>721</v>
      </c>
      <c r="C3" s="26" t="s">
        <v>1227</v>
      </c>
      <c r="D3" s="728" t="s">
        <v>1135</v>
      </c>
    </row>
    <row r="4" spans="1:6" s="783" customFormat="1" ht="80" customHeight="1" x14ac:dyDescent="0.35">
      <c r="A4" s="26" t="s">
        <v>1123</v>
      </c>
      <c r="B4" s="784" t="s">
        <v>1128</v>
      </c>
      <c r="C4" s="784" t="s">
        <v>1129</v>
      </c>
      <c r="D4" s="783" t="s">
        <v>1135</v>
      </c>
    </row>
    <row r="5" spans="1:6" s="728" customFormat="1" ht="63.5" customHeight="1" x14ac:dyDescent="0.35">
      <c r="A5" s="728" t="s">
        <v>1054</v>
      </c>
      <c r="B5" s="26" t="s">
        <v>184</v>
      </c>
      <c r="C5" s="30" t="s">
        <v>183</v>
      </c>
      <c r="E5" s="728" t="s">
        <v>998</v>
      </c>
    </row>
    <row r="6" spans="1:6" s="728" customFormat="1" ht="148" customHeight="1" x14ac:dyDescent="0.35">
      <c r="A6" s="728" t="s">
        <v>182</v>
      </c>
      <c r="B6" s="26" t="s">
        <v>720</v>
      </c>
      <c r="C6" s="26" t="s">
        <v>1230</v>
      </c>
    </row>
    <row r="7" spans="1:6" s="728" customFormat="1" ht="61.5" customHeight="1" x14ac:dyDescent="0.35">
      <c r="A7" s="728" t="s">
        <v>719</v>
      </c>
      <c r="B7" s="26" t="s">
        <v>718</v>
      </c>
      <c r="C7" s="26" t="s">
        <v>717</v>
      </c>
    </row>
    <row r="8" spans="1:6" s="728" customFormat="1" ht="54" customHeight="1" x14ac:dyDescent="0.35">
      <c r="A8" s="728" t="s">
        <v>999</v>
      </c>
      <c r="B8" s="26" t="s">
        <v>1000</v>
      </c>
      <c r="C8" s="728" t="s">
        <v>1001</v>
      </c>
    </row>
    <row r="9" spans="1:6" s="728" customFormat="1" ht="31" customHeight="1" x14ac:dyDescent="0.35">
      <c r="A9" s="29" t="s">
        <v>1050</v>
      </c>
      <c r="B9" s="727"/>
      <c r="C9" s="27"/>
      <c r="D9" s="27"/>
      <c r="E9" s="32" t="s">
        <v>1002</v>
      </c>
      <c r="F9" s="27"/>
    </row>
    <row r="10" spans="1:6" ht="77.5" customHeight="1" x14ac:dyDescent="0.35">
      <c r="A10" s="578"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578"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578"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578"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595" customFormat="1" ht="64.5" customHeight="1" x14ac:dyDescent="0.35">
      <c r="A14" s="578"/>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578"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578"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578"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578"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578"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578"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578"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01" t="s">
        <v>715</v>
      </c>
      <c r="B22" s="26" t="s">
        <v>1021</v>
      </c>
    </row>
    <row r="23" spans="1:6" ht="36" customHeight="1" x14ac:dyDescent="0.35">
      <c r="A23" s="701" t="s">
        <v>179</v>
      </c>
    </row>
    <row r="24" spans="1:6" x14ac:dyDescent="0.35">
      <c r="A24" s="29" t="s">
        <v>177</v>
      </c>
      <c r="B24" s="28"/>
      <c r="C24" s="27"/>
      <c r="D24" s="27"/>
      <c r="E24" s="27"/>
      <c r="F24" s="27"/>
    </row>
    <row r="25" spans="1:6" ht="304.5" x14ac:dyDescent="0.35">
      <c r="A25" s="728" t="s">
        <v>1055</v>
      </c>
      <c r="B25" s="26" t="s">
        <v>1056</v>
      </c>
      <c r="C25" s="728" t="s">
        <v>1057</v>
      </c>
    </row>
    <row r="26" spans="1:6" ht="43.5" x14ac:dyDescent="0.35">
      <c r="A26" s="728" t="s">
        <v>1058</v>
      </c>
      <c r="B26" s="26" t="s">
        <v>1059</v>
      </c>
      <c r="C26" s="728" t="s">
        <v>1060</v>
      </c>
    </row>
    <row r="27" spans="1:6" x14ac:dyDescent="0.35">
      <c r="A27" s="728"/>
      <c r="C27" s="728"/>
      <c r="D27" s="27"/>
      <c r="E27" s="27"/>
      <c r="F27" s="27"/>
    </row>
    <row r="28" spans="1:6" x14ac:dyDescent="0.35">
      <c r="A28" s="29" t="s">
        <v>176</v>
      </c>
      <c r="B28" s="28"/>
      <c r="C28" s="27"/>
    </row>
    <row r="29" spans="1:6" ht="29" x14ac:dyDescent="0.35">
      <c r="A29" s="728" t="s">
        <v>175</v>
      </c>
      <c r="B29" s="26" t="s">
        <v>1024</v>
      </c>
      <c r="C29" s="728" t="s">
        <v>1026</v>
      </c>
    </row>
    <row r="30" spans="1:6" ht="72.5" x14ac:dyDescent="0.35">
      <c r="A30" s="728" t="s">
        <v>174</v>
      </c>
      <c r="B30" s="26" t="s">
        <v>1022</v>
      </c>
      <c r="C30" s="728" t="s">
        <v>1023</v>
      </c>
    </row>
    <row r="31" spans="1:6" ht="29" x14ac:dyDescent="0.35">
      <c r="A31" s="728" t="s">
        <v>173</v>
      </c>
      <c r="B31" s="26" t="s">
        <v>1027</v>
      </c>
      <c r="C31" s="26" t="s">
        <v>1025</v>
      </c>
    </row>
    <row r="32" spans="1:6" ht="101.5" x14ac:dyDescent="0.35">
      <c r="A32" s="728" t="s">
        <v>172</v>
      </c>
      <c r="B32" s="26" t="s">
        <v>1061</v>
      </c>
      <c r="C32" s="728"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20" t="s">
        <v>1049</v>
      </c>
      <c r="B2" s="747" t="s">
        <v>1110</v>
      </c>
      <c r="C2" s="747" t="s">
        <v>1111</v>
      </c>
    </row>
    <row r="3" spans="1:5" ht="63.5" customHeight="1" x14ac:dyDescent="0.35">
      <c r="A3" s="720" t="s">
        <v>1112</v>
      </c>
      <c r="B3" s="747" t="s">
        <v>1114</v>
      </c>
      <c r="C3" s="747" t="s">
        <v>1113</v>
      </c>
    </row>
    <row r="4" spans="1:5" s="518" customFormat="1" ht="63.5" customHeight="1" x14ac:dyDescent="0.35">
      <c r="A4" s="783" t="s">
        <v>1125</v>
      </c>
      <c r="B4" s="784" t="s">
        <v>1128</v>
      </c>
      <c r="C4" s="784" t="s">
        <v>1129</v>
      </c>
    </row>
    <row r="5" spans="1:5" ht="137" customHeight="1" x14ac:dyDescent="0.35">
      <c r="A5" s="25" t="s">
        <v>1051</v>
      </c>
      <c r="B5" s="26" t="s">
        <v>1115</v>
      </c>
    </row>
    <row r="6" spans="1:5" ht="29" customHeight="1" x14ac:dyDescent="0.35">
      <c r="A6" s="25" t="s">
        <v>1116</v>
      </c>
      <c r="B6" s="881" t="s">
        <v>1118</v>
      </c>
      <c r="C6" s="25" t="s">
        <v>1120</v>
      </c>
    </row>
    <row r="7" spans="1:5" ht="43.5" x14ac:dyDescent="0.35">
      <c r="A7" s="747" t="s">
        <v>1117</v>
      </c>
      <c r="B7" s="881" t="s">
        <v>1119</v>
      </c>
      <c r="C7" s="25" t="s">
        <v>1121</v>
      </c>
    </row>
    <row r="8" spans="1:5" x14ac:dyDescent="0.35">
      <c r="B8"/>
    </row>
    <row r="9" spans="1:5" x14ac:dyDescent="0.35">
      <c r="B9" s="880"/>
    </row>
    <row r="10" spans="1:5" x14ac:dyDescent="0.35">
      <c r="B10" s="88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I74" sqref="I74"/>
    </sheetView>
  </sheetViews>
  <sheetFormatPr defaultColWidth="8.6328125" defaultRowHeight="14.5" x14ac:dyDescent="0.35"/>
  <cols>
    <col min="1" max="1" width="15.1796875" style="703" customWidth="1"/>
    <col min="2" max="2" width="28.36328125" style="703" customWidth="1"/>
    <col min="3" max="3" width="25.1796875" style="703" customWidth="1"/>
    <col min="4" max="4" width="11.1796875" style="703" customWidth="1"/>
    <col min="5" max="5" width="15.1796875" style="703" customWidth="1"/>
    <col min="6" max="6" width="12.453125" style="703" customWidth="1"/>
    <col min="7" max="7" width="11.81640625" style="703" bestFit="1" customWidth="1"/>
    <col min="8" max="16384" width="8.6328125" style="703"/>
  </cols>
  <sheetData>
    <row r="1" spans="1:11" s="711" customFormat="1" x14ac:dyDescent="0.35">
      <c r="A1" s="711" t="s">
        <v>574</v>
      </c>
      <c r="B1" s="711" t="s">
        <v>575</v>
      </c>
      <c r="C1" s="711" t="s">
        <v>576</v>
      </c>
      <c r="D1" s="711" t="s">
        <v>577</v>
      </c>
      <c r="E1" s="711" t="s">
        <v>578</v>
      </c>
      <c r="F1" s="711" t="s">
        <v>579</v>
      </c>
    </row>
    <row r="2" spans="1:11" x14ac:dyDescent="0.35">
      <c r="C2" s="703" t="str">
        <f>'Haver Pivoted'!A1</f>
        <v>name</v>
      </c>
      <c r="D2" s="712" t="s">
        <v>1228</v>
      </c>
      <c r="E2" s="712" t="s">
        <v>1241</v>
      </c>
      <c r="F2" s="712"/>
      <c r="H2" s="713"/>
    </row>
    <row r="3" spans="1:11" x14ac:dyDescent="0.35">
      <c r="B3" s="703" t="s">
        <v>1029</v>
      </c>
      <c r="C3" s="703" t="str">
        <f>'Haver Pivoted'!A2</f>
        <v>gdp</v>
      </c>
      <c r="D3" s="703">
        <v>22741</v>
      </c>
      <c r="E3" s="703">
        <f>'Haver Pivoted'!GZ2</f>
        <v>0</v>
      </c>
      <c r="F3" s="703">
        <f>E3-D3</f>
        <v>-22741</v>
      </c>
      <c r="G3" s="714">
        <f>F3/D3</f>
        <v>-1</v>
      </c>
      <c r="H3" s="715"/>
    </row>
    <row r="4" spans="1:11" x14ac:dyDescent="0.35">
      <c r="B4" s="703" t="s">
        <v>1030</v>
      </c>
      <c r="C4" s="703" t="str">
        <f>'Haver Pivoted'!A3</f>
        <v>gdph</v>
      </c>
      <c r="D4" s="703">
        <v>19368.3</v>
      </c>
      <c r="E4" s="703">
        <f>'Haver Pivoted'!GZ3</f>
        <v>0</v>
      </c>
      <c r="F4" s="703">
        <f t="shared" ref="F4:F67" si="0">E4-D4</f>
        <v>-19368.3</v>
      </c>
      <c r="G4" s="714">
        <f t="shared" ref="G4:G67" si="1">F4/D4</f>
        <v>-1</v>
      </c>
      <c r="H4" s="715"/>
    </row>
    <row r="5" spans="1:11" x14ac:dyDescent="0.35">
      <c r="B5" s="703" t="s">
        <v>456</v>
      </c>
      <c r="C5" s="703" t="str">
        <f>'Haver Pivoted'!A4</f>
        <v>jgdp</v>
      </c>
      <c r="D5" s="703">
        <v>117.54600000000001</v>
      </c>
      <c r="E5" s="703">
        <f>'Haver Pivoted'!GZ4</f>
        <v>0</v>
      </c>
      <c r="F5" s="703">
        <f t="shared" si="0"/>
        <v>-117.54600000000001</v>
      </c>
      <c r="G5" s="714">
        <f t="shared" si="1"/>
        <v>-1</v>
      </c>
      <c r="H5" s="716"/>
    </row>
    <row r="6" spans="1:11" x14ac:dyDescent="0.35">
      <c r="B6" s="703" t="s">
        <v>1031</v>
      </c>
      <c r="C6" s="703" t="str">
        <f>'Haver Pivoted'!A5</f>
        <v>c</v>
      </c>
      <c r="D6" s="703">
        <v>15681.7</v>
      </c>
      <c r="E6" s="703">
        <f>'Haver Pivoted'!GZ5</f>
        <v>0</v>
      </c>
      <c r="F6" s="703">
        <f t="shared" si="0"/>
        <v>-15681.7</v>
      </c>
      <c r="G6" s="714">
        <f t="shared" si="1"/>
        <v>-1</v>
      </c>
    </row>
    <row r="7" spans="1:11" x14ac:dyDescent="0.35">
      <c r="B7" s="703" t="s">
        <v>1032</v>
      </c>
      <c r="C7" s="703" t="str">
        <f>'Haver Pivoted'!A6</f>
        <v>ch</v>
      </c>
      <c r="D7" s="703">
        <v>13665.6</v>
      </c>
      <c r="E7" s="703">
        <f>'Haver Pivoted'!GZ6</f>
        <v>0</v>
      </c>
      <c r="F7" s="703">
        <f t="shared" si="0"/>
        <v>-13665.6</v>
      </c>
      <c r="G7" s="714">
        <f t="shared" si="1"/>
        <v>-1</v>
      </c>
      <c r="K7" s="716"/>
    </row>
    <row r="8" spans="1:11" x14ac:dyDescent="0.35">
      <c r="B8" s="703" t="s">
        <v>454</v>
      </c>
      <c r="C8" s="703" t="str">
        <f>'Haver Pivoted'!A7</f>
        <v>jc</v>
      </c>
      <c r="D8" s="703">
        <v>114.77200000000001</v>
      </c>
      <c r="E8" s="703">
        <f>'Haver Pivoted'!GZ7</f>
        <v>0</v>
      </c>
      <c r="F8" s="703">
        <f t="shared" si="0"/>
        <v>-114.77200000000001</v>
      </c>
      <c r="G8" s="714">
        <f t="shared" si="1"/>
        <v>-1</v>
      </c>
    </row>
    <row r="9" spans="1:11" x14ac:dyDescent="0.35">
      <c r="B9" s="703" t="s">
        <v>452</v>
      </c>
      <c r="C9" s="703" t="str">
        <f>'Haver Pivoted'!A8</f>
        <v>jgf</v>
      </c>
      <c r="D9" s="703">
        <v>115.22799999999999</v>
      </c>
      <c r="E9" s="703">
        <f>'Haver Pivoted'!GZ8</f>
        <v>0</v>
      </c>
      <c r="F9" s="703">
        <f t="shared" si="0"/>
        <v>-115.22799999999999</v>
      </c>
      <c r="G9" s="714">
        <f t="shared" si="1"/>
        <v>-1</v>
      </c>
    </row>
    <row r="10" spans="1:11" x14ac:dyDescent="0.35">
      <c r="B10" s="703" t="s">
        <v>450</v>
      </c>
      <c r="C10" s="703" t="str">
        <f>'Haver Pivoted'!A9</f>
        <v>jgs</v>
      </c>
      <c r="D10" s="703">
        <v>121.544</v>
      </c>
      <c r="E10" s="703">
        <f>'Haver Pivoted'!GZ9</f>
        <v>0</v>
      </c>
      <c r="F10" s="703">
        <f t="shared" si="0"/>
        <v>-121.544</v>
      </c>
      <c r="G10" s="714">
        <f t="shared" si="1"/>
        <v>-1</v>
      </c>
    </row>
    <row r="11" spans="1:11" x14ac:dyDescent="0.35">
      <c r="B11" s="703" t="s">
        <v>448</v>
      </c>
      <c r="C11" s="703" t="str">
        <f>'Haver Pivoted'!A10</f>
        <v>jgse</v>
      </c>
      <c r="D11" s="703">
        <v>121.425</v>
      </c>
      <c r="E11" s="703">
        <f>'Haver Pivoted'!GZ10</f>
        <v>0</v>
      </c>
      <c r="F11" s="703">
        <f t="shared" si="0"/>
        <v>-121.425</v>
      </c>
      <c r="G11" s="714">
        <f t="shared" si="1"/>
        <v>-1</v>
      </c>
    </row>
    <row r="12" spans="1:11" x14ac:dyDescent="0.35">
      <c r="B12" s="703" t="s">
        <v>446</v>
      </c>
      <c r="C12" s="703" t="str">
        <f>'Haver Pivoted'!A11</f>
        <v>jgsi</v>
      </c>
      <c r="D12" s="703">
        <v>122.101</v>
      </c>
      <c r="E12" s="703">
        <f>'Haver Pivoted'!GZ11</f>
        <v>0</v>
      </c>
      <c r="F12" s="703">
        <f t="shared" si="0"/>
        <v>-122.101</v>
      </c>
      <c r="G12" s="714">
        <f t="shared" si="1"/>
        <v>-1</v>
      </c>
    </row>
    <row r="13" spans="1:11" x14ac:dyDescent="0.35">
      <c r="A13" s="703" t="s">
        <v>383</v>
      </c>
      <c r="B13" s="703" t="s">
        <v>383</v>
      </c>
      <c r="C13" s="703" t="str">
        <f>'Haver Pivoted'!A12</f>
        <v>yptmr</v>
      </c>
      <c r="D13" s="703">
        <v>815.3</v>
      </c>
      <c r="E13" s="703">
        <f>'Haver Pivoted'!GZ12</f>
        <v>0</v>
      </c>
      <c r="F13" s="703">
        <f t="shared" si="0"/>
        <v>-815.3</v>
      </c>
      <c r="G13" s="714">
        <f t="shared" si="1"/>
        <v>-1</v>
      </c>
      <c r="I13" s="717"/>
    </row>
    <row r="14" spans="1:11" x14ac:dyDescent="0.35">
      <c r="A14" s="703" t="s">
        <v>141</v>
      </c>
      <c r="B14" s="703" t="s">
        <v>413</v>
      </c>
      <c r="C14" s="703" t="str">
        <f>'Haver Pivoted'!A13</f>
        <v>yptmd</v>
      </c>
      <c r="D14" s="703">
        <v>730.5</v>
      </c>
      <c r="E14" s="703">
        <f>'Haver Pivoted'!GZ13</f>
        <v>0</v>
      </c>
      <c r="F14" s="703">
        <f t="shared" si="0"/>
        <v>-730.5</v>
      </c>
      <c r="G14" s="714">
        <f t="shared" si="1"/>
        <v>-1</v>
      </c>
      <c r="I14" s="705"/>
    </row>
    <row r="15" spans="1:11" x14ac:dyDescent="0.35">
      <c r="A15" s="703" t="s">
        <v>594</v>
      </c>
      <c r="B15" s="703" t="s">
        <v>262</v>
      </c>
      <c r="C15" s="703" t="str">
        <f>'Haver Pivoted'!A14</f>
        <v>yptu</v>
      </c>
      <c r="D15" s="703">
        <v>480.4</v>
      </c>
      <c r="E15" s="703">
        <f>'Haver Pivoted'!GZ14</f>
        <v>0</v>
      </c>
      <c r="F15" s="703">
        <f t="shared" si="0"/>
        <v>-480.4</v>
      </c>
      <c r="G15" s="714">
        <f t="shared" si="1"/>
        <v>-1</v>
      </c>
    </row>
    <row r="16" spans="1:11" x14ac:dyDescent="0.35">
      <c r="B16" s="703" t="s">
        <v>592</v>
      </c>
      <c r="C16" s="703" t="str">
        <f>'Haver Pivoted'!A15</f>
        <v>gtfp</v>
      </c>
      <c r="D16" s="703">
        <v>4257.8</v>
      </c>
      <c r="E16" s="703">
        <f>'Haver Pivoted'!GZ15</f>
        <v>0</v>
      </c>
      <c r="F16" s="703">
        <f t="shared" si="0"/>
        <v>-4257.8</v>
      </c>
      <c r="G16" s="714">
        <f t="shared" si="1"/>
        <v>-1</v>
      </c>
    </row>
    <row r="17" spans="1:7" x14ac:dyDescent="0.35">
      <c r="B17" s="703" t="s">
        <v>1033</v>
      </c>
      <c r="C17" s="703" t="str">
        <f>'Haver Pivoted'!A16</f>
        <v>ypog</v>
      </c>
      <c r="D17" s="703">
        <v>116</v>
      </c>
      <c r="E17" s="703">
        <f>'Haver Pivoted'!GZ16</f>
        <v>0</v>
      </c>
      <c r="F17" s="703">
        <f t="shared" si="0"/>
        <v>-116</v>
      </c>
      <c r="G17" s="714">
        <f t="shared" si="1"/>
        <v>-1</v>
      </c>
    </row>
    <row r="18" spans="1:7" x14ac:dyDescent="0.35">
      <c r="B18" s="703" t="s">
        <v>1034</v>
      </c>
      <c r="C18" s="703" t="str">
        <f>'Haver Pivoted'!A17</f>
        <v>yptx</v>
      </c>
      <c r="D18" s="703">
        <v>2514.8000000000002</v>
      </c>
      <c r="E18" s="703">
        <f>'Haver Pivoted'!GZ17</f>
        <v>0</v>
      </c>
      <c r="F18" s="703">
        <f t="shared" si="0"/>
        <v>-2514.8000000000002</v>
      </c>
      <c r="G18" s="714">
        <f t="shared" si="1"/>
        <v>-1</v>
      </c>
    </row>
    <row r="19" spans="1:7" x14ac:dyDescent="0.35">
      <c r="B19" s="703" t="s">
        <v>646</v>
      </c>
      <c r="C19" s="703" t="str">
        <f>'Haver Pivoted'!A18</f>
        <v>ytpi</v>
      </c>
      <c r="D19" s="703">
        <v>1636.3</v>
      </c>
      <c r="E19" s="703">
        <f>'Haver Pivoted'!GZ18</f>
        <v>0</v>
      </c>
      <c r="F19" s="703">
        <f t="shared" si="0"/>
        <v>-1636.3</v>
      </c>
      <c r="G19" s="714">
        <f t="shared" si="1"/>
        <v>-1</v>
      </c>
    </row>
    <row r="20" spans="1:7" x14ac:dyDescent="0.35">
      <c r="B20" s="703" t="s">
        <v>643</v>
      </c>
      <c r="C20" s="703" t="str">
        <f>'Haver Pivoted'!A19</f>
        <v>yctlg</v>
      </c>
      <c r="D20" s="703">
        <v>366.9</v>
      </c>
      <c r="E20" s="703">
        <f>'Haver Pivoted'!GZ19</f>
        <v>0</v>
      </c>
      <c r="F20" s="703">
        <f t="shared" si="0"/>
        <v>-366.9</v>
      </c>
      <c r="G20" s="714">
        <f t="shared" si="1"/>
        <v>-1</v>
      </c>
    </row>
    <row r="21" spans="1:7" x14ac:dyDescent="0.35">
      <c r="B21" s="703" t="s">
        <v>1035</v>
      </c>
      <c r="C21" s="703" t="str">
        <f>'Haver Pivoted'!A20</f>
        <v>g</v>
      </c>
      <c r="D21" s="703">
        <v>4015.9</v>
      </c>
      <c r="E21" s="703">
        <f>'Haver Pivoted'!GZ20</f>
        <v>0</v>
      </c>
      <c r="F21" s="703">
        <f t="shared" si="0"/>
        <v>-4015.9</v>
      </c>
      <c r="G21" s="714">
        <f t="shared" si="1"/>
        <v>-1</v>
      </c>
    </row>
    <row r="22" spans="1:7" x14ac:dyDescent="0.35">
      <c r="B22" s="703" t="s">
        <v>1036</v>
      </c>
      <c r="C22" s="703" t="str">
        <f>'Haver Pivoted'!A21</f>
        <v>grcsi</v>
      </c>
      <c r="D22" s="703">
        <v>1564.2</v>
      </c>
      <c r="E22" s="703">
        <f>'Haver Pivoted'!GZ21</f>
        <v>0</v>
      </c>
      <c r="F22" s="703">
        <f t="shared" si="0"/>
        <v>-1564.2</v>
      </c>
      <c r="G22" s="714">
        <f t="shared" si="1"/>
        <v>-1</v>
      </c>
    </row>
    <row r="23" spans="1:7" x14ac:dyDescent="0.35">
      <c r="B23" s="703" t="s">
        <v>454</v>
      </c>
      <c r="C23" s="703" t="str">
        <f>'Haver Pivoted'!A22</f>
        <v>dc</v>
      </c>
      <c r="D23" s="703">
        <v>114.753</v>
      </c>
      <c r="E23" s="703">
        <f>'Haver Pivoted'!GZ22</f>
        <v>0</v>
      </c>
      <c r="F23" s="703">
        <f t="shared" si="0"/>
        <v>-114.753</v>
      </c>
      <c r="G23" s="714">
        <f t="shared" si="1"/>
        <v>-1</v>
      </c>
    </row>
    <row r="24" spans="1:7" x14ac:dyDescent="0.35">
      <c r="A24" s="703" t="s">
        <v>380</v>
      </c>
      <c r="B24" s="703" t="s">
        <v>274</v>
      </c>
      <c r="C24" s="703" t="str">
        <f>'Haver Pivoted'!A23</f>
        <v>gf</v>
      </c>
      <c r="D24" s="703">
        <v>1563.3</v>
      </c>
      <c r="E24" s="703">
        <f>'Haver Pivoted'!GZ23</f>
        <v>0</v>
      </c>
      <c r="F24" s="703">
        <f t="shared" si="0"/>
        <v>-1563.3</v>
      </c>
      <c r="G24" s="714">
        <f t="shared" si="1"/>
        <v>-1</v>
      </c>
    </row>
    <row r="25" spans="1:7" x14ac:dyDescent="0.35">
      <c r="A25" s="703" t="s">
        <v>380</v>
      </c>
      <c r="B25" s="703" t="s">
        <v>273</v>
      </c>
      <c r="C25" s="703" t="str">
        <f>'Haver Pivoted'!A24</f>
        <v>gs</v>
      </c>
      <c r="D25" s="703">
        <v>2452.6</v>
      </c>
      <c r="E25" s="703">
        <f>'Haver Pivoted'!GZ24</f>
        <v>0</v>
      </c>
      <c r="F25" s="703">
        <f t="shared" si="0"/>
        <v>-2452.6</v>
      </c>
      <c r="G25" s="714">
        <f t="shared" si="1"/>
        <v>-1</v>
      </c>
    </row>
    <row r="26" spans="1:7" x14ac:dyDescent="0.35">
      <c r="B26" s="703" t="s">
        <v>1037</v>
      </c>
      <c r="C26" s="703" t="str">
        <f>'Haver Pivoted'!A25</f>
        <v>gfh</v>
      </c>
      <c r="D26" s="703">
        <v>1356.7</v>
      </c>
      <c r="E26" s="703">
        <f>'Haver Pivoted'!GZ25</f>
        <v>0</v>
      </c>
      <c r="F26" s="703">
        <f t="shared" si="0"/>
        <v>-1356.7</v>
      </c>
      <c r="G26" s="714">
        <f t="shared" si="1"/>
        <v>-1</v>
      </c>
    </row>
    <row r="27" spans="1:7" x14ac:dyDescent="0.35">
      <c r="B27" s="703" t="s">
        <v>1038</v>
      </c>
      <c r="C27" s="703" t="str">
        <f>'Haver Pivoted'!A26</f>
        <v>gsh</v>
      </c>
      <c r="D27" s="703">
        <v>2017.9</v>
      </c>
      <c r="E27" s="703">
        <f>'Haver Pivoted'!GZ26</f>
        <v>0</v>
      </c>
      <c r="F27" s="703">
        <f t="shared" si="0"/>
        <v>-2017.9</v>
      </c>
      <c r="G27" s="714">
        <f t="shared" si="1"/>
        <v>-1</v>
      </c>
    </row>
    <row r="28" spans="1:7" x14ac:dyDescent="0.35">
      <c r="A28" s="703" t="s">
        <v>580</v>
      </c>
      <c r="B28" s="703" t="s">
        <v>581</v>
      </c>
      <c r="C28" s="703" t="s">
        <v>223</v>
      </c>
      <c r="D28" s="703">
        <v>1928.3</v>
      </c>
      <c r="E28" s="703">
        <f>'Haver Pivoted'!GZ27</f>
        <v>0</v>
      </c>
      <c r="F28" s="703">
        <f t="shared" si="0"/>
        <v>-1928.3</v>
      </c>
      <c r="G28" s="714">
        <f t="shared" si="1"/>
        <v>-1</v>
      </c>
    </row>
    <row r="29" spans="1:7" x14ac:dyDescent="0.35">
      <c r="A29" s="703" t="s">
        <v>580</v>
      </c>
      <c r="B29" s="703" t="s">
        <v>582</v>
      </c>
      <c r="C29" s="703" t="s">
        <v>224</v>
      </c>
      <c r="D29" s="703">
        <v>177.8</v>
      </c>
      <c r="E29" s="703">
        <f>'Haver Pivoted'!GZ28</f>
        <v>0</v>
      </c>
      <c r="F29" s="703">
        <f t="shared" si="0"/>
        <v>-177.8</v>
      </c>
      <c r="G29" s="714">
        <f t="shared" si="1"/>
        <v>-1</v>
      </c>
    </row>
    <row r="30" spans="1:7" x14ac:dyDescent="0.35">
      <c r="A30" s="703" t="s">
        <v>580</v>
      </c>
      <c r="B30" s="703" t="s">
        <v>583</v>
      </c>
      <c r="C30" s="703" t="s">
        <v>225</v>
      </c>
      <c r="D30" s="703">
        <v>275.10000000000002</v>
      </c>
      <c r="E30" s="703">
        <f>'Haver Pivoted'!GZ29</f>
        <v>0</v>
      </c>
      <c r="F30" s="703">
        <f t="shared" si="0"/>
        <v>-275.10000000000002</v>
      </c>
      <c r="G30" s="714">
        <f t="shared" si="1"/>
        <v>-1</v>
      </c>
    </row>
    <row r="31" spans="1:7" x14ac:dyDescent="0.35">
      <c r="A31" s="703" t="s">
        <v>580</v>
      </c>
      <c r="B31" s="703" t="s">
        <v>584</v>
      </c>
      <c r="C31" s="703" t="s">
        <v>226</v>
      </c>
      <c r="D31" s="703">
        <v>1542.2</v>
      </c>
      <c r="E31" s="703">
        <f>'Haver Pivoted'!GZ30</f>
        <v>0</v>
      </c>
      <c r="F31" s="703">
        <f t="shared" si="0"/>
        <v>-1542.2</v>
      </c>
      <c r="G31" s="714">
        <f t="shared" si="1"/>
        <v>-1</v>
      </c>
    </row>
    <row r="32" spans="1:7" x14ac:dyDescent="0.35">
      <c r="A32" s="703" t="s">
        <v>585</v>
      </c>
      <c r="B32" s="703" t="s">
        <v>586</v>
      </c>
      <c r="C32" s="703" t="str">
        <f>'Haver Pivoted'!A31</f>
        <v>gftfp</v>
      </c>
      <c r="D32" s="703">
        <v>3372.3</v>
      </c>
      <c r="E32" s="703">
        <f>'Haver Pivoted'!GZ31</f>
        <v>0</v>
      </c>
      <c r="F32" s="703">
        <f t="shared" si="0"/>
        <v>-3372.3</v>
      </c>
      <c r="G32" s="714">
        <f t="shared" si="1"/>
        <v>-1</v>
      </c>
    </row>
    <row r="33" spans="1:10" x14ac:dyDescent="0.35">
      <c r="A33" s="703" t="s">
        <v>101</v>
      </c>
      <c r="B33" s="702" t="s">
        <v>587</v>
      </c>
      <c r="C33" s="703" t="str">
        <f>'Haver Pivoted'!A32</f>
        <v>gfeg</v>
      </c>
      <c r="D33" s="703">
        <v>1632.2</v>
      </c>
      <c r="E33" s="703">
        <f>'Haver Pivoted'!GZ32</f>
        <v>0</v>
      </c>
      <c r="F33" s="703">
        <f t="shared" si="0"/>
        <v>-1632.2</v>
      </c>
      <c r="G33" s="714">
        <f t="shared" si="1"/>
        <v>-1</v>
      </c>
    </row>
    <row r="34" spans="1:10" x14ac:dyDescent="0.35">
      <c r="A34" s="703" t="s">
        <v>580</v>
      </c>
      <c r="B34" s="703" t="s">
        <v>588</v>
      </c>
      <c r="C34" s="703" t="str">
        <f>'Haver Pivoted'!A33</f>
        <v>gsrpt</v>
      </c>
      <c r="D34" s="703">
        <v>586.4</v>
      </c>
      <c r="E34" s="703">
        <f>'Haver Pivoted'!GZ33</f>
        <v>0</v>
      </c>
      <c r="F34" s="703">
        <f t="shared" si="0"/>
        <v>-586.4</v>
      </c>
      <c r="G34" s="714">
        <f t="shared" si="1"/>
        <v>-1</v>
      </c>
    </row>
    <row r="35" spans="1:10" x14ac:dyDescent="0.35">
      <c r="A35" s="703" t="s">
        <v>580</v>
      </c>
      <c r="B35" s="703" t="s">
        <v>589</v>
      </c>
      <c r="C35" s="703" t="str">
        <f>'Haver Pivoted'!A34</f>
        <v>gsrpri</v>
      </c>
      <c r="D35" s="703">
        <v>1458.5</v>
      </c>
      <c r="E35" s="703">
        <f>'Haver Pivoted'!GZ34</f>
        <v>0</v>
      </c>
      <c r="F35" s="703">
        <f t="shared" si="0"/>
        <v>-1458.5</v>
      </c>
      <c r="G35" s="714">
        <f t="shared" si="1"/>
        <v>-1</v>
      </c>
    </row>
    <row r="36" spans="1:10" x14ac:dyDescent="0.35">
      <c r="A36" s="703" t="s">
        <v>580</v>
      </c>
      <c r="B36" s="703" t="s">
        <v>590</v>
      </c>
      <c r="C36" s="703" t="str">
        <f>'Haver Pivoted'!A35</f>
        <v>gsrcp</v>
      </c>
      <c r="D36" s="703">
        <v>91.9</v>
      </c>
      <c r="E36" s="703">
        <f>'Haver Pivoted'!GZ35</f>
        <v>0</v>
      </c>
      <c r="F36" s="703">
        <f t="shared" si="0"/>
        <v>-91.9</v>
      </c>
      <c r="G36" s="714">
        <f t="shared" si="1"/>
        <v>-1</v>
      </c>
    </row>
    <row r="37" spans="1:10" x14ac:dyDescent="0.35">
      <c r="A37" s="703" t="s">
        <v>580</v>
      </c>
      <c r="B37" s="703" t="s">
        <v>591</v>
      </c>
      <c r="C37" s="703" t="str">
        <f>'Haver Pivoted'!A36</f>
        <v>gsrs</v>
      </c>
      <c r="D37" s="703">
        <v>21.9</v>
      </c>
      <c r="E37" s="703">
        <f>'Haver Pivoted'!GZ36</f>
        <v>0</v>
      </c>
      <c r="F37" s="703">
        <f t="shared" si="0"/>
        <v>-21.9</v>
      </c>
      <c r="G37" s="714">
        <f t="shared" si="1"/>
        <v>-1</v>
      </c>
    </row>
    <row r="38" spans="1:10" x14ac:dyDescent="0.35">
      <c r="A38" s="703" t="s">
        <v>592</v>
      </c>
      <c r="B38" s="703" t="s">
        <v>7</v>
      </c>
      <c r="C38" s="703" t="str">
        <f>'Haver Pivoted'!A37</f>
        <v>gstfp</v>
      </c>
      <c r="D38" s="703">
        <v>885.5</v>
      </c>
      <c r="E38" s="703">
        <f>'Haver Pivoted'!GZ37</f>
        <v>0</v>
      </c>
      <c r="F38" s="703">
        <f t="shared" si="0"/>
        <v>-885.5</v>
      </c>
      <c r="G38" s="714">
        <f t="shared" si="1"/>
        <v>-1</v>
      </c>
    </row>
    <row r="39" spans="1:10" x14ac:dyDescent="0.35">
      <c r="B39" s="703" t="s">
        <v>1039</v>
      </c>
      <c r="C39" s="703" t="str">
        <f>'Haver Pivoted'!A38</f>
        <v>gset</v>
      </c>
      <c r="D39" s="703">
        <v>3337.6</v>
      </c>
      <c r="E39" s="703">
        <f>'Haver Pivoted'!GZ38</f>
        <v>0</v>
      </c>
      <c r="F39" s="703">
        <f t="shared" si="0"/>
        <v>-3337.6</v>
      </c>
      <c r="G39" s="714">
        <f t="shared" si="1"/>
        <v>-1</v>
      </c>
      <c r="I39" s="705"/>
    </row>
    <row r="40" spans="1:10" x14ac:dyDescent="0.35">
      <c r="B40" s="703" t="s">
        <v>512</v>
      </c>
      <c r="C40" s="703" t="str">
        <f>'Haver Pivoted'!A39</f>
        <v>gfeghhx</v>
      </c>
      <c r="D40" s="703">
        <v>553.56399999999996</v>
      </c>
      <c r="E40" s="703">
        <f>'Haver Pivoted'!GZ39</f>
        <v>0</v>
      </c>
      <c r="F40" s="703">
        <f t="shared" si="0"/>
        <v>-553.56399999999996</v>
      </c>
      <c r="G40" s="714">
        <f t="shared" si="1"/>
        <v>-1</v>
      </c>
    </row>
    <row r="41" spans="1:10" x14ac:dyDescent="0.35">
      <c r="A41" s="703" t="s">
        <v>593</v>
      </c>
      <c r="B41" s="703" t="s">
        <v>180</v>
      </c>
      <c r="C41" s="703" t="str">
        <f>'Haver Pivoted'!A40</f>
        <v>gfeghdx</v>
      </c>
      <c r="D41" s="703">
        <v>520.72900000000004</v>
      </c>
      <c r="E41" s="703">
        <f>'Haver Pivoted'!GZ40</f>
        <v>0</v>
      </c>
      <c r="F41" s="703">
        <f t="shared" si="0"/>
        <v>-520.72900000000004</v>
      </c>
      <c r="G41" s="714">
        <f t="shared" si="1"/>
        <v>-1</v>
      </c>
    </row>
    <row r="42" spans="1:10" x14ac:dyDescent="0.35">
      <c r="A42" s="703" t="s">
        <v>101</v>
      </c>
      <c r="B42" s="703" t="s">
        <v>6</v>
      </c>
      <c r="C42" s="703" t="str">
        <f>'Haver Pivoted'!A41</f>
        <v>gfeigx</v>
      </c>
      <c r="D42" s="703">
        <v>77.703999999999994</v>
      </c>
      <c r="E42" s="703">
        <f>'Haver Pivoted'!GZ41</f>
        <v>0</v>
      </c>
      <c r="F42" s="703">
        <f t="shared" si="0"/>
        <v>-77.703999999999994</v>
      </c>
      <c r="G42" s="714">
        <f t="shared" si="1"/>
        <v>-1</v>
      </c>
    </row>
    <row r="43" spans="1:10" x14ac:dyDescent="0.35">
      <c r="B43" s="703" t="s">
        <v>1040</v>
      </c>
      <c r="C43" s="703" t="str">
        <f>'Haver Pivoted'!A42</f>
        <v>gfsub</v>
      </c>
      <c r="D43" s="703">
        <v>697</v>
      </c>
      <c r="E43" s="703">
        <f>'Haver Pivoted'!GZ42</f>
        <v>0</v>
      </c>
      <c r="F43" s="703">
        <f t="shared" si="0"/>
        <v>-697</v>
      </c>
      <c r="G43" s="714">
        <f t="shared" si="1"/>
        <v>-1</v>
      </c>
      <c r="H43" s="705"/>
      <c r="I43" s="718"/>
      <c r="J43" s="715"/>
    </row>
    <row r="44" spans="1:10" x14ac:dyDescent="0.35">
      <c r="B44" s="703" t="s">
        <v>1041</v>
      </c>
      <c r="C44" s="703" t="str">
        <f>'Haver Pivoted'!A43</f>
        <v>gssub</v>
      </c>
      <c r="D44" s="703">
        <v>8.6</v>
      </c>
      <c r="E44" s="703">
        <f>'Haver Pivoted'!GZ43</f>
        <v>0</v>
      </c>
      <c r="F44" s="703">
        <f t="shared" si="0"/>
        <v>-8.6</v>
      </c>
      <c r="G44" s="714">
        <f t="shared" si="1"/>
        <v>-1</v>
      </c>
      <c r="I44" s="704"/>
      <c r="J44" s="715"/>
    </row>
    <row r="45" spans="1:10" x14ac:dyDescent="0.35">
      <c r="B45" s="703" t="s">
        <v>132</v>
      </c>
      <c r="C45" s="703" t="str">
        <f>'Haver Pivoted'!A44</f>
        <v>gsub</v>
      </c>
      <c r="D45" s="703">
        <v>705.6</v>
      </c>
      <c r="E45" s="703">
        <f>'Haver Pivoted'!GZ44</f>
        <v>0</v>
      </c>
      <c r="F45" s="703">
        <f t="shared" si="0"/>
        <v>-705.6</v>
      </c>
      <c r="G45" s="714">
        <f t="shared" si="1"/>
        <v>-1</v>
      </c>
      <c r="I45" s="704"/>
      <c r="J45" s="716"/>
    </row>
    <row r="46" spans="1:10" x14ac:dyDescent="0.35">
      <c r="A46" s="703" t="s">
        <v>131</v>
      </c>
      <c r="B46" s="703" t="s">
        <v>131</v>
      </c>
      <c r="C46" s="703" t="str">
        <f>'Haver Pivoted'!A45</f>
        <v>gftfpe</v>
      </c>
      <c r="D46" s="703">
        <v>290.10000000000002</v>
      </c>
      <c r="E46" s="703">
        <f>'Haver Pivoted'!GZ45</f>
        <v>0</v>
      </c>
      <c r="F46" s="703">
        <f t="shared" si="0"/>
        <v>-290.10000000000002</v>
      </c>
      <c r="G46" s="714">
        <f t="shared" si="1"/>
        <v>-1</v>
      </c>
      <c r="I46" s="704"/>
      <c r="J46" s="716"/>
    </row>
    <row r="47" spans="1:10" x14ac:dyDescent="0.35">
      <c r="B47" s="703" t="s">
        <v>1042</v>
      </c>
      <c r="C47" s="703" t="str">
        <f>'Haver Pivoted'!A46</f>
        <v>gftfpr</v>
      </c>
      <c r="D47" s="703">
        <v>14.1</v>
      </c>
      <c r="E47" s="703">
        <f>'Haver Pivoted'!GZ46</f>
        <v>0</v>
      </c>
      <c r="F47" s="703">
        <f t="shared" si="0"/>
        <v>-14.1</v>
      </c>
      <c r="G47" s="714">
        <f t="shared" si="1"/>
        <v>-1</v>
      </c>
      <c r="I47" s="704"/>
      <c r="J47" s="716"/>
    </row>
    <row r="48" spans="1:10" x14ac:dyDescent="0.35">
      <c r="A48" s="703" t="s">
        <v>479</v>
      </c>
      <c r="B48" s="707" t="s">
        <v>600</v>
      </c>
      <c r="C48" s="703" t="str">
        <f>'Haver Pivoted'!A47</f>
        <v>gftfpp</v>
      </c>
      <c r="D48" s="703">
        <v>24.7</v>
      </c>
      <c r="E48" s="703">
        <f>'Haver Pivoted'!GZ47</f>
        <v>0</v>
      </c>
      <c r="F48" s="703">
        <f t="shared" si="0"/>
        <v>-24.7</v>
      </c>
      <c r="G48" s="714">
        <f t="shared" si="1"/>
        <v>-1</v>
      </c>
      <c r="J48" s="716"/>
    </row>
    <row r="49" spans="1:11" x14ac:dyDescent="0.35">
      <c r="A49" s="703" t="s">
        <v>388</v>
      </c>
      <c r="B49" s="705" t="s">
        <v>693</v>
      </c>
      <c r="C49" s="703" t="str">
        <f>'Haver Pivoted'!A48</f>
        <v>gftfpv</v>
      </c>
      <c r="D49" s="703">
        <v>26.6</v>
      </c>
      <c r="E49" s="703">
        <f>'Haver Pivoted'!GZ48</f>
        <v>0</v>
      </c>
      <c r="F49" s="703">
        <f t="shared" si="0"/>
        <v>-26.6</v>
      </c>
      <c r="G49" s="714">
        <f t="shared" si="1"/>
        <v>-1</v>
      </c>
      <c r="H49" s="706"/>
      <c r="I49" s="706"/>
    </row>
    <row r="50" spans="1:11" x14ac:dyDescent="0.35">
      <c r="A50" s="703" t="s">
        <v>696</v>
      </c>
      <c r="B50" s="502" t="s">
        <v>409</v>
      </c>
      <c r="C50" s="703" t="str">
        <f>'Haver Pivoted'!A49</f>
        <v>gfsubp</v>
      </c>
      <c r="D50" s="703">
        <v>427.2</v>
      </c>
      <c r="E50" s="703">
        <f>'Haver Pivoted'!GZ49</f>
        <v>0</v>
      </c>
      <c r="F50" s="703">
        <f t="shared" si="0"/>
        <v>-427.2</v>
      </c>
      <c r="G50" s="714">
        <f t="shared" si="1"/>
        <v>-1</v>
      </c>
      <c r="H50" s="786"/>
      <c r="I50" s="130"/>
    </row>
    <row r="51" spans="1:11" x14ac:dyDescent="0.35">
      <c r="A51" s="703" t="s">
        <v>132</v>
      </c>
      <c r="B51" s="372" t="s">
        <v>408</v>
      </c>
      <c r="C51" s="703" t="str">
        <f>'Haver Pivoted'!A50</f>
        <v>gfsubg</v>
      </c>
      <c r="D51" s="703">
        <v>47.3</v>
      </c>
      <c r="E51" s="703">
        <f>'Haver Pivoted'!GZ50</f>
        <v>0</v>
      </c>
      <c r="F51" s="703">
        <f t="shared" si="0"/>
        <v>-47.3</v>
      </c>
      <c r="G51" s="714">
        <f t="shared" si="1"/>
        <v>-1</v>
      </c>
      <c r="H51" s="741"/>
      <c r="I51" s="787"/>
    </row>
    <row r="52" spans="1:11" x14ac:dyDescent="0.35">
      <c r="A52" s="703" t="s">
        <v>132</v>
      </c>
      <c r="B52" s="372" t="s">
        <v>407</v>
      </c>
      <c r="C52" s="703" t="str">
        <f>'Haver Pivoted'!A51</f>
        <v>gfsube</v>
      </c>
      <c r="D52" s="703">
        <v>62.9</v>
      </c>
      <c r="E52" s="703">
        <f>'Haver Pivoted'!GZ51</f>
        <v>0</v>
      </c>
      <c r="F52" s="703">
        <f t="shared" si="0"/>
        <v>-62.9</v>
      </c>
      <c r="G52" s="714">
        <f t="shared" si="1"/>
        <v>-1</v>
      </c>
      <c r="H52" s="788"/>
      <c r="I52" s="130"/>
    </row>
    <row r="53" spans="1:11" x14ac:dyDescent="0.35">
      <c r="A53" s="703" t="s">
        <v>132</v>
      </c>
      <c r="B53" s="372" t="s">
        <v>411</v>
      </c>
      <c r="C53" s="703" t="str">
        <f>'Haver Pivoted'!A52</f>
        <v>gfsubs</v>
      </c>
      <c r="D53" s="703">
        <v>12.3</v>
      </c>
      <c r="E53" s="703">
        <f>'Haver Pivoted'!GZ52</f>
        <v>0</v>
      </c>
      <c r="F53" s="703">
        <f t="shared" si="0"/>
        <v>-12.3</v>
      </c>
      <c r="G53" s="714">
        <f t="shared" si="1"/>
        <v>-1</v>
      </c>
      <c r="H53" s="788"/>
      <c r="I53" s="130"/>
    </row>
    <row r="54" spans="1:11" x14ac:dyDescent="0.35">
      <c r="A54" s="703" t="s">
        <v>132</v>
      </c>
      <c r="B54" s="372" t="s">
        <v>406</v>
      </c>
      <c r="C54" s="703" t="str">
        <f>'Haver Pivoted'!A53</f>
        <v>gfsubf</v>
      </c>
      <c r="D54" s="703">
        <v>14.3</v>
      </c>
      <c r="E54" s="703">
        <f>'Haver Pivoted'!GZ53</f>
        <v>0</v>
      </c>
      <c r="F54" s="703">
        <f t="shared" si="0"/>
        <v>-14.3</v>
      </c>
      <c r="G54" s="714">
        <f t="shared" si="1"/>
        <v>-1</v>
      </c>
      <c r="H54" s="786"/>
      <c r="I54" s="130"/>
    </row>
    <row r="55" spans="1:11" x14ac:dyDescent="0.35">
      <c r="A55" s="703" t="s">
        <v>698</v>
      </c>
      <c r="B55" s="372" t="s">
        <v>689</v>
      </c>
      <c r="C55" s="703" t="str">
        <f>'Haver Pivoted'!A54</f>
        <v>gfsubv</v>
      </c>
      <c r="D55" s="703">
        <v>16</v>
      </c>
      <c r="E55" s="703">
        <f>'Haver Pivoted'!GZ54</f>
        <v>0</v>
      </c>
      <c r="F55" s="703">
        <f t="shared" si="0"/>
        <v>-16</v>
      </c>
      <c r="G55" s="714">
        <f t="shared" si="1"/>
        <v>-1</v>
      </c>
      <c r="H55" s="283"/>
      <c r="I55" s="536"/>
    </row>
    <row r="56" spans="1:11" x14ac:dyDescent="0.35">
      <c r="A56" s="703" t="s">
        <v>132</v>
      </c>
      <c r="B56" s="372" t="s">
        <v>412</v>
      </c>
      <c r="C56" s="703" t="str">
        <f>'Haver Pivoted'!A55</f>
        <v>gfsubk</v>
      </c>
      <c r="D56" s="703">
        <v>8</v>
      </c>
      <c r="E56" s="703">
        <f>'Haver Pivoted'!GZ55</f>
        <v>0</v>
      </c>
      <c r="F56" s="703">
        <f t="shared" si="0"/>
        <v>-8</v>
      </c>
      <c r="G56" s="714">
        <f t="shared" si="1"/>
        <v>-1</v>
      </c>
      <c r="H56" s="786"/>
      <c r="I56" s="130"/>
    </row>
    <row r="57" spans="1:11" x14ac:dyDescent="0.35">
      <c r="A57" s="703" t="s">
        <v>101</v>
      </c>
      <c r="B57" s="702" t="s">
        <v>287</v>
      </c>
      <c r="C57" s="703" t="str">
        <f>'Haver Pivoted'!A56</f>
        <v>gfegc</v>
      </c>
      <c r="D57" s="703">
        <v>785.9</v>
      </c>
      <c r="E57" s="703">
        <f>'Haver Pivoted'!GZ56</f>
        <v>0</v>
      </c>
      <c r="F57" s="703">
        <f t="shared" si="0"/>
        <v>-785.9</v>
      </c>
      <c r="G57" s="714"/>
      <c r="H57" s="786"/>
      <c r="I57" s="130"/>
    </row>
    <row r="58" spans="1:11" x14ac:dyDescent="0.35">
      <c r="A58" s="703" t="s">
        <v>101</v>
      </c>
      <c r="B58" s="702" t="s">
        <v>288</v>
      </c>
      <c r="C58" s="703" t="str">
        <f>'Haver Pivoted'!A57</f>
        <v>gfege</v>
      </c>
      <c r="D58" s="703">
        <v>67.599999999999994</v>
      </c>
      <c r="E58" s="703">
        <f>'Haver Pivoted'!GZ57</f>
        <v>0</v>
      </c>
      <c r="F58" s="703">
        <f t="shared" si="0"/>
        <v>-67.599999999999994</v>
      </c>
      <c r="G58" s="714">
        <f t="shared" si="1"/>
        <v>-1</v>
      </c>
      <c r="H58" s="786"/>
      <c r="I58" s="130"/>
    </row>
    <row r="59" spans="1:11" x14ac:dyDescent="0.35">
      <c r="A59" s="703" t="s">
        <v>699</v>
      </c>
      <c r="B59" s="702" t="s">
        <v>289</v>
      </c>
      <c r="C59" s="703" t="str">
        <f>'Haver Pivoted'!A58</f>
        <v>gfegv</v>
      </c>
      <c r="D59" s="703">
        <v>10.6</v>
      </c>
      <c r="E59" s="703">
        <f>'Haver Pivoted'!GZ58</f>
        <v>0</v>
      </c>
      <c r="F59" s="703">
        <f t="shared" si="0"/>
        <v>-10.6</v>
      </c>
      <c r="G59" s="714">
        <f t="shared" si="1"/>
        <v>-1</v>
      </c>
    </row>
    <row r="60" spans="1:11" x14ac:dyDescent="0.35">
      <c r="A60" s="703" t="s">
        <v>594</v>
      </c>
      <c r="B60" s="703" t="s">
        <v>595</v>
      </c>
      <c r="C60" s="703" t="str">
        <f>'Haver Pivoted'!A59</f>
        <v>yptue</v>
      </c>
      <c r="D60" s="703">
        <v>104.5</v>
      </c>
      <c r="E60" s="703">
        <f>'Haver Pivoted'!GZ59</f>
        <v>0</v>
      </c>
      <c r="F60" s="703">
        <f t="shared" si="0"/>
        <v>-104.5</v>
      </c>
      <c r="G60" s="714">
        <f t="shared" si="1"/>
        <v>-1</v>
      </c>
    </row>
    <row r="61" spans="1:11" x14ac:dyDescent="0.35">
      <c r="A61" s="703" t="s">
        <v>594</v>
      </c>
      <c r="B61" s="703" t="s">
        <v>596</v>
      </c>
      <c r="C61" s="703" t="str">
        <f>'Haver Pivoted'!A60</f>
        <v>yptup</v>
      </c>
      <c r="D61" s="703">
        <v>82.1</v>
      </c>
      <c r="E61" s="703">
        <f>'Haver Pivoted'!GZ60</f>
        <v>0</v>
      </c>
      <c r="F61" s="703">
        <f t="shared" si="0"/>
        <v>-82.1</v>
      </c>
      <c r="G61" s="714">
        <f t="shared" si="1"/>
        <v>-1</v>
      </c>
      <c r="H61" s="705"/>
      <c r="I61" s="705"/>
      <c r="J61" s="705"/>
      <c r="K61" s="705"/>
    </row>
    <row r="62" spans="1:11" x14ac:dyDescent="0.35">
      <c r="A62" s="703" t="s">
        <v>594</v>
      </c>
      <c r="B62" s="703" t="s">
        <v>142</v>
      </c>
      <c r="C62" s="703" t="str">
        <f>'Haver Pivoted'!A61</f>
        <v>yptuc</v>
      </c>
      <c r="D62" s="703">
        <v>237.2</v>
      </c>
      <c r="E62" s="703">
        <f>'Haver Pivoted'!GZ61</f>
        <v>0</v>
      </c>
      <c r="F62" s="703">
        <f t="shared" si="0"/>
        <v>-237.2</v>
      </c>
      <c r="G62" s="714">
        <f t="shared" si="1"/>
        <v>-1</v>
      </c>
      <c r="H62" s="707"/>
      <c r="I62" s="707"/>
      <c r="J62" s="705"/>
      <c r="K62" s="705"/>
    </row>
    <row r="63" spans="1:11" x14ac:dyDescent="0.35">
      <c r="B63" s="703" t="s">
        <v>1043</v>
      </c>
      <c r="C63" s="703" t="str">
        <f>'Haver Pivoted'!A62</f>
        <v>gftfpu</v>
      </c>
      <c r="D63" s="703">
        <v>429.7</v>
      </c>
      <c r="E63" s="703">
        <f>'Haver Pivoted'!GZ62</f>
        <v>0</v>
      </c>
      <c r="F63" s="703">
        <f t="shared" si="0"/>
        <v>-429.7</v>
      </c>
      <c r="G63" s="714">
        <f t="shared" si="1"/>
        <v>-1</v>
      </c>
      <c r="H63" s="708"/>
      <c r="I63" s="708"/>
      <c r="J63" s="705"/>
      <c r="K63" s="705"/>
    </row>
    <row r="64" spans="1:11" x14ac:dyDescent="0.35">
      <c r="A64" s="703" t="s">
        <v>594</v>
      </c>
      <c r="B64" s="709" t="s">
        <v>697</v>
      </c>
      <c r="C64" s="703" t="str">
        <f>'Haver Pivoted'!A63</f>
        <v>yptub</v>
      </c>
      <c r="D64" s="703">
        <v>5.8</v>
      </c>
      <c r="E64" s="703">
        <f>'Haver Pivoted'!GZ63</f>
        <v>0</v>
      </c>
      <c r="F64" s="703">
        <f t="shared" si="0"/>
        <v>-5.8</v>
      </c>
      <c r="G64" s="714">
        <f t="shared" si="1"/>
        <v>-1</v>
      </c>
      <c r="H64" s="708"/>
      <c r="I64" s="708"/>
      <c r="J64" s="705"/>
      <c r="K64" s="705"/>
    </row>
    <row r="65" spans="1:11" x14ac:dyDescent="0.35">
      <c r="A65" s="703" t="s">
        <v>594</v>
      </c>
      <c r="B65" s="703" t="s">
        <v>270</v>
      </c>
      <c r="C65" s="703" t="str">
        <f>'Haver Pivoted'!A64</f>
        <v>yptol</v>
      </c>
      <c r="D65" s="703">
        <v>0.6</v>
      </c>
      <c r="E65" s="703">
        <f>'Haver Pivoted'!GZ64</f>
        <v>0</v>
      </c>
      <c r="F65" s="703">
        <f t="shared" si="0"/>
        <v>-0.6</v>
      </c>
      <c r="G65" s="714">
        <f t="shared" si="1"/>
        <v>-1</v>
      </c>
      <c r="H65" s="708"/>
      <c r="I65" s="708"/>
      <c r="J65" s="705"/>
      <c r="K65" s="705"/>
    </row>
    <row r="66" spans="1:11" x14ac:dyDescent="0.35">
      <c r="B66" s="707" t="s">
        <v>530</v>
      </c>
      <c r="C66" s="703" t="str">
        <f>'Haver Pivoted'!A65</f>
        <v>gfctp</v>
      </c>
      <c r="D66" s="703">
        <v>89.9</v>
      </c>
      <c r="E66" s="703">
        <f>'Haver Pivoted'!GZ65</f>
        <v>0</v>
      </c>
      <c r="F66" s="703">
        <f t="shared" si="0"/>
        <v>-89.9</v>
      </c>
      <c r="G66" s="714">
        <f t="shared" si="1"/>
        <v>-1</v>
      </c>
      <c r="H66" s="710"/>
      <c r="I66" s="710"/>
      <c r="J66" s="705"/>
      <c r="K66" s="705"/>
    </row>
    <row r="67" spans="1:11" x14ac:dyDescent="0.35">
      <c r="A67" s="707" t="s">
        <v>592</v>
      </c>
      <c r="B67" s="719" t="s">
        <v>597</v>
      </c>
      <c r="C67" s="703" t="str">
        <f>'Haver Pivoted'!A66</f>
        <v>gftffx</v>
      </c>
      <c r="D67" s="703">
        <v>128.93899999999999</v>
      </c>
      <c r="E67" s="703">
        <f>'Haver Pivoted'!GZ66</f>
        <v>0</v>
      </c>
      <c r="F67" s="703">
        <f t="shared" si="0"/>
        <v>-128.93899999999999</v>
      </c>
      <c r="G67" s="714">
        <f t="shared" si="1"/>
        <v>-1</v>
      </c>
      <c r="H67" s="710"/>
      <c r="I67" s="710"/>
      <c r="J67" s="705"/>
      <c r="K67" s="705"/>
    </row>
    <row r="68" spans="1:11" x14ac:dyDescent="0.35">
      <c r="B68" s="703" t="s">
        <v>1047</v>
      </c>
      <c r="C68" s="703" t="str">
        <f>'Haver Pivoted'!A67</f>
        <v>cpiu</v>
      </c>
      <c r="D68" s="703">
        <v>268.78800000000001</v>
      </c>
      <c r="E68" s="703">
        <f>'Haver Pivoted'!GZ67</f>
        <v>0</v>
      </c>
      <c r="F68" s="703">
        <f t="shared" ref="F68:F81" si="2">E68-D68</f>
        <v>-268.78800000000001</v>
      </c>
      <c r="G68" s="714">
        <f t="shared" ref="G68:G81" si="3">F68/D68</f>
        <v>-1</v>
      </c>
      <c r="H68" s="710"/>
      <c r="I68" s="710"/>
      <c r="J68" s="705"/>
      <c r="K68" s="705"/>
    </row>
    <row r="69" spans="1:11" x14ac:dyDescent="0.35">
      <c r="C69" s="703" t="str">
        <f>'Haver Pivoted'!A68</f>
        <v>pcw</v>
      </c>
      <c r="D69" s="703">
        <v>263.125333333333</v>
      </c>
      <c r="E69" s="703">
        <f>'Haver Pivoted'!GZ68</f>
        <v>0</v>
      </c>
      <c r="F69" s="703">
        <f t="shared" si="2"/>
        <v>-263.125333333333</v>
      </c>
      <c r="G69" s="714">
        <f t="shared" si="3"/>
        <v>-1</v>
      </c>
      <c r="H69" s="707"/>
      <c r="I69" s="707"/>
      <c r="J69" s="705"/>
      <c r="K69" s="705"/>
    </row>
    <row r="70" spans="1:11" x14ac:dyDescent="0.35">
      <c r="B70" s="707" t="s">
        <v>1044</v>
      </c>
      <c r="C70" s="703" t="str">
        <f>'Haver Pivoted'!A69</f>
        <v>gdppothq</v>
      </c>
      <c r="D70" s="703">
        <v>19697.400000000001</v>
      </c>
      <c r="E70" s="703">
        <f>'Haver Pivoted'!GZ69</f>
        <v>0</v>
      </c>
      <c r="F70" s="703">
        <f t="shared" si="2"/>
        <v>-19697.400000000001</v>
      </c>
      <c r="G70" s="714">
        <f t="shared" si="3"/>
        <v>-1</v>
      </c>
      <c r="H70" s="705"/>
      <c r="I70" s="705"/>
      <c r="J70" s="705"/>
      <c r="K70" s="705"/>
    </row>
    <row r="71" spans="1:11" x14ac:dyDescent="0.35">
      <c r="B71" s="707" t="s">
        <v>1045</v>
      </c>
      <c r="C71" s="703" t="str">
        <f>'Haver Pivoted'!A70</f>
        <v>gdppotq</v>
      </c>
      <c r="D71" s="703">
        <v>22983.3</v>
      </c>
      <c r="E71" s="703">
        <f>'Haver Pivoted'!GZ70</f>
        <v>0</v>
      </c>
      <c r="F71" s="703">
        <f t="shared" si="2"/>
        <v>-22983.3</v>
      </c>
      <c r="G71" s="714">
        <f t="shared" si="3"/>
        <v>-1</v>
      </c>
      <c r="H71" s="705"/>
      <c r="I71" s="705"/>
      <c r="J71" s="705"/>
      <c r="K71" s="705"/>
    </row>
    <row r="72" spans="1:11" x14ac:dyDescent="0.35">
      <c r="B72" s="707" t="s">
        <v>1046</v>
      </c>
      <c r="C72" s="703" t="str">
        <f>'Haver Pivoted'!A71</f>
        <v>recessq</v>
      </c>
      <c r="D72" s="703">
        <v>-1</v>
      </c>
      <c r="E72" s="703">
        <f>'Haver Pivoted'!GZ71</f>
        <v>0</v>
      </c>
      <c r="F72" s="703">
        <f t="shared" si="2"/>
        <v>1</v>
      </c>
      <c r="G72" s="714">
        <f t="shared" si="3"/>
        <v>-1</v>
      </c>
      <c r="H72" s="705"/>
      <c r="I72" s="705"/>
      <c r="J72" s="705"/>
      <c r="K72" s="705"/>
    </row>
    <row r="73" spans="1:11" x14ac:dyDescent="0.35">
      <c r="A73" s="703" t="s">
        <v>130</v>
      </c>
      <c r="B73" s="703" t="s">
        <v>1010</v>
      </c>
      <c r="C73" s="703" t="str">
        <f>'Haver Pivoted'!A72</f>
        <v>lasgova</v>
      </c>
      <c r="D73" s="703">
        <v>5023</v>
      </c>
      <c r="E73" s="703">
        <f>'Haver Pivoted'!GZ72</f>
        <v>0</v>
      </c>
      <c r="F73" s="703">
        <f t="shared" si="2"/>
        <v>-5023</v>
      </c>
      <c r="G73" s="714">
        <f t="shared" si="3"/>
        <v>-1</v>
      </c>
    </row>
    <row r="74" spans="1:11" x14ac:dyDescent="0.35">
      <c r="A74" s="703" t="s">
        <v>130</v>
      </c>
      <c r="B74" s="703" t="s">
        <v>1011</v>
      </c>
      <c r="C74" s="703" t="str">
        <f>'Haver Pivoted'!A73</f>
        <v>lalgova</v>
      </c>
      <c r="D74" s="703">
        <v>13769.333333333299</v>
      </c>
      <c r="E74" s="703">
        <f>'Haver Pivoted'!GZ73</f>
        <v>0</v>
      </c>
      <c r="F74" s="703">
        <f t="shared" si="2"/>
        <v>-13769.333333333299</v>
      </c>
      <c r="G74" s="714">
        <f t="shared" si="3"/>
        <v>-1</v>
      </c>
    </row>
    <row r="75" spans="1:11" x14ac:dyDescent="0.35">
      <c r="A75" s="703" t="s">
        <v>130</v>
      </c>
      <c r="B75" s="703" t="s">
        <v>1028</v>
      </c>
      <c r="C75" s="703" t="str">
        <f>'Haver Pivoted'!A74</f>
        <v>cpgs</v>
      </c>
      <c r="D75" s="703">
        <v>317506.66666666698</v>
      </c>
      <c r="E75" s="703">
        <f>'Haver Pivoted'!GZ74</f>
        <v>0</v>
      </c>
      <c r="F75" s="703">
        <f t="shared" si="2"/>
        <v>-317506.66666666698</v>
      </c>
      <c r="G75" s="714">
        <f t="shared" si="3"/>
        <v>-1</v>
      </c>
    </row>
    <row r="76" spans="1:11" x14ac:dyDescent="0.35">
      <c r="B76" s="703" t="s">
        <v>455</v>
      </c>
      <c r="C76" s="703" t="str">
        <f>'Haver Pivoted'!A75</f>
        <v>jgdp_growth</v>
      </c>
      <c r="D76" s="703">
        <v>1.48498609983942E-2</v>
      </c>
      <c r="E76" s="703">
        <f>'Haver Pivoted'!GZ75</f>
        <v>0</v>
      </c>
      <c r="F76" s="703">
        <f t="shared" si="2"/>
        <v>-1.48498609983942E-2</v>
      </c>
      <c r="G76" s="714">
        <f t="shared" si="3"/>
        <v>-1</v>
      </c>
    </row>
    <row r="77" spans="1:11" x14ac:dyDescent="0.35">
      <c r="B77" s="703" t="s">
        <v>453</v>
      </c>
      <c r="C77" s="703" t="str">
        <f>'Haver Pivoted'!A76</f>
        <v>jc_growth</v>
      </c>
      <c r="D77" s="703">
        <v>1.5780297197072201E-2</v>
      </c>
      <c r="E77" s="703">
        <f>'Haver Pivoted'!GZ76</f>
        <v>0</v>
      </c>
      <c r="F77" s="703">
        <f t="shared" si="2"/>
        <v>-1.5780297197072201E-2</v>
      </c>
      <c r="G77" s="714">
        <f t="shared" si="3"/>
        <v>-1</v>
      </c>
    </row>
    <row r="78" spans="1:11" x14ac:dyDescent="0.35">
      <c r="B78" s="703" t="s">
        <v>451</v>
      </c>
      <c r="C78" s="703" t="str">
        <f>'Haver Pivoted'!A77</f>
        <v>jgf_growth</v>
      </c>
      <c r="D78" s="703">
        <v>1.0195940910884001E-2</v>
      </c>
      <c r="E78" s="703">
        <f>'Haver Pivoted'!GZ77</f>
        <v>0</v>
      </c>
      <c r="F78" s="703">
        <f t="shared" si="2"/>
        <v>-1.0195940910884001E-2</v>
      </c>
      <c r="G78" s="714">
        <f t="shared" si="3"/>
        <v>-1</v>
      </c>
    </row>
    <row r="79" spans="1:11" x14ac:dyDescent="0.35">
      <c r="B79" s="703" t="s">
        <v>449</v>
      </c>
      <c r="C79" s="703" t="str">
        <f>'Haver Pivoted'!A78</f>
        <v>jgs_growth</v>
      </c>
      <c r="D79" s="703">
        <v>1.78200576137202E-2</v>
      </c>
      <c r="E79" s="703">
        <f>'Haver Pivoted'!GZ78</f>
        <v>0</v>
      </c>
      <c r="F79" s="703">
        <f t="shared" si="2"/>
        <v>-1.78200576137202E-2</v>
      </c>
      <c r="G79" s="714">
        <f t="shared" si="3"/>
        <v>-1</v>
      </c>
    </row>
    <row r="80" spans="1:11" x14ac:dyDescent="0.35">
      <c r="B80" s="703" t="s">
        <v>447</v>
      </c>
      <c r="C80" s="703" t="str">
        <f>'Haver Pivoted'!A79</f>
        <v>jgse_growth</v>
      </c>
      <c r="D80" s="703">
        <v>1.6797996968656699E-2</v>
      </c>
      <c r="E80" s="703">
        <f>'Haver Pivoted'!GZ79</f>
        <v>0</v>
      </c>
      <c r="F80" s="703">
        <f t="shared" si="2"/>
        <v>-1.6797996968656699E-2</v>
      </c>
      <c r="G80" s="714">
        <f t="shared" si="3"/>
        <v>-1</v>
      </c>
    </row>
    <row r="81" spans="2:7" x14ac:dyDescent="0.35">
      <c r="B81" s="703" t="s">
        <v>445</v>
      </c>
      <c r="C81" s="703" t="str">
        <f>'Haver Pivoted'!A80</f>
        <v>jgsi_growth</v>
      </c>
      <c r="D81" s="703">
        <v>2.24844241977624E-2</v>
      </c>
      <c r="E81" s="703">
        <f>'Haver Pivoted'!GZ80</f>
        <v>0</v>
      </c>
      <c r="F81" s="703">
        <f t="shared" si="2"/>
        <v>-2.24844241977624E-2</v>
      </c>
      <c r="G81" s="714">
        <f t="shared" si="3"/>
        <v>-1</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20" zoomScale="82" workbookViewId="0">
      <selection activeCell="B3" sqref="B3"/>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17" t="s">
        <v>1242</v>
      </c>
      <c r="C2" s="1317"/>
      <c r="D2" s="1317"/>
      <c r="E2" s="1317"/>
      <c r="F2" s="1317"/>
      <c r="G2" s="1317"/>
      <c r="H2" s="1317"/>
      <c r="I2" s="1317"/>
      <c r="J2" s="1317"/>
      <c r="K2" s="1317"/>
      <c r="L2" s="1317"/>
      <c r="M2" s="1317"/>
      <c r="N2" s="1317"/>
      <c r="O2" s="1317"/>
      <c r="P2" s="1317"/>
      <c r="Q2" s="1317"/>
      <c r="R2" s="1317"/>
    </row>
    <row r="3" spans="2:18" x14ac:dyDescent="0.35">
      <c r="B3" t="str">
        <f>forecast!A1</f>
        <v>name</v>
      </c>
      <c r="C3" s="518" t="str">
        <f>forecast!B1</f>
        <v>variable</v>
      </c>
      <c r="D3" s="518" t="str">
        <f>forecast!C1</f>
        <v>2021 Q3</v>
      </c>
      <c r="E3" s="518" t="str">
        <f>forecast!D1</f>
        <v>2021 Q4</v>
      </c>
      <c r="F3" s="518" t="str">
        <f>forecast!E1</f>
        <v>2022 Q1</v>
      </c>
      <c r="G3" s="518" t="str">
        <f>forecast!F1</f>
        <v>2022 Q2</v>
      </c>
      <c r="H3" s="518" t="str">
        <f>forecast!G1</f>
        <v>2022 Q3</v>
      </c>
      <c r="I3" s="518" t="str">
        <f>forecast!H1</f>
        <v>2022 Q4</v>
      </c>
      <c r="J3" s="518" t="str">
        <f>forecast!I1</f>
        <v>2023 Q1</v>
      </c>
      <c r="K3" s="518" t="str">
        <f>forecast!J1</f>
        <v>2023 Q2</v>
      </c>
      <c r="L3" s="518" t="str">
        <f>forecast!K1</f>
        <v>2023 Q3</v>
      </c>
      <c r="M3" s="518" t="str">
        <f>forecast!L1</f>
        <v>2023 Q4</v>
      </c>
      <c r="N3" s="518" t="str">
        <f>forecast!M1</f>
        <v>2024 Q1</v>
      </c>
      <c r="O3" s="518" t="str">
        <f>forecast!N1</f>
        <v>2024 Q2</v>
      </c>
      <c r="P3" s="518" t="s">
        <v>165</v>
      </c>
      <c r="Q3" s="518" t="s">
        <v>166</v>
      </c>
      <c r="R3" s="518" t="s">
        <v>167</v>
      </c>
    </row>
    <row r="4" spans="2:18" x14ac:dyDescent="0.35">
      <c r="B4" s="518" t="str">
        <f>forecast!A2</f>
        <v>Consumption Grants</v>
      </c>
      <c r="C4" s="518" t="str">
        <f>forecast!B2</f>
        <v>consumption_grants</v>
      </c>
      <c r="D4" s="529">
        <f>forecast!C2</f>
        <v>-34.256</v>
      </c>
      <c r="E4" s="529" t="e">
        <f>forecast!D2</f>
        <v>#DIV/0!</v>
      </c>
      <c r="F4" s="529" t="e">
        <f>forecast!E2</f>
        <v>#DIV/0!</v>
      </c>
      <c r="G4" s="529" t="e">
        <f>forecast!F2</f>
        <v>#DIV/0!</v>
      </c>
      <c r="H4" s="529" t="e">
        <f>forecast!G2</f>
        <v>#DIV/0!</v>
      </c>
      <c r="I4" s="529">
        <f>forecast!H2</f>
        <v>49.935991634052229</v>
      </c>
      <c r="J4" s="529">
        <f>forecast!I2</f>
        <v>54.299929299414316</v>
      </c>
      <c r="K4" s="529">
        <f>forecast!J2</f>
        <v>30.051664103390891</v>
      </c>
      <c r="L4" s="529">
        <f>forecast!K2</f>
        <v>20.06163690752652</v>
      </c>
      <c r="M4" s="529">
        <f>forecast!L2</f>
        <v>15.03172414382756</v>
      </c>
      <c r="N4" s="529">
        <f>forecast!M2</f>
        <v>-15.26297425041929</v>
      </c>
      <c r="O4" s="529">
        <f>forecast!N2</f>
        <v>-42.809780700436079</v>
      </c>
      <c r="P4" s="529">
        <f>forecast!O2</f>
        <v>-48.345755288453518</v>
      </c>
      <c r="Q4" s="529">
        <f>forecast!P2</f>
        <v>-54.983802999991639</v>
      </c>
      <c r="R4" s="529">
        <f>forecast!Q2</f>
        <v>-69.968936847991301</v>
      </c>
    </row>
    <row r="5" spans="2:18" x14ac:dyDescent="0.35">
      <c r="B5" s="518" t="str">
        <f>forecast!A3</f>
        <v>Investment Grants</v>
      </c>
      <c r="C5" s="518" t="str">
        <f>forecast!B3</f>
        <v>investment_grants</v>
      </c>
      <c r="D5" s="529">
        <f>forecast!C3</f>
        <v>0</v>
      </c>
      <c r="E5" s="529">
        <f>forecast!D3</f>
        <v>75.34842857142857</v>
      </c>
      <c r="F5" s="529">
        <f>forecast!E3</f>
        <v>75.34842857142857</v>
      </c>
      <c r="G5" s="529">
        <f>forecast!F3</f>
        <v>75.34842857142857</v>
      </c>
      <c r="H5" s="529">
        <f>forecast!G3</f>
        <v>75.34842857142857</v>
      </c>
      <c r="I5" s="529">
        <f>forecast!H3</f>
        <v>75.34842857142857</v>
      </c>
      <c r="J5" s="529">
        <f>forecast!I3</f>
        <v>75.34842857142857</v>
      </c>
      <c r="K5" s="529">
        <f>forecast!J3</f>
        <v>75.34842857142857</v>
      </c>
      <c r="L5" s="529">
        <f>forecast!K3</f>
        <v>75.34842857142857</v>
      </c>
      <c r="M5" s="529">
        <f>forecast!L3</f>
        <v>75.34842857142857</v>
      </c>
      <c r="N5" s="529">
        <f>forecast!M3</f>
        <v>75.34842857142857</v>
      </c>
      <c r="O5" s="529">
        <f>forecast!N3</f>
        <v>75.34842857142857</v>
      </c>
      <c r="P5" s="529">
        <f>forecast!O3</f>
        <v>75.34842857142857</v>
      </c>
      <c r="Q5" s="529">
        <f>forecast!P3</f>
        <v>75.34842857142857</v>
      </c>
      <c r="R5" s="529">
        <f>forecast!Q3</f>
        <v>75.34842857142857</v>
      </c>
    </row>
    <row r="6" spans="2:18" x14ac:dyDescent="0.35">
      <c r="B6" s="518" t="str">
        <f>forecast!A4</f>
        <v>Federal Purchases (NIPA Consistent)</v>
      </c>
      <c r="C6" s="518" t="str">
        <f>forecast!B4</f>
        <v>federal_purchases</v>
      </c>
      <c r="D6" s="529">
        <f>forecast!C4</f>
        <v>0</v>
      </c>
      <c r="E6" s="529">
        <f>forecast!D4</f>
        <v>0</v>
      </c>
      <c r="F6" s="529">
        <f>forecast!E4</f>
        <v>0</v>
      </c>
      <c r="G6" s="529">
        <f>forecast!F4</f>
        <v>0</v>
      </c>
      <c r="H6" s="529">
        <f>forecast!G4</f>
        <v>0</v>
      </c>
      <c r="I6" s="529">
        <f>forecast!H4</f>
        <v>0</v>
      </c>
      <c r="J6" s="529">
        <f>forecast!I4</f>
        <v>0</v>
      </c>
      <c r="K6" s="529">
        <f>forecast!J4</f>
        <v>0</v>
      </c>
      <c r="L6" s="529">
        <f>forecast!K4</f>
        <v>0</v>
      </c>
      <c r="M6" s="529">
        <f>forecast!L4</f>
        <v>0</v>
      </c>
      <c r="N6" s="529">
        <f>forecast!M4</f>
        <v>0</v>
      </c>
      <c r="O6" s="529">
        <f>forecast!N4</f>
        <v>0</v>
      </c>
      <c r="P6" s="529">
        <f>forecast!O4</f>
        <v>0</v>
      </c>
      <c r="Q6" s="529">
        <f>forecast!P4</f>
        <v>0</v>
      </c>
      <c r="R6" s="529">
        <f>forecast!Q4</f>
        <v>0</v>
      </c>
    </row>
    <row r="7" spans="2:18" x14ac:dyDescent="0.35">
      <c r="B7" s="518" t="str">
        <f>forecast!A5</f>
        <v>State Purchases (NIPA Consistent)</v>
      </c>
      <c r="C7" s="518" t="str">
        <f>forecast!B5</f>
        <v>state_purchases</v>
      </c>
      <c r="D7" s="529">
        <f>forecast!C5</f>
        <v>0</v>
      </c>
      <c r="E7" s="529">
        <f>forecast!D5</f>
        <v>0</v>
      </c>
      <c r="F7" s="529">
        <f>forecast!E5</f>
        <v>0</v>
      </c>
      <c r="G7" s="529">
        <f>forecast!F5</f>
        <v>0</v>
      </c>
      <c r="H7" s="529">
        <f>forecast!G5</f>
        <v>0</v>
      </c>
      <c r="I7" s="529">
        <f>forecast!H5</f>
        <v>0</v>
      </c>
      <c r="J7" s="529">
        <f>forecast!I5</f>
        <v>0</v>
      </c>
      <c r="K7" s="529">
        <f>forecast!J5</f>
        <v>0</v>
      </c>
      <c r="L7" s="529">
        <f>forecast!K5</f>
        <v>0</v>
      </c>
      <c r="M7" s="529">
        <f>forecast!L5</f>
        <v>0</v>
      </c>
      <c r="N7" s="529">
        <f>forecast!M5</f>
        <v>0</v>
      </c>
      <c r="O7" s="529">
        <f>forecast!N5</f>
        <v>0</v>
      </c>
      <c r="P7" s="529">
        <f>forecast!O5</f>
        <v>0</v>
      </c>
      <c r="Q7" s="529">
        <f>forecast!P5</f>
        <v>0</v>
      </c>
      <c r="R7" s="529">
        <f>forecast!Q5</f>
        <v>0</v>
      </c>
    </row>
    <row r="8" spans="2:18" x14ac:dyDescent="0.35">
      <c r="B8" s="518" t="str">
        <f>forecast!A6</f>
        <v>Non-ARP Subsidies + ARP Provider Relief and PPP</v>
      </c>
      <c r="C8" s="518" t="str">
        <f>forecast!B6</f>
        <v>federal_subsidies</v>
      </c>
      <c r="D8" s="529">
        <f>forecast!C6</f>
        <v>-267.78904</v>
      </c>
      <c r="E8" s="529" t="e">
        <f>forecast!D6</f>
        <v>#DIV/0!</v>
      </c>
      <c r="F8" s="529" t="e">
        <f>forecast!E6</f>
        <v>#DIV/0!</v>
      </c>
      <c r="G8" s="529" t="e">
        <f>forecast!F6</f>
        <v>#DIV/0!</v>
      </c>
      <c r="H8" s="529" t="e">
        <f>forecast!G6</f>
        <v>#DIV/0!</v>
      </c>
      <c r="I8" s="529">
        <f>forecast!H6</f>
        <v>75.736000000000004</v>
      </c>
      <c r="J8" s="529">
        <f>forecast!I6</f>
        <v>75.736000000000004</v>
      </c>
      <c r="K8" s="529">
        <f>forecast!J6</f>
        <v>75.736000000000004</v>
      </c>
      <c r="L8" s="529">
        <f>forecast!K6</f>
        <v>75.736000000000004</v>
      </c>
      <c r="M8" s="529">
        <f>forecast!L6</f>
        <v>74.060000000000016</v>
      </c>
      <c r="N8" s="529">
        <f>forecast!M6</f>
        <v>74.060000000000016</v>
      </c>
      <c r="O8" s="529">
        <f>forecast!N6</f>
        <v>74.060000000000016</v>
      </c>
      <c r="P8" s="529">
        <f>forecast!O6</f>
        <v>74.060000000000016</v>
      </c>
      <c r="Q8" s="529">
        <f>forecast!P6</f>
        <v>77.001000000000005</v>
      </c>
      <c r="R8" s="529">
        <f>forecast!Q6</f>
        <v>77.001000000000005</v>
      </c>
    </row>
    <row r="9" spans="2:18" x14ac:dyDescent="0.35">
      <c r="B9" s="518" t="str">
        <f>forecast!A7</f>
        <v>ARP Subsidies less Provider Relief and PPP</v>
      </c>
      <c r="C9" s="518" t="str">
        <f>forecast!B7</f>
        <v>federal_aid_to_small_businesses_arp</v>
      </c>
      <c r="D9" s="529">
        <f>forecast!C7</f>
        <v>267.78904</v>
      </c>
      <c r="E9" s="529">
        <f>forecast!D7</f>
        <v>110.24799999999999</v>
      </c>
      <c r="F9" s="529">
        <f>forecast!E7</f>
        <v>110.24799999999999</v>
      </c>
      <c r="G9" s="529">
        <f>forecast!F7</f>
        <v>110.24799999999999</v>
      </c>
      <c r="H9" s="529">
        <f>forecast!G7</f>
        <v>110.24799999999999</v>
      </c>
      <c r="I9" s="529">
        <f>forecast!H7</f>
        <v>12.726000000000001</v>
      </c>
      <c r="J9" s="529">
        <f>forecast!I7</f>
        <v>12.726000000000001</v>
      </c>
      <c r="K9" s="529">
        <f>forecast!J7</f>
        <v>12.726000000000001</v>
      </c>
      <c r="L9" s="529">
        <f>forecast!K7</f>
        <v>12.726000000000001</v>
      </c>
      <c r="M9" s="529">
        <f>forecast!L7</f>
        <v>1.365</v>
      </c>
      <c r="N9" s="529">
        <f>forecast!M7</f>
        <v>1.365</v>
      </c>
      <c r="O9" s="529">
        <f>forecast!N7</f>
        <v>1.365</v>
      </c>
      <c r="P9" s="529">
        <f>forecast!O7</f>
        <v>1.365</v>
      </c>
      <c r="Q9" s="529">
        <f>forecast!P7</f>
        <v>-0.90100000000000025</v>
      </c>
      <c r="R9" s="529">
        <f>forecast!Q7</f>
        <v>-0.90100000000000025</v>
      </c>
    </row>
    <row r="10" spans="2:18" x14ac:dyDescent="0.35">
      <c r="B10" s="518" t="str">
        <f>forecast!A8</f>
        <v>Federal UI</v>
      </c>
      <c r="C10" s="518" t="str">
        <f>forecast!B8</f>
        <v>federal_ui</v>
      </c>
      <c r="D10" s="529">
        <f>forecast!C8</f>
        <v>0</v>
      </c>
      <c r="E10" s="529">
        <f>forecast!D8</f>
        <v>0</v>
      </c>
      <c r="F10" s="529">
        <f>forecast!E8</f>
        <v>0</v>
      </c>
      <c r="G10" s="529">
        <f>forecast!F8</f>
        <v>0</v>
      </c>
      <c r="H10" s="529">
        <f>forecast!G8</f>
        <v>0</v>
      </c>
      <c r="I10" s="529">
        <f>forecast!H8</f>
        <v>0</v>
      </c>
      <c r="J10" s="529">
        <f>forecast!I8</f>
        <v>0</v>
      </c>
      <c r="K10" s="529">
        <f>forecast!J8</f>
        <v>0</v>
      </c>
      <c r="L10" s="529">
        <f>forecast!K8</f>
        <v>0</v>
      </c>
      <c r="M10" s="529">
        <f>forecast!L8</f>
        <v>0</v>
      </c>
      <c r="N10" s="529">
        <f>forecast!M8</f>
        <v>0</v>
      </c>
      <c r="O10" s="529">
        <f>forecast!N8</f>
        <v>0</v>
      </c>
      <c r="P10" s="529">
        <f>forecast!O8</f>
        <v>0</v>
      </c>
      <c r="Q10" s="529">
        <f>forecast!P8</f>
        <v>0</v>
      </c>
      <c r="R10" s="529">
        <f>forecast!Q8</f>
        <v>0</v>
      </c>
    </row>
    <row r="11" spans="2:18" x14ac:dyDescent="0.35">
      <c r="B11" s="518" t="str">
        <f>forecast!A9</f>
        <v>State UI</v>
      </c>
      <c r="C11" s="518" t="str">
        <f>forecast!B9</f>
        <v>state_ui</v>
      </c>
      <c r="D11" s="529">
        <f>forecast!C9</f>
        <v>0</v>
      </c>
      <c r="E11" s="529">
        <f>forecast!D9</f>
        <v>0</v>
      </c>
      <c r="F11" s="529">
        <f>forecast!E9</f>
        <v>0</v>
      </c>
      <c r="G11" s="529">
        <f>forecast!F9</f>
        <v>0</v>
      </c>
      <c r="H11" s="529">
        <f>forecast!G9</f>
        <v>0</v>
      </c>
      <c r="I11" s="529">
        <f>forecast!H9</f>
        <v>0</v>
      </c>
      <c r="J11" s="529">
        <f>forecast!I9</f>
        <v>0</v>
      </c>
      <c r="K11" s="529">
        <f>forecast!J9</f>
        <v>0</v>
      </c>
      <c r="L11" s="529">
        <f>forecast!K9</f>
        <v>0</v>
      </c>
      <c r="M11" s="529">
        <f>forecast!L9</f>
        <v>0</v>
      </c>
      <c r="N11" s="529">
        <f>forecast!M9</f>
        <v>0</v>
      </c>
      <c r="O11" s="529">
        <f>forecast!N9</f>
        <v>0</v>
      </c>
      <c r="P11" s="529">
        <f>forecast!O9</f>
        <v>0</v>
      </c>
      <c r="Q11" s="529">
        <f>forecast!P9</f>
        <v>0</v>
      </c>
      <c r="R11" s="529">
        <f>forecast!Q9</f>
        <v>0</v>
      </c>
    </row>
    <row r="12" spans="2:18" x14ac:dyDescent="0.35">
      <c r="B12" s="518" t="str">
        <f>forecast!A10</f>
        <v>Federal Medicaid</v>
      </c>
      <c r="C12" s="518" t="str">
        <f>forecast!B10</f>
        <v>medicaid_grants</v>
      </c>
      <c r="D12" s="529">
        <f>forecast!C10</f>
        <v>0</v>
      </c>
      <c r="E12" s="529" t="e">
        <f>forecast!D10</f>
        <v>#DIV/0!</v>
      </c>
      <c r="F12" s="529" t="e">
        <f>forecast!E10</f>
        <v>#DIV/0!</v>
      </c>
      <c r="G12" s="529" t="e">
        <f>forecast!F10</f>
        <v>#DIV/0!</v>
      </c>
      <c r="H12" s="529" t="e">
        <f>forecast!G10</f>
        <v>#DIV/0!</v>
      </c>
      <c r="I12" s="529" t="e">
        <f>forecast!H10</f>
        <v>#DIV/0!</v>
      </c>
      <c r="J12" s="529" t="e">
        <f>forecast!I10</f>
        <v>#DIV/0!</v>
      </c>
      <c r="K12" s="529" t="e">
        <f>forecast!J10</f>
        <v>#DIV/0!</v>
      </c>
      <c r="L12" s="529" t="e">
        <f>forecast!K10</f>
        <v>#DIV/0!</v>
      </c>
      <c r="M12" s="529" t="e">
        <f>forecast!L10</f>
        <v>#DIV/0!</v>
      </c>
      <c r="N12" s="529" t="e">
        <f>forecast!M10</f>
        <v>#DIV/0!</v>
      </c>
      <c r="O12" s="529" t="e">
        <f>forecast!N10</f>
        <v>#DIV/0!</v>
      </c>
      <c r="P12" s="529" t="e">
        <f>forecast!O10</f>
        <v>#DIV/0!</v>
      </c>
      <c r="Q12" s="529" t="e">
        <f>forecast!P10</f>
        <v>#DIV/0!</v>
      </c>
      <c r="R12" s="529" t="e">
        <f>forecast!Q10</f>
        <v>#DIV/0!</v>
      </c>
    </row>
    <row r="13" spans="2:18" x14ac:dyDescent="0.35">
      <c r="B13" s="518" t="str">
        <f>forecast!A11</f>
        <v>Total Medicaid</v>
      </c>
      <c r="C13" s="518" t="str">
        <f>forecast!B11</f>
        <v>medicaid</v>
      </c>
      <c r="D13" s="529">
        <f>forecast!C11</f>
        <v>0</v>
      </c>
      <c r="E13" s="529" t="e">
        <f>forecast!D11</f>
        <v>#DIV/0!</v>
      </c>
      <c r="F13" s="529" t="e">
        <f>forecast!E11</f>
        <v>#DIV/0!</v>
      </c>
      <c r="G13" s="529" t="e">
        <f>forecast!F11</f>
        <v>#DIV/0!</v>
      </c>
      <c r="H13" s="529" t="e">
        <f>forecast!G11</f>
        <v>#DIV/0!</v>
      </c>
      <c r="I13" s="529" t="e">
        <f>forecast!H11</f>
        <v>#DIV/0!</v>
      </c>
      <c r="J13" s="529" t="e">
        <f>forecast!I11</f>
        <v>#DIV/0!</v>
      </c>
      <c r="K13" s="529" t="e">
        <f>forecast!J11</f>
        <v>#DIV/0!</v>
      </c>
      <c r="L13" s="529" t="e">
        <f>forecast!K11</f>
        <v>#DIV/0!</v>
      </c>
      <c r="M13" s="529" t="e">
        <f>forecast!L11</f>
        <v>#DIV/0!</v>
      </c>
      <c r="N13" s="529" t="e">
        <f>forecast!M11</f>
        <v>#DIV/0!</v>
      </c>
      <c r="O13" s="529" t="e">
        <f>forecast!N11</f>
        <v>#DIV/0!</v>
      </c>
      <c r="P13" s="529" t="e">
        <f>forecast!O11</f>
        <v>#DIV/0!</v>
      </c>
      <c r="Q13" s="529" t="e">
        <f>forecast!P11</f>
        <v>#DIV/0!</v>
      </c>
      <c r="R13" s="529" t="e">
        <f>forecast!Q11</f>
        <v>#DIV/0!</v>
      </c>
    </row>
    <row r="14" spans="2:18" x14ac:dyDescent="0.35">
      <c r="B14" s="518" t="str">
        <f>forecast!A12</f>
        <v>Medicare</v>
      </c>
      <c r="C14" s="518" t="str">
        <f>forecast!B12</f>
        <v>medicare</v>
      </c>
      <c r="D14" s="529">
        <f>forecast!C12</f>
        <v>0</v>
      </c>
      <c r="E14" s="529">
        <f>forecast!D12</f>
        <v>-0.24817867266275329</v>
      </c>
      <c r="F14" s="529">
        <f>forecast!E12</f>
        <v>-16.514588757086585</v>
      </c>
      <c r="G14" s="529">
        <f>forecast!F12</f>
        <v>-16.78598013313465</v>
      </c>
      <c r="H14" s="529">
        <f>forecast!G12</f>
        <v>-31.062445940172523</v>
      </c>
      <c r="I14" s="529">
        <f>forecast!H12</f>
        <v>-31.344081059070202</v>
      </c>
      <c r="J14" s="529">
        <f>forecast!I12</f>
        <v>-31.630547174254353</v>
      </c>
      <c r="K14" s="529">
        <f>forecast!J12</f>
        <v>-31.922361464727253</v>
      </c>
      <c r="L14" s="529">
        <f>forecast!K12</f>
        <v>-32.219623778175603</v>
      </c>
      <c r="M14" s="529">
        <f>forecast!L12</f>
        <v>-32.52243582639116</v>
      </c>
      <c r="N14" s="529">
        <f>forecast!M12</f>
        <v>-32.826488519509027</v>
      </c>
      <c r="O14" s="529">
        <f>forecast!N12</f>
        <v>-33.13613651595648</v>
      </c>
      <c r="P14" s="529">
        <f>forecast!O12</f>
        <v>-33.45148278281804</v>
      </c>
      <c r="Q14" s="529">
        <f>forecast!P12</f>
        <v>-33.772632182021063</v>
      </c>
      <c r="R14" s="529">
        <f>forecast!Q12</f>
        <v>-34.099691505205442</v>
      </c>
    </row>
    <row r="15" spans="2:18" x14ac:dyDescent="0.35">
      <c r="B15" s="518" t="str">
        <f>forecast!A13</f>
        <v>Non-ARP Rebate Checks</v>
      </c>
      <c r="C15" s="518" t="str">
        <f>forecast!B13</f>
        <v>rebate_checks</v>
      </c>
      <c r="D15" s="529">
        <f>forecast!C13</f>
        <v>0</v>
      </c>
      <c r="E15" s="529">
        <f>forecast!D13</f>
        <v>0</v>
      </c>
      <c r="F15" s="529">
        <f>forecast!E13</f>
        <v>0</v>
      </c>
      <c r="G15" s="529">
        <f>forecast!F13</f>
        <v>0</v>
      </c>
      <c r="H15" s="529">
        <f>forecast!G13</f>
        <v>0</v>
      </c>
      <c r="I15" s="529">
        <f>forecast!H13</f>
        <v>0</v>
      </c>
      <c r="J15" s="529">
        <f>forecast!I13</f>
        <v>0</v>
      </c>
      <c r="K15" s="529">
        <f>forecast!J13</f>
        <v>0</v>
      </c>
      <c r="L15" s="529">
        <f>forecast!K13</f>
        <v>0</v>
      </c>
      <c r="M15" s="529">
        <f>forecast!L13</f>
        <v>0</v>
      </c>
      <c r="N15" s="529">
        <f>forecast!M13</f>
        <v>0</v>
      </c>
      <c r="O15" s="529">
        <f>forecast!N13</f>
        <v>0</v>
      </c>
      <c r="P15" s="529">
        <f>forecast!O13</f>
        <v>0</v>
      </c>
      <c r="Q15" s="529">
        <f>forecast!P13</f>
        <v>0</v>
      </c>
      <c r="R15" s="529">
        <f>forecast!Q13</f>
        <v>0</v>
      </c>
    </row>
    <row r="16" spans="2:18" x14ac:dyDescent="0.35">
      <c r="B16" s="518" t="str">
        <f>forecast!A14</f>
        <v>ARP Rebate Checks</v>
      </c>
      <c r="C16" s="518" t="str">
        <f>forecast!B14</f>
        <v>rebate_checks_arp</v>
      </c>
      <c r="D16" s="529">
        <f>forecast!C14</f>
        <v>0</v>
      </c>
      <c r="E16" s="529">
        <f>forecast!D14</f>
        <v>0</v>
      </c>
      <c r="F16" s="529">
        <f>forecast!E14</f>
        <v>14.93</v>
      </c>
      <c r="G16" s="529">
        <f>forecast!F14</f>
        <v>14.93</v>
      </c>
      <c r="H16" s="529">
        <f>forecast!G14</f>
        <v>0</v>
      </c>
      <c r="I16" s="529">
        <f>forecast!H14</f>
        <v>0</v>
      </c>
      <c r="J16" s="529">
        <f>forecast!I14</f>
        <v>0</v>
      </c>
      <c r="K16" s="529">
        <f>forecast!J14</f>
        <v>0</v>
      </c>
      <c r="L16" s="529">
        <f>forecast!K14</f>
        <v>0</v>
      </c>
      <c r="M16" s="529">
        <f>forecast!L14</f>
        <v>0</v>
      </c>
      <c r="N16" s="529">
        <f>forecast!M14</f>
        <v>0</v>
      </c>
      <c r="O16" s="529">
        <f>forecast!N14</f>
        <v>0</v>
      </c>
      <c r="P16" s="529">
        <f>forecast!O14</f>
        <v>0</v>
      </c>
      <c r="Q16" s="529">
        <f>forecast!P14</f>
        <v>0</v>
      </c>
      <c r="R16" s="529">
        <f>forecast!Q14</f>
        <v>0</v>
      </c>
    </row>
    <row r="17" spans="2:18" x14ac:dyDescent="0.35">
      <c r="B17" s="518" t="str">
        <f>forecast!A15</f>
        <v>ARP Other Vulnerable</v>
      </c>
      <c r="C17" s="518" t="str">
        <f>forecast!B15</f>
        <v>federal_other_vulnerable_arp</v>
      </c>
      <c r="D17" s="529">
        <f>forecast!C15</f>
        <v>137.43936000000005</v>
      </c>
      <c r="E17" s="529">
        <f>forecast!D15</f>
        <v>52.756999999999998</v>
      </c>
      <c r="F17" s="529">
        <f>forecast!E15</f>
        <v>52.756999999999998</v>
      </c>
      <c r="G17" s="529">
        <f>forecast!F15</f>
        <v>52.756999999999998</v>
      </c>
      <c r="H17" s="529">
        <f>forecast!G15</f>
        <v>52.756999999999998</v>
      </c>
      <c r="I17" s="529">
        <f>forecast!H15</f>
        <v>12</v>
      </c>
      <c r="J17" s="529">
        <f>forecast!I15</f>
        <v>12</v>
      </c>
      <c r="K17" s="529">
        <f>forecast!J15</f>
        <v>12</v>
      </c>
      <c r="L17" s="529">
        <f>forecast!K15</f>
        <v>12</v>
      </c>
      <c r="M17" s="529">
        <f>forecast!L15</f>
        <v>4.2219999999999995</v>
      </c>
      <c r="N17" s="529">
        <f>forecast!M15</f>
        <v>4.2219999999999995</v>
      </c>
      <c r="O17" s="529">
        <f>forecast!N15</f>
        <v>4.2219999999999995</v>
      </c>
      <c r="P17" s="529">
        <f>forecast!O15</f>
        <v>4.2219999999999995</v>
      </c>
      <c r="Q17" s="529">
        <f>forecast!P15</f>
        <v>2.3719999999999999</v>
      </c>
      <c r="R17" s="529">
        <f>forecast!Q15</f>
        <v>2.3719999999999999</v>
      </c>
    </row>
    <row r="18" spans="2:18" x14ac:dyDescent="0.35">
      <c r="B18" s="518" t="str">
        <f>forecast!A16</f>
        <v>ARP Other Direct Aid</v>
      </c>
      <c r="C18" s="518" t="str">
        <f>forecast!B16</f>
        <v>federal_other_direct_aid_arp</v>
      </c>
      <c r="D18" s="529">
        <f>forecast!C16</f>
        <v>203.10400000000004</v>
      </c>
      <c r="E18" s="529">
        <f>forecast!D16</f>
        <v>74.718999999999994</v>
      </c>
      <c r="F18" s="529">
        <f>forecast!E16</f>
        <v>74.718999999999994</v>
      </c>
      <c r="G18" s="529">
        <f>forecast!F16</f>
        <v>74.718999999999994</v>
      </c>
      <c r="H18" s="529">
        <f>forecast!G16</f>
        <v>74.718999999999994</v>
      </c>
      <c r="I18" s="529">
        <f>forecast!H16</f>
        <v>2.1159999999999997</v>
      </c>
      <c r="J18" s="529">
        <f>forecast!I16</f>
        <v>2.1159999999999997</v>
      </c>
      <c r="K18" s="529">
        <f>forecast!J16</f>
        <v>2.1159999999999997</v>
      </c>
      <c r="L18" s="529">
        <f>forecast!K16</f>
        <v>2.1159999999999997</v>
      </c>
      <c r="M18" s="529">
        <f>forecast!L16</f>
        <v>2.1789999999999998</v>
      </c>
      <c r="N18" s="529">
        <f>forecast!M16</f>
        <v>2.1789999999999998</v>
      </c>
      <c r="O18" s="529">
        <f>forecast!N16</f>
        <v>2.1789999999999998</v>
      </c>
      <c r="P18" s="529">
        <f>forecast!O16</f>
        <v>2.1789999999999998</v>
      </c>
      <c r="Q18" s="529">
        <f>forecast!P16</f>
        <v>2.33</v>
      </c>
      <c r="R18" s="529">
        <f>forecast!Q16</f>
        <v>2.33</v>
      </c>
    </row>
    <row r="19" spans="2:18" x14ac:dyDescent="0.35">
      <c r="B19" s="518" t="str">
        <f>forecast!A17</f>
        <v>Other Federal Social Benefits (including all SNAP)</v>
      </c>
      <c r="C19" s="518" t="str">
        <f>forecast!B17</f>
        <v>federal_social_benefits</v>
      </c>
      <c r="D19" s="529" t="e">
        <f>forecast!C17</f>
        <v>#VALUE!</v>
      </c>
      <c r="E19" s="529" t="e">
        <f>forecast!D17</f>
        <v>#VALUE!</v>
      </c>
      <c r="F19" s="529">
        <f>forecast!E17</f>
        <v>1710.3262120071224</v>
      </c>
      <c r="G19" s="529">
        <f>forecast!F17</f>
        <v>1712.4262120071226</v>
      </c>
      <c r="H19" s="529">
        <f>forecast!G17</f>
        <v>1704.5262120071227</v>
      </c>
      <c r="I19" s="529">
        <f>forecast!H17</f>
        <v>1706.6262120071228</v>
      </c>
      <c r="J19" s="529">
        <f>forecast!I17</f>
        <v>1783.9785508694649</v>
      </c>
      <c r="K19" s="529">
        <f>forecast!J17</f>
        <v>1791.0785508694651</v>
      </c>
      <c r="L19" s="529">
        <f>forecast!K17</f>
        <v>1798.1785508694652</v>
      </c>
      <c r="M19" s="529">
        <f>forecast!L17</f>
        <v>1805.2785508694653</v>
      </c>
      <c r="N19" s="529">
        <f>forecast!M17</f>
        <v>1878.701320206336</v>
      </c>
      <c r="O19" s="529">
        <f>forecast!N17</f>
        <v>1885.8013202063362</v>
      </c>
      <c r="P19" s="529">
        <f>forecast!O17</f>
        <v>1892.9013202063363</v>
      </c>
      <c r="Q19" s="529">
        <f>forecast!P17</f>
        <v>1900.0013202063365</v>
      </c>
      <c r="R19" s="529">
        <f>forecast!Q17</f>
        <v>1907.1013202063366</v>
      </c>
    </row>
    <row r="20" spans="2:18" x14ac:dyDescent="0.35">
      <c r="B20" s="518" t="str">
        <f>forecast!A18</f>
        <v>State Social Benefits ex Medicaid</v>
      </c>
      <c r="C20" s="518" t="str">
        <f>forecast!B18</f>
        <v>state_social_benefits</v>
      </c>
      <c r="D20" s="529">
        <f>forecast!C18</f>
        <v>0</v>
      </c>
      <c r="E20" s="529">
        <f>forecast!D18</f>
        <v>0</v>
      </c>
      <c r="F20" s="529">
        <f>forecast!E18</f>
        <v>0</v>
      </c>
      <c r="G20" s="529">
        <f>forecast!F18</f>
        <v>0</v>
      </c>
      <c r="H20" s="529">
        <f>forecast!G18</f>
        <v>0</v>
      </c>
      <c r="I20" s="529">
        <f>forecast!H18</f>
        <v>0</v>
      </c>
      <c r="J20" s="529">
        <f>forecast!I18</f>
        <v>0</v>
      </c>
      <c r="K20" s="529">
        <f>forecast!J18</f>
        <v>0</v>
      </c>
      <c r="L20" s="529">
        <f>forecast!K18</f>
        <v>0</v>
      </c>
      <c r="M20" s="529">
        <f>forecast!L18</f>
        <v>0</v>
      </c>
      <c r="N20" s="529">
        <f>forecast!M18</f>
        <v>0</v>
      </c>
      <c r="O20" s="529">
        <f>forecast!N18</f>
        <v>0</v>
      </c>
      <c r="P20" s="529">
        <f>forecast!O18</f>
        <v>0</v>
      </c>
      <c r="Q20" s="529">
        <f>forecast!P18</f>
        <v>0</v>
      </c>
      <c r="R20" s="529">
        <f>forecast!Q18</f>
        <v>0</v>
      </c>
    </row>
    <row r="21" spans="2:18" x14ac:dyDescent="0.35">
      <c r="B21" s="518" t="str">
        <f>forecast!A19</f>
        <v>Federal Non-Corporate Taxes</v>
      </c>
      <c r="C21" s="518" t="str">
        <f>forecast!B19</f>
        <v>federal_non_corporate_taxes</v>
      </c>
      <c r="D21" s="529">
        <f>forecast!C19</f>
        <v>0</v>
      </c>
      <c r="E21" s="529">
        <f>forecast!D19</f>
        <v>0</v>
      </c>
      <c r="F21" s="529">
        <f>forecast!E19</f>
        <v>3790.7238057954069</v>
      </c>
      <c r="G21" s="529">
        <f>forecast!F19</f>
        <v>3840.889887743801</v>
      </c>
      <c r="H21" s="529">
        <f>forecast!G19</f>
        <v>3887.0163916019224</v>
      </c>
      <c r="I21" s="529">
        <f>forecast!H19</f>
        <v>3930.0199767154968</v>
      </c>
      <c r="J21" s="529">
        <f>forecast!I19</f>
        <v>3964.5192614697726</v>
      </c>
      <c r="K21" s="529">
        <f>forecast!J19</f>
        <v>4003.335054718309</v>
      </c>
      <c r="L21" s="529">
        <f>forecast!K19</f>
        <v>4041.8237980896938</v>
      </c>
      <c r="M21" s="529">
        <f>forecast!L19</f>
        <v>4079.4959409347007</v>
      </c>
      <c r="N21" s="529">
        <f>forecast!M19</f>
        <v>4115.8988989802419</v>
      </c>
      <c r="O21" s="529">
        <f>forecast!N19</f>
        <v>4151.9534136676202</v>
      </c>
      <c r="P21" s="529">
        <f>forecast!O19</f>
        <v>4189.6512564334271</v>
      </c>
      <c r="Q21" s="529">
        <f>forecast!P19</f>
        <v>4227.3775725223713</v>
      </c>
      <c r="R21" s="529">
        <f>forecast!Q19</f>
        <v>4266.1932043264842</v>
      </c>
    </row>
    <row r="22" spans="2:18" x14ac:dyDescent="0.35">
      <c r="B22" s="518" t="str">
        <f>forecast!A20</f>
        <v>State Non-Corporate Taxes</v>
      </c>
      <c r="C22" s="518" t="str">
        <f>forecast!B20</f>
        <v>state_non_corporate_taxes</v>
      </c>
      <c r="D22" s="529">
        <f>forecast!C20</f>
        <v>0</v>
      </c>
      <c r="E22" s="529" t="e">
        <f>forecast!D20</f>
        <v>#DIV/0!</v>
      </c>
      <c r="F22" s="529" t="e">
        <f>forecast!E20</f>
        <v>#DIV/0!</v>
      </c>
      <c r="G22" s="529" t="e">
        <f>forecast!F20</f>
        <v>#DIV/0!</v>
      </c>
      <c r="H22" s="529" t="e">
        <f>forecast!G20</f>
        <v>#DIV/0!</v>
      </c>
      <c r="I22" s="529" t="e">
        <f>forecast!H20</f>
        <v>#DIV/0!</v>
      </c>
      <c r="J22" s="529" t="e">
        <f>forecast!I20</f>
        <v>#DIV/0!</v>
      </c>
      <c r="K22" s="529" t="e">
        <f>forecast!J20</f>
        <v>#DIV/0!</v>
      </c>
      <c r="L22" s="529" t="e">
        <f>forecast!K20</f>
        <v>#DIV/0!</v>
      </c>
      <c r="M22" s="529" t="e">
        <f>forecast!L20</f>
        <v>#DIV/0!</v>
      </c>
      <c r="N22" s="529" t="e">
        <f>forecast!M20</f>
        <v>#DIV/0!</v>
      </c>
      <c r="O22" s="529" t="e">
        <f>forecast!N20</f>
        <v>#DIV/0!</v>
      </c>
      <c r="P22" s="529" t="e">
        <f>forecast!O20</f>
        <v>#DIV/0!</v>
      </c>
      <c r="Q22" s="529" t="e">
        <f>forecast!P20</f>
        <v>#DIV/0!</v>
      </c>
      <c r="R22" s="529" t="e">
        <f>forecast!Q20</f>
        <v>#DIV/0!</v>
      </c>
    </row>
    <row r="23" spans="2:18" x14ac:dyDescent="0.35">
      <c r="B23" s="518" t="str">
        <f>forecast!A21</f>
        <v>Federal Corporate Taxes</v>
      </c>
      <c r="C23" s="518" t="str">
        <f>forecast!B21</f>
        <v>federal_corporate_taxes</v>
      </c>
      <c r="D23" s="529">
        <f>forecast!C21</f>
        <v>0</v>
      </c>
      <c r="E23" s="529">
        <f>forecast!D21</f>
        <v>0</v>
      </c>
      <c r="F23" s="529">
        <f>forecast!E21</f>
        <v>331.9957125021694</v>
      </c>
      <c r="G23" s="529">
        <f>forecast!F21</f>
        <v>337.72752744381148</v>
      </c>
      <c r="H23" s="529">
        <f>forecast!G21</f>
        <v>339.30096683955634</v>
      </c>
      <c r="I23" s="529">
        <f>forecast!H21</f>
        <v>339.07618978302133</v>
      </c>
      <c r="J23" s="529">
        <f>forecast!I21</f>
        <v>337.39036185900898</v>
      </c>
      <c r="K23" s="529">
        <f>forecast!J21</f>
        <v>334.46826012405421</v>
      </c>
      <c r="L23" s="529">
        <f>forecast!K21</f>
        <v>332.67004367177435</v>
      </c>
      <c r="M23" s="529">
        <f>forecast!L21</f>
        <v>332.67004367177435</v>
      </c>
      <c r="N23" s="529">
        <f>forecast!M21</f>
        <v>332.1755341473974</v>
      </c>
      <c r="O23" s="529">
        <f>forecast!N21</f>
        <v>333.80516780727601</v>
      </c>
      <c r="P23" s="529">
        <f>forecast!O21</f>
        <v>335.18754670496617</v>
      </c>
      <c r="Q23" s="529">
        <f>forecast!P21</f>
        <v>337.08691283268678</v>
      </c>
      <c r="R23" s="529">
        <f>forecast!Q21</f>
        <v>337.99725991165343</v>
      </c>
    </row>
    <row r="24" spans="2:18" x14ac:dyDescent="0.35">
      <c r="B24" s="518" t="str">
        <f>forecast!A22</f>
        <v>State Corporate Taxes</v>
      </c>
      <c r="C24" s="518" t="str">
        <f>forecast!B22</f>
        <v>state_corporate_taxes</v>
      </c>
      <c r="D24" s="529">
        <f>forecast!C22</f>
        <v>0</v>
      </c>
      <c r="E24" s="529" t="e">
        <f>forecast!D22</f>
        <v>#VALUE!</v>
      </c>
      <c r="F24" s="529" t="e">
        <f>forecast!E22</f>
        <v>#VALUE!</v>
      </c>
      <c r="G24" s="529" t="e">
        <f>forecast!F22</f>
        <v>#VALUE!</v>
      </c>
      <c r="H24" s="529" t="e">
        <f>forecast!G22</f>
        <v>#VALUE!</v>
      </c>
      <c r="I24" s="529" t="e">
        <f>forecast!H22</f>
        <v>#VALUE!</v>
      </c>
      <c r="J24" s="529" t="e">
        <f>forecast!I22</f>
        <v>#VALUE!</v>
      </c>
      <c r="K24" s="529" t="e">
        <f>forecast!J22</f>
        <v>#VALUE!</v>
      </c>
      <c r="L24" s="529" t="e">
        <f>forecast!K22</f>
        <v>#VALUE!</v>
      </c>
      <c r="M24" s="529" t="e">
        <f>forecast!L22</f>
        <v>#VALUE!</v>
      </c>
      <c r="N24" s="529" t="e">
        <f>forecast!M22</f>
        <v>#VALUE!</v>
      </c>
      <c r="O24" s="529" t="e">
        <f>forecast!N22</f>
        <v>#VALUE!</v>
      </c>
      <c r="P24" s="529" t="e">
        <f>forecast!O22</f>
        <v>#VALUE!</v>
      </c>
      <c r="Q24" s="529" t="e">
        <f>forecast!P22</f>
        <v>#VALUE!</v>
      </c>
      <c r="R24" s="529" t="e">
        <f>forecast!Q22</f>
        <v>#VALUE!</v>
      </c>
    </row>
    <row r="25" spans="2:18" x14ac:dyDescent="0.35">
      <c r="B25" s="518"/>
      <c r="C25" s="518"/>
      <c r="D25" s="518"/>
      <c r="E25" s="518"/>
      <c r="F25" s="518"/>
      <c r="G25" s="518"/>
      <c r="H25" s="518"/>
      <c r="I25" s="518"/>
      <c r="J25" s="518"/>
      <c r="K25" s="518"/>
      <c r="L25" s="518"/>
      <c r="M25" s="518"/>
      <c r="N25" s="518"/>
      <c r="O25" s="518"/>
    </row>
    <row r="26" spans="2:18" x14ac:dyDescent="0.35">
      <c r="B26" s="518"/>
      <c r="C26" s="518"/>
      <c r="D26" s="518"/>
      <c r="E26" s="518"/>
      <c r="F26" s="518"/>
      <c r="G26" s="518"/>
      <c r="H26" s="518"/>
      <c r="I26" s="518"/>
      <c r="J26" s="518"/>
      <c r="K26" s="518"/>
      <c r="L26" s="518"/>
      <c r="M26" s="518"/>
      <c r="N26" s="518"/>
      <c r="O26" s="518"/>
    </row>
    <row r="27" spans="2:18" x14ac:dyDescent="0.35">
      <c r="B27" s="1317" t="s">
        <v>1229</v>
      </c>
      <c r="C27" s="1317"/>
      <c r="D27" s="1317"/>
      <c r="E27" s="1317"/>
      <c r="F27" s="1317"/>
      <c r="G27" s="1317"/>
      <c r="H27" s="1317"/>
      <c r="I27" s="1317"/>
      <c r="J27" s="1317"/>
      <c r="K27" s="1317"/>
      <c r="L27" s="1317"/>
      <c r="M27" s="1317"/>
      <c r="N27" s="1317"/>
      <c r="O27" s="1317"/>
      <c r="P27" s="1317"/>
      <c r="Q27" s="1317"/>
      <c r="R27" s="1317"/>
    </row>
    <row r="28" spans="2:18" x14ac:dyDescent="0.35">
      <c r="B28" s="518" t="s">
        <v>627</v>
      </c>
      <c r="C28" s="518" t="s">
        <v>626</v>
      </c>
      <c r="D28" s="518" t="s">
        <v>153</v>
      </c>
      <c r="E28" s="518" t="s">
        <v>154</v>
      </c>
      <c r="F28" s="518" t="s">
        <v>155</v>
      </c>
      <c r="G28" s="518" t="s">
        <v>156</v>
      </c>
      <c r="H28" s="518" t="s">
        <v>157</v>
      </c>
      <c r="I28" s="518" t="s">
        <v>158</v>
      </c>
      <c r="J28" s="518" t="s">
        <v>159</v>
      </c>
      <c r="K28" s="518" t="s">
        <v>160</v>
      </c>
      <c r="L28" s="518" t="s">
        <v>161</v>
      </c>
      <c r="M28" s="518" t="s">
        <v>162</v>
      </c>
      <c r="N28" s="518" t="s">
        <v>163</v>
      </c>
      <c r="O28" s="518" t="s">
        <v>164</v>
      </c>
      <c r="P28" s="518" t="s">
        <v>165</v>
      </c>
      <c r="Q28" s="518" t="s">
        <v>166</v>
      </c>
      <c r="R28" s="518" t="s">
        <v>167</v>
      </c>
    </row>
    <row r="29" spans="2:18" x14ac:dyDescent="0.35">
      <c r="B29" s="518" t="s">
        <v>0</v>
      </c>
      <c r="C29" s="518" t="s">
        <v>607</v>
      </c>
      <c r="D29" s="529">
        <v>357.37317644110277</v>
      </c>
      <c r="E29" s="529">
        <v>393.13708782957406</v>
      </c>
      <c r="F29" s="529">
        <v>401.59684440561404</v>
      </c>
      <c r="G29" s="529">
        <v>419.69377636126723</v>
      </c>
      <c r="H29" s="529">
        <v>438.34081535917659</v>
      </c>
      <c r="I29" s="529">
        <v>458.27990750346845</v>
      </c>
      <c r="J29" s="529">
        <v>478.97760180360723</v>
      </c>
      <c r="K29" s="529">
        <v>471.71644350775153</v>
      </c>
      <c r="L29" s="529">
        <v>479.39300748806158</v>
      </c>
      <c r="M29" s="529">
        <v>492.73634954758404</v>
      </c>
      <c r="N29" s="529">
        <v>481.54983616948743</v>
      </c>
      <c r="O29" s="1014">
        <v>473.87554213626697</v>
      </c>
      <c r="P29" s="1014">
        <v>489.00698046171772</v>
      </c>
      <c r="Q29" s="1014">
        <v>503.86304218018643</v>
      </c>
      <c r="R29" s="1014">
        <v>511.23178213939389</v>
      </c>
    </row>
    <row r="30" spans="2:18" x14ac:dyDescent="0.35">
      <c r="B30" s="518" t="s">
        <v>6</v>
      </c>
      <c r="C30" s="518" t="s">
        <v>606</v>
      </c>
      <c r="D30" s="529">
        <v>75.205285714285722</v>
      </c>
      <c r="E30" s="529">
        <v>75.205285714285722</v>
      </c>
      <c r="F30" s="529">
        <v>75.205285714285722</v>
      </c>
      <c r="G30" s="529">
        <v>75.205285714285722</v>
      </c>
      <c r="H30" s="529">
        <v>75.205285714285722</v>
      </c>
      <c r="I30" s="529">
        <v>75.205285714285722</v>
      </c>
      <c r="J30" s="529">
        <v>75.205285714285722</v>
      </c>
      <c r="K30" s="529">
        <v>75.205285714285722</v>
      </c>
      <c r="L30" s="529">
        <v>75.205285714285722</v>
      </c>
      <c r="M30" s="529">
        <v>75.205285714285722</v>
      </c>
      <c r="N30" s="529">
        <v>75.205285714285722</v>
      </c>
      <c r="O30" s="1014">
        <v>75.205285714285722</v>
      </c>
      <c r="P30" s="1014">
        <v>75.205285714285722</v>
      </c>
      <c r="Q30" s="1014">
        <v>75.205285714285722</v>
      </c>
      <c r="R30" s="1014">
        <v>75.205285714285722</v>
      </c>
    </row>
    <row r="31" spans="2:18" x14ac:dyDescent="0.35">
      <c r="B31" s="518" t="s">
        <v>457</v>
      </c>
      <c r="C31" s="518" t="s">
        <v>602</v>
      </c>
      <c r="D31" s="529">
        <v>1574.4706324651618</v>
      </c>
      <c r="E31" s="529">
        <v>1586.3910806856957</v>
      </c>
      <c r="F31" s="529">
        <v>1598.4948253539787</v>
      </c>
      <c r="G31" s="529">
        <v>1600.4852269719188</v>
      </c>
      <c r="H31" s="529">
        <v>1599.8246179233195</v>
      </c>
      <c r="I31" s="529">
        <v>1599.9925730575819</v>
      </c>
      <c r="J31" s="529">
        <v>1604.2713586599725</v>
      </c>
      <c r="K31" s="529">
        <v>1610.249863080161</v>
      </c>
      <c r="L31" s="529">
        <v>1617.9041839311014</v>
      </c>
      <c r="M31" s="529">
        <v>1626.9012547503785</v>
      </c>
      <c r="N31" s="529">
        <v>1635.7763242754954</v>
      </c>
      <c r="O31" s="1014">
        <v>1644.6998090678856</v>
      </c>
      <c r="P31" s="1014">
        <v>1654.0763434825342</v>
      </c>
      <c r="Q31" s="1014">
        <v>1663.0996585149583</v>
      </c>
      <c r="R31" s="1014">
        <v>1673.3979812645641</v>
      </c>
    </row>
    <row r="32" spans="2:18" x14ac:dyDescent="0.35">
      <c r="B32" s="518" t="s">
        <v>458</v>
      </c>
      <c r="C32" s="518" t="s">
        <v>603</v>
      </c>
      <c r="D32" s="529">
        <v>2511.8436452174183</v>
      </c>
      <c r="E32" s="529">
        <v>2572.4134619069305</v>
      </c>
      <c r="F32" s="529">
        <v>2628.4359475389774</v>
      </c>
      <c r="G32" s="529">
        <v>2679.4973817692357</v>
      </c>
      <c r="H32" s="529">
        <v>2725.2056548484343</v>
      </c>
      <c r="I32" s="529">
        <v>2761.9282764357772</v>
      </c>
      <c r="J32" s="529">
        <v>2795.8233077203895</v>
      </c>
      <c r="K32" s="529">
        <v>2830.1343067749062</v>
      </c>
      <c r="L32" s="529">
        <v>2864.8663784533146</v>
      </c>
      <c r="M32" s="529">
        <v>2900.0246902575668</v>
      </c>
      <c r="N32" s="529">
        <v>2935.6144731064101</v>
      </c>
      <c r="O32" s="1014">
        <v>2935.6144731064101</v>
      </c>
      <c r="P32" s="1014">
        <v>2935.6144731064101</v>
      </c>
      <c r="Q32" s="1014">
        <v>2935.6144731064101</v>
      </c>
      <c r="R32" s="1014">
        <v>2935.6144731064101</v>
      </c>
    </row>
    <row r="33" spans="2:18" x14ac:dyDescent="0.35">
      <c r="B33" s="518" t="s">
        <v>568</v>
      </c>
      <c r="C33" s="518" t="s">
        <v>610</v>
      </c>
      <c r="D33" s="529">
        <v>684.23865117608079</v>
      </c>
      <c r="E33" s="529">
        <v>116.33678854309761</v>
      </c>
      <c r="F33" s="529">
        <v>83.047368421052624</v>
      </c>
      <c r="G33" s="529">
        <v>77.633834586466179</v>
      </c>
      <c r="H33" s="529">
        <v>77.633834586466179</v>
      </c>
      <c r="I33" s="529">
        <v>75.736000000000004</v>
      </c>
      <c r="J33" s="529">
        <v>75.736000000000004</v>
      </c>
      <c r="K33" s="529">
        <v>75.736000000000004</v>
      </c>
      <c r="L33" s="529">
        <v>75.736000000000004</v>
      </c>
      <c r="M33" s="529">
        <v>74.060000000000016</v>
      </c>
      <c r="N33" s="529">
        <v>74.060000000000016</v>
      </c>
      <c r="O33" s="1014">
        <v>74.060000000000016</v>
      </c>
      <c r="P33" s="1014">
        <v>74.060000000000016</v>
      </c>
      <c r="Q33" s="1014">
        <v>77.001000000000005</v>
      </c>
      <c r="R33" s="1014">
        <v>77.001000000000005</v>
      </c>
    </row>
    <row r="34" spans="2:18" x14ac:dyDescent="0.35">
      <c r="B34" s="518" t="s">
        <v>609</v>
      </c>
      <c r="C34" s="518" t="s">
        <v>611</v>
      </c>
      <c r="D34" s="529">
        <v>267.78904</v>
      </c>
      <c r="E34" s="529">
        <v>110.24799999999999</v>
      </c>
      <c r="F34" s="529">
        <v>110.24799999999999</v>
      </c>
      <c r="G34" s="529">
        <v>110.24799999999999</v>
      </c>
      <c r="H34" s="529">
        <v>110.24799999999999</v>
      </c>
      <c r="I34" s="529">
        <v>12.726000000000001</v>
      </c>
      <c r="J34" s="529">
        <v>12.726000000000001</v>
      </c>
      <c r="K34" s="529">
        <v>12.726000000000001</v>
      </c>
      <c r="L34" s="529">
        <v>12.726000000000001</v>
      </c>
      <c r="M34" s="529">
        <v>1.365</v>
      </c>
      <c r="N34" s="529">
        <v>1.365</v>
      </c>
      <c r="O34" s="1014">
        <v>1.365</v>
      </c>
      <c r="P34" s="1014">
        <v>1.365</v>
      </c>
      <c r="Q34" s="1014">
        <v>-0.90100000000000025</v>
      </c>
      <c r="R34" s="1014">
        <v>-0.90100000000000025</v>
      </c>
    </row>
    <row r="35" spans="2:18" x14ac:dyDescent="0.35">
      <c r="B35" s="518" t="s">
        <v>133</v>
      </c>
      <c r="C35" s="518" t="s">
        <v>604</v>
      </c>
      <c r="D35" s="529">
        <v>232.99999999999997</v>
      </c>
      <c r="E35" s="529">
        <v>0</v>
      </c>
      <c r="F35" s="529">
        <v>0</v>
      </c>
      <c r="G35" s="529">
        <v>0</v>
      </c>
      <c r="H35" s="529">
        <v>0</v>
      </c>
      <c r="I35" s="529">
        <v>0</v>
      </c>
      <c r="J35" s="529">
        <v>0</v>
      </c>
      <c r="K35" s="529">
        <v>0</v>
      </c>
      <c r="L35" s="529">
        <v>0</v>
      </c>
      <c r="M35" s="529">
        <v>0</v>
      </c>
      <c r="N35" s="529">
        <v>0</v>
      </c>
      <c r="O35" s="1014">
        <v>0</v>
      </c>
      <c r="P35" s="1014">
        <v>0</v>
      </c>
      <c r="Q35" s="1014">
        <v>0</v>
      </c>
      <c r="R35" s="1014">
        <v>0</v>
      </c>
    </row>
    <row r="36" spans="2:18" x14ac:dyDescent="0.35">
      <c r="B36" t="s">
        <v>134</v>
      </c>
      <c r="C36" t="s">
        <v>605</v>
      </c>
      <c r="D36" s="529">
        <v>41.434647398843964</v>
      </c>
      <c r="E36" s="529">
        <v>36.046109826589621</v>
      </c>
      <c r="F36" s="529">
        <v>32.09660115606939</v>
      </c>
      <c r="G36" s="529">
        <v>29.867670520231236</v>
      </c>
      <c r="H36" s="529">
        <v>28.796219653179211</v>
      </c>
      <c r="I36" s="529">
        <v>28.444283236994242</v>
      </c>
      <c r="J36" s="529">
        <v>28.639803468208115</v>
      </c>
      <c r="K36" s="529">
        <v>29.077768786127191</v>
      </c>
      <c r="L36" s="529">
        <v>29.52355491329482</v>
      </c>
      <c r="M36" s="529">
        <v>29.992803468208116</v>
      </c>
      <c r="N36" s="529">
        <v>30.579364161849735</v>
      </c>
      <c r="O36" s="1014">
        <v>31.064254335260141</v>
      </c>
      <c r="P36" s="1014">
        <v>31.447473988439334</v>
      </c>
      <c r="Q36" s="1014">
        <v>31.924543352601184</v>
      </c>
      <c r="R36" s="1014">
        <v>32.385971098265927</v>
      </c>
    </row>
    <row r="37" spans="2:18" x14ac:dyDescent="0.35">
      <c r="B37" t="s">
        <v>140</v>
      </c>
      <c r="C37" t="s">
        <v>608</v>
      </c>
      <c r="D37" s="529">
        <v>552.98943075574527</v>
      </c>
      <c r="E37" s="529">
        <v>561.55321472104822</v>
      </c>
      <c r="F37" s="529">
        <v>595.71048950195052</v>
      </c>
      <c r="G37" s="529">
        <v>604.93586643363528</v>
      </c>
      <c r="H37" s="529">
        <v>557.70430033183629</v>
      </c>
      <c r="I37" s="529">
        <v>556.8347699065057</v>
      </c>
      <c r="J37" s="529">
        <v>558.52568720215106</v>
      </c>
      <c r="K37" s="529">
        <v>560.22173923696005</v>
      </c>
      <c r="L37" s="529">
        <v>561.92294160338429</v>
      </c>
      <c r="M37" s="529">
        <v>584.9437111499708</v>
      </c>
      <c r="N37" s="529">
        <v>608.90759191569498</v>
      </c>
      <c r="O37" s="1014">
        <v>633.85322113072698</v>
      </c>
      <c r="P37" s="1014">
        <v>659.82081890912684</v>
      </c>
      <c r="Q37" s="1014">
        <v>686.85225309617954</v>
      </c>
      <c r="R37" s="1014">
        <v>714.99110677238536</v>
      </c>
    </row>
    <row r="38" spans="2:18" x14ac:dyDescent="0.35">
      <c r="B38" t="s">
        <v>139</v>
      </c>
      <c r="C38" t="s">
        <v>73</v>
      </c>
      <c r="D38" s="529">
        <v>770.8</v>
      </c>
      <c r="E38" s="529">
        <v>782.73687313595531</v>
      </c>
      <c r="F38" s="529">
        <v>794.85860478289123</v>
      </c>
      <c r="G38" s="529">
        <v>807.16805772310374</v>
      </c>
      <c r="H38" s="529">
        <v>819.66813907291714</v>
      </c>
      <c r="I38" s="529">
        <v>822.15719167514692</v>
      </c>
      <c r="J38" s="529">
        <v>824.65380268127376</v>
      </c>
      <c r="K38" s="529">
        <v>827.15799504359268</v>
      </c>
      <c r="L38" s="529">
        <v>829.66979178409679</v>
      </c>
      <c r="M38" s="529">
        <v>863.65957163171674</v>
      </c>
      <c r="N38" s="529">
        <v>899.04183936491506</v>
      </c>
      <c r="O38" s="1014">
        <v>935.87364220553832</v>
      </c>
      <c r="P38" s="1014">
        <v>974.21436447692884</v>
      </c>
      <c r="Q38" s="1014">
        <v>1014.1258233499268</v>
      </c>
      <c r="R38" s="1014">
        <v>1055.6723685113786</v>
      </c>
    </row>
    <row r="39" spans="2:18" x14ac:dyDescent="0.35">
      <c r="B39" t="s">
        <v>383</v>
      </c>
      <c r="C39" t="s">
        <v>74</v>
      </c>
      <c r="D39" s="529">
        <v>829.40291089552829</v>
      </c>
      <c r="E39" s="529">
        <v>843.85759747491386</v>
      </c>
      <c r="F39" s="529">
        <v>843.37413735570783</v>
      </c>
      <c r="G39" s="529">
        <v>859.18080292867467</v>
      </c>
      <c r="H39" s="529">
        <v>861.28301891594344</v>
      </c>
      <c r="I39" s="529">
        <v>877.68631147019892</v>
      </c>
      <c r="J39" s="529">
        <v>894.37097605549116</v>
      </c>
      <c r="K39" s="529">
        <v>911.36713476209957</v>
      </c>
      <c r="L39" s="529">
        <v>928.68060302533706</v>
      </c>
      <c r="M39" s="529">
        <v>946.31730485170817</v>
      </c>
      <c r="N39" s="529">
        <v>964.02626563984654</v>
      </c>
      <c r="O39" s="1014">
        <v>982.06111404386252</v>
      </c>
      <c r="P39" s="1014">
        <v>1000.427847182359</v>
      </c>
      <c r="Q39" s="1014">
        <v>1019.1325725353943</v>
      </c>
      <c r="R39" s="1014">
        <v>1038.181509975399</v>
      </c>
    </row>
    <row r="40" spans="2:18" x14ac:dyDescent="0.35">
      <c r="B40" t="s">
        <v>461</v>
      </c>
      <c r="C40" t="s">
        <v>616</v>
      </c>
      <c r="D40" s="529">
        <v>0</v>
      </c>
      <c r="E40" s="529">
        <v>0</v>
      </c>
      <c r="F40" s="529">
        <v>0</v>
      </c>
      <c r="G40" s="529">
        <v>0</v>
      </c>
      <c r="H40" s="529">
        <v>0</v>
      </c>
      <c r="I40" s="529">
        <v>0</v>
      </c>
      <c r="J40" s="529">
        <v>0</v>
      </c>
      <c r="K40" s="529">
        <v>0</v>
      </c>
      <c r="L40" s="529">
        <v>0</v>
      </c>
      <c r="M40" s="529">
        <v>0</v>
      </c>
      <c r="N40" s="529">
        <v>0</v>
      </c>
      <c r="O40" s="1014">
        <v>0</v>
      </c>
      <c r="P40" s="1014">
        <v>0</v>
      </c>
      <c r="Q40" s="1014">
        <v>0</v>
      </c>
      <c r="R40" s="1014">
        <v>0</v>
      </c>
    </row>
    <row r="41" spans="2:18" x14ac:dyDescent="0.35">
      <c r="B41" t="s">
        <v>462</v>
      </c>
      <c r="C41" t="s">
        <v>617</v>
      </c>
      <c r="D41" s="529">
        <v>20</v>
      </c>
      <c r="E41" s="529">
        <v>0</v>
      </c>
      <c r="F41" s="529">
        <v>14.93</v>
      </c>
      <c r="G41" s="529">
        <v>34.93</v>
      </c>
      <c r="H41" s="529">
        <v>0</v>
      </c>
      <c r="I41" s="529">
        <v>0</v>
      </c>
      <c r="J41" s="529">
        <v>0</v>
      </c>
      <c r="K41" s="529">
        <v>0</v>
      </c>
      <c r="L41" s="529">
        <v>0</v>
      </c>
      <c r="M41" s="529">
        <v>0</v>
      </c>
      <c r="N41" s="529">
        <v>0</v>
      </c>
      <c r="O41" s="1014">
        <v>0</v>
      </c>
      <c r="P41" s="1014">
        <v>0</v>
      </c>
      <c r="Q41" s="1014">
        <v>0</v>
      </c>
      <c r="R41" s="1014">
        <v>0</v>
      </c>
    </row>
    <row r="42" spans="2:18" x14ac:dyDescent="0.35">
      <c r="B42" t="s">
        <v>459</v>
      </c>
      <c r="C42" t="s">
        <v>615</v>
      </c>
      <c r="D42" s="529">
        <v>137.43936000000005</v>
      </c>
      <c r="E42" s="529">
        <v>52.756999999999998</v>
      </c>
      <c r="F42" s="529">
        <v>52.756999999999998</v>
      </c>
      <c r="G42" s="529">
        <v>52.756999999999998</v>
      </c>
      <c r="H42" s="529">
        <v>52.756999999999998</v>
      </c>
      <c r="I42" s="529">
        <v>12</v>
      </c>
      <c r="J42" s="529">
        <v>12</v>
      </c>
      <c r="K42" s="529">
        <v>12</v>
      </c>
      <c r="L42" s="529">
        <v>12</v>
      </c>
      <c r="M42" s="529">
        <v>4.2219999999999995</v>
      </c>
      <c r="N42" s="529">
        <v>4.2219999999999995</v>
      </c>
      <c r="O42" s="1014">
        <v>4.2219999999999995</v>
      </c>
      <c r="P42" s="1014">
        <v>4.2219999999999995</v>
      </c>
      <c r="Q42" s="1014">
        <v>2.3719999999999999</v>
      </c>
      <c r="R42" s="1014">
        <v>2.3719999999999999</v>
      </c>
    </row>
    <row r="43" spans="2:18" x14ac:dyDescent="0.35">
      <c r="B43" t="s">
        <v>460</v>
      </c>
      <c r="C43" t="s">
        <v>614</v>
      </c>
      <c r="D43" s="529">
        <v>203.10400000000004</v>
      </c>
      <c r="E43" s="529">
        <v>74.718999999999994</v>
      </c>
      <c r="F43" s="529">
        <v>74.718999999999994</v>
      </c>
      <c r="G43" s="529">
        <v>74.718999999999994</v>
      </c>
      <c r="H43" s="529">
        <v>74.718999999999994</v>
      </c>
      <c r="I43" s="529">
        <v>2.1159999999999997</v>
      </c>
      <c r="J43" s="529">
        <v>2.1159999999999997</v>
      </c>
      <c r="K43" s="529">
        <v>2.1159999999999997</v>
      </c>
      <c r="L43" s="529">
        <v>2.1159999999999997</v>
      </c>
      <c r="M43" s="529">
        <v>2.1789999999999998</v>
      </c>
      <c r="N43" s="529">
        <v>2.1789999999999998</v>
      </c>
      <c r="O43" s="1014">
        <v>2.1789999999999998</v>
      </c>
      <c r="P43" s="1014">
        <v>2.1789999999999998</v>
      </c>
      <c r="Q43" s="1014">
        <v>2.33</v>
      </c>
      <c r="R43" s="1014">
        <v>2.33</v>
      </c>
    </row>
    <row r="44" spans="2:18" x14ac:dyDescent="0.35">
      <c r="B44" t="s">
        <v>553</v>
      </c>
      <c r="C44" t="s">
        <v>612</v>
      </c>
      <c r="D44" s="529">
        <v>1692.5000000000009</v>
      </c>
      <c r="E44" s="529">
        <v>1669.600000000001</v>
      </c>
      <c r="F44" s="529">
        <v>1710.3262120071224</v>
      </c>
      <c r="G44" s="529">
        <v>1712.4262120071226</v>
      </c>
      <c r="H44" s="529">
        <v>1704.5262120071227</v>
      </c>
      <c r="I44" s="529">
        <v>1706.6262120071228</v>
      </c>
      <c r="J44" s="529">
        <v>1783.9785508694649</v>
      </c>
      <c r="K44" s="529">
        <v>1791.0785508694651</v>
      </c>
      <c r="L44" s="529">
        <v>1798.1785508694652</v>
      </c>
      <c r="M44" s="529">
        <v>1805.2785508694653</v>
      </c>
      <c r="N44" s="529">
        <v>1878.701320206336</v>
      </c>
      <c r="O44" s="1014">
        <v>1885.8013202063362</v>
      </c>
      <c r="P44" s="1014">
        <v>1892.9013202063363</v>
      </c>
      <c r="Q44" s="1014">
        <v>1900.0013202063365</v>
      </c>
      <c r="R44" s="1014">
        <v>1907.1013202063366</v>
      </c>
    </row>
    <row r="45" spans="2:18" x14ac:dyDescent="0.35">
      <c r="B45" t="s">
        <v>554</v>
      </c>
      <c r="C45" t="s">
        <v>613</v>
      </c>
      <c r="D45" s="529">
        <v>156.86404345185662</v>
      </c>
      <c r="E45" s="529">
        <v>158.75050405203845</v>
      </c>
      <c r="F45" s="529">
        <v>160.65965139111677</v>
      </c>
      <c r="G45" s="529">
        <v>162.59175830178242</v>
      </c>
      <c r="H45" s="529">
        <v>164.54710089783592</v>
      </c>
      <c r="I45" s="529">
        <v>166.52595861364625</v>
      </c>
      <c r="J45" s="529">
        <v>168.52861424408439</v>
      </c>
      <c r="K45" s="529">
        <v>170.555353984937</v>
      </c>
      <c r="L45" s="529">
        <v>172.60646747380608</v>
      </c>
      <c r="M45" s="529">
        <v>174.68224783150058</v>
      </c>
      <c r="N45" s="529">
        <v>176.78299170392575</v>
      </c>
      <c r="O45" s="1014">
        <v>178.90899930447623</v>
      </c>
      <c r="P45" s="1014">
        <v>181.06057445693898</v>
      </c>
      <c r="Q45" s="1014">
        <v>183.23802463891224</v>
      </c>
      <c r="R45" s="1014">
        <v>185.44166102574647</v>
      </c>
    </row>
    <row r="46" spans="2:18" x14ac:dyDescent="0.35">
      <c r="B46" t="s">
        <v>620</v>
      </c>
      <c r="C46" t="s">
        <v>622</v>
      </c>
      <c r="D46" s="529">
        <v>3702.7279180746473</v>
      </c>
      <c r="E46" s="529">
        <v>3753.1986685626935</v>
      </c>
      <c r="F46" s="529">
        <v>3789.474466066139</v>
      </c>
      <c r="G46" s="529">
        <v>3839.6232913716235</v>
      </c>
      <c r="H46" s="529">
        <v>3885.73396048325</v>
      </c>
      <c r="I46" s="529">
        <v>3928.7228259014305</v>
      </c>
      <c r="J46" s="529">
        <v>3963.2082474974463</v>
      </c>
      <c r="K46" s="529">
        <v>4002.0105959242255</v>
      </c>
      <c r="L46" s="529">
        <v>4040.4862419569254</v>
      </c>
      <c r="M46" s="529">
        <v>4078.1458539417649</v>
      </c>
      <c r="N46" s="529">
        <v>4114.5364253800335</v>
      </c>
      <c r="O46" s="1014">
        <v>4150.5791355082993</v>
      </c>
      <c r="P46" s="1014">
        <v>4188.264463641015</v>
      </c>
      <c r="Q46" s="1014">
        <v>4225.9780741350496</v>
      </c>
      <c r="R46" s="1014">
        <v>4264.7804553946153</v>
      </c>
    </row>
    <row r="47" spans="2:18" x14ac:dyDescent="0.35">
      <c r="B47" t="s">
        <v>621</v>
      </c>
      <c r="C47" t="s">
        <v>623</v>
      </c>
      <c r="D47" s="529">
        <v>2164.4482919103875</v>
      </c>
      <c r="E47" s="529">
        <v>2194.3223121532637</v>
      </c>
      <c r="F47" s="529">
        <v>2224.5413720016322</v>
      </c>
      <c r="G47" s="529">
        <v>2253.7176920087013</v>
      </c>
      <c r="H47" s="529">
        <v>2284.0426377976205</v>
      </c>
      <c r="I47" s="529">
        <v>2311.8513323667312</v>
      </c>
      <c r="J47" s="529">
        <v>2336.816532152634</v>
      </c>
      <c r="K47" s="529">
        <v>2360.4098395562496</v>
      </c>
      <c r="L47" s="529">
        <v>2383.8947046963863</v>
      </c>
      <c r="M47" s="529">
        <v>2406.1925927068878</v>
      </c>
      <c r="N47" s="529">
        <v>2427.4681701856962</v>
      </c>
      <c r="O47" s="1014">
        <v>2448.7029333186206</v>
      </c>
      <c r="P47" s="1014">
        <v>2470.8658012154724</v>
      </c>
      <c r="Q47" s="1014">
        <v>2492.091879620777</v>
      </c>
      <c r="R47" s="1014">
        <v>2514.7144630554176</v>
      </c>
    </row>
    <row r="48" spans="2:18" x14ac:dyDescent="0.35">
      <c r="B48" t="s">
        <v>618</v>
      </c>
      <c r="C48" t="s">
        <v>624</v>
      </c>
      <c r="D48" s="529">
        <v>275.36144578313252</v>
      </c>
      <c r="E48" s="529">
        <v>278.50843373493979</v>
      </c>
      <c r="F48" s="529">
        <v>331.9957125021694</v>
      </c>
      <c r="G48" s="529">
        <v>337.72752744381148</v>
      </c>
      <c r="H48" s="529">
        <v>339.30096683955634</v>
      </c>
      <c r="I48" s="529">
        <v>339.07618978302133</v>
      </c>
      <c r="J48" s="529">
        <v>337.39036185900898</v>
      </c>
      <c r="K48" s="529">
        <v>334.46826012405421</v>
      </c>
      <c r="L48" s="529">
        <v>332.67004367177435</v>
      </c>
      <c r="M48" s="529">
        <v>332.67004367177435</v>
      </c>
      <c r="N48" s="529">
        <v>332.1755341473974</v>
      </c>
      <c r="O48" s="1014">
        <v>333.80516780727601</v>
      </c>
      <c r="P48" s="1014">
        <v>335.18754670496617</v>
      </c>
      <c r="Q48" s="1014">
        <v>337.08691283268678</v>
      </c>
      <c r="R48" s="1014">
        <v>337.99725991165343</v>
      </c>
    </row>
    <row r="49" spans="2:18" x14ac:dyDescent="0.35">
      <c r="B49" t="s">
        <v>619</v>
      </c>
      <c r="C49" t="s">
        <v>625</v>
      </c>
      <c r="D49" s="529">
        <v>119.87954743783622</v>
      </c>
      <c r="E49" s="529">
        <v>121.24959940855436</v>
      </c>
      <c r="F49" s="529">
        <v>119.03333886768679</v>
      </c>
      <c r="G49" s="529">
        <v>121.08841682376399</v>
      </c>
      <c r="H49" s="529">
        <v>121.65255587053028</v>
      </c>
      <c r="I49" s="529">
        <v>121.57196457813509</v>
      </c>
      <c r="J49" s="529">
        <v>120.96752988517122</v>
      </c>
      <c r="K49" s="529">
        <v>119.91984308403381</v>
      </c>
      <c r="L49" s="529">
        <v>119.27511274487235</v>
      </c>
      <c r="M49" s="529">
        <v>119.27511274487235</v>
      </c>
      <c r="N49" s="529">
        <v>119.09781190160294</v>
      </c>
      <c r="O49" s="1014">
        <v>119.68209877146802</v>
      </c>
      <c r="P49" s="1014">
        <v>120.17773521969842</v>
      </c>
      <c r="Q49" s="1014">
        <v>120.85873164043772</v>
      </c>
      <c r="R49" s="1014">
        <v>121.18512637463822</v>
      </c>
    </row>
    <row r="52" spans="2:18" x14ac:dyDescent="0.35">
      <c r="B52" s="1317" t="s">
        <v>1126</v>
      </c>
      <c r="C52" s="1317"/>
      <c r="D52" s="1317"/>
      <c r="E52" s="1317"/>
      <c r="F52" s="1317"/>
      <c r="G52" s="1317"/>
      <c r="H52" s="1317"/>
      <c r="I52" s="1317"/>
      <c r="J52" s="1317"/>
      <c r="K52" s="1317"/>
      <c r="L52" s="1317"/>
      <c r="M52" s="1317"/>
      <c r="N52" s="1317"/>
      <c r="O52" s="1317"/>
      <c r="P52" s="1317"/>
      <c r="Q52" s="1317"/>
      <c r="R52" s="1317"/>
    </row>
    <row r="53" spans="2:18" x14ac:dyDescent="0.35">
      <c r="B53" s="518" t="s">
        <v>627</v>
      </c>
      <c r="C53" s="518" t="s">
        <v>626</v>
      </c>
      <c r="D53" s="518" t="s">
        <v>153</v>
      </c>
      <c r="E53" s="518" t="s">
        <v>154</v>
      </c>
      <c r="F53" s="518" t="s">
        <v>155</v>
      </c>
      <c r="G53" s="518" t="s">
        <v>156</v>
      </c>
      <c r="H53" s="518" t="s">
        <v>157</v>
      </c>
      <c r="I53" s="518" t="s">
        <v>158</v>
      </c>
      <c r="J53" s="518" t="s">
        <v>159</v>
      </c>
      <c r="K53" s="518" t="s">
        <v>160</v>
      </c>
      <c r="L53" s="518" t="s">
        <v>161</v>
      </c>
      <c r="M53" s="518" t="s">
        <v>162</v>
      </c>
      <c r="N53" s="518" t="s">
        <v>163</v>
      </c>
      <c r="O53" t="s">
        <v>164</v>
      </c>
      <c r="P53" s="518" t="s">
        <v>165</v>
      </c>
      <c r="Q53" s="518" t="s">
        <v>166</v>
      </c>
      <c r="R53" s="518" t="s">
        <v>167</v>
      </c>
    </row>
    <row r="54" spans="2:18" x14ac:dyDescent="0.35">
      <c r="B54" s="518" t="s">
        <v>0</v>
      </c>
      <c r="C54" s="518" t="s">
        <v>607</v>
      </c>
      <c r="D54" s="529">
        <f t="shared" ref="D54:N54" si="0">D4-D29</f>
        <v>-391.6291764411028</v>
      </c>
      <c r="E54" s="529" t="e">
        <f t="shared" si="0"/>
        <v>#DIV/0!</v>
      </c>
      <c r="F54" s="529" t="e">
        <f t="shared" si="0"/>
        <v>#DIV/0!</v>
      </c>
      <c r="G54" s="529" t="e">
        <f t="shared" si="0"/>
        <v>#DIV/0!</v>
      </c>
      <c r="H54" s="529" t="e">
        <f t="shared" si="0"/>
        <v>#DIV/0!</v>
      </c>
      <c r="I54" s="529">
        <f t="shared" si="0"/>
        <v>-408.34391586941621</v>
      </c>
      <c r="J54" s="529">
        <f t="shared" si="0"/>
        <v>-424.67767250419291</v>
      </c>
      <c r="K54" s="529">
        <f t="shared" si="0"/>
        <v>-441.66477940436062</v>
      </c>
      <c r="L54" s="529">
        <f t="shared" si="0"/>
        <v>-459.33137058053507</v>
      </c>
      <c r="M54" s="529">
        <f t="shared" si="0"/>
        <v>-477.70462540375649</v>
      </c>
      <c r="N54" s="529">
        <f t="shared" si="0"/>
        <v>-496.81281041990673</v>
      </c>
      <c r="O54" s="529">
        <f t="shared" ref="O54:R54" si="1">O4-O29</f>
        <v>-516.68532283670311</v>
      </c>
      <c r="P54" s="529">
        <f t="shared" si="1"/>
        <v>-537.35273575017118</v>
      </c>
      <c r="Q54" s="529">
        <f t="shared" si="1"/>
        <v>-558.84684518017809</v>
      </c>
      <c r="R54" s="529">
        <f t="shared" si="1"/>
        <v>-581.20071898738524</v>
      </c>
    </row>
    <row r="55" spans="2:18" x14ac:dyDescent="0.35">
      <c r="B55" s="518" t="s">
        <v>6</v>
      </c>
      <c r="C55" s="518" t="s">
        <v>606</v>
      </c>
      <c r="D55" s="529">
        <f t="shared" ref="D55:N55" si="2">D5-D30</f>
        <v>-75.205285714285722</v>
      </c>
      <c r="E55" s="529">
        <f t="shared" si="2"/>
        <v>0.14314285714284836</v>
      </c>
      <c r="F55" s="529">
        <f t="shared" si="2"/>
        <v>0.14314285714284836</v>
      </c>
      <c r="G55" s="529">
        <f t="shared" si="2"/>
        <v>0.14314285714284836</v>
      </c>
      <c r="H55" s="529">
        <f t="shared" si="2"/>
        <v>0.14314285714284836</v>
      </c>
      <c r="I55" s="529">
        <f t="shared" si="2"/>
        <v>0.14314285714284836</v>
      </c>
      <c r="J55" s="529">
        <f t="shared" si="2"/>
        <v>0.14314285714284836</v>
      </c>
      <c r="K55" s="529">
        <f t="shared" si="2"/>
        <v>0.14314285714284836</v>
      </c>
      <c r="L55" s="529">
        <f t="shared" si="2"/>
        <v>0.14314285714284836</v>
      </c>
      <c r="M55" s="529">
        <f t="shared" si="2"/>
        <v>0.14314285714284836</v>
      </c>
      <c r="N55" s="529">
        <f t="shared" si="2"/>
        <v>0.14314285714284836</v>
      </c>
      <c r="O55" s="529">
        <f t="shared" ref="O55:R55" si="3">O5-O30</f>
        <v>0.14314285714284836</v>
      </c>
      <c r="P55" s="529">
        <f t="shared" si="3"/>
        <v>0.14314285714284836</v>
      </c>
      <c r="Q55" s="529">
        <f t="shared" si="3"/>
        <v>0.14314285714284836</v>
      </c>
      <c r="R55" s="529">
        <f t="shared" si="3"/>
        <v>0.14314285714284836</v>
      </c>
    </row>
    <row r="56" spans="2:18" x14ac:dyDescent="0.35">
      <c r="B56" s="518" t="s">
        <v>457</v>
      </c>
      <c r="C56" s="518" t="s">
        <v>602</v>
      </c>
      <c r="D56" s="529">
        <f t="shared" ref="D56:N74" si="4">D6-D31</f>
        <v>-1574.4706324651618</v>
      </c>
      <c r="E56" s="529">
        <f t="shared" si="4"/>
        <v>-1586.3910806856957</v>
      </c>
      <c r="F56" s="529">
        <f t="shared" si="4"/>
        <v>-1598.4948253539787</v>
      </c>
      <c r="G56" s="529">
        <f t="shared" si="4"/>
        <v>-1600.4852269719188</v>
      </c>
      <c r="H56" s="529">
        <f t="shared" si="4"/>
        <v>-1599.8246179233195</v>
      </c>
      <c r="I56" s="529">
        <f t="shared" si="4"/>
        <v>-1599.9925730575819</v>
      </c>
      <c r="J56" s="529">
        <f t="shared" si="4"/>
        <v>-1604.2713586599725</v>
      </c>
      <c r="K56" s="529">
        <f t="shared" si="4"/>
        <v>-1610.249863080161</v>
      </c>
      <c r="L56" s="529">
        <f t="shared" si="4"/>
        <v>-1617.9041839311014</v>
      </c>
      <c r="M56" s="529">
        <f t="shared" si="4"/>
        <v>-1626.9012547503785</v>
      </c>
      <c r="N56" s="529">
        <f t="shared" si="4"/>
        <v>-1635.7763242754954</v>
      </c>
      <c r="O56" s="529">
        <f t="shared" ref="O56:R56" si="5">O6-O31</f>
        <v>-1644.6998090678856</v>
      </c>
      <c r="P56" s="529">
        <f t="shared" si="5"/>
        <v>-1654.0763434825342</v>
      </c>
      <c r="Q56" s="529">
        <f t="shared" si="5"/>
        <v>-1663.0996585149583</v>
      </c>
      <c r="R56" s="529">
        <f t="shared" si="5"/>
        <v>-1673.3979812645641</v>
      </c>
    </row>
    <row r="57" spans="2:18" x14ac:dyDescent="0.35">
      <c r="B57" s="518" t="s">
        <v>458</v>
      </c>
      <c r="C57" s="518" t="s">
        <v>603</v>
      </c>
      <c r="D57" s="529">
        <f t="shared" si="4"/>
        <v>-2511.8436452174183</v>
      </c>
      <c r="E57" s="529">
        <f t="shared" si="4"/>
        <v>-2572.4134619069305</v>
      </c>
      <c r="F57" s="529">
        <f t="shared" si="4"/>
        <v>-2628.4359475389774</v>
      </c>
      <c r="G57" s="529">
        <f t="shared" si="4"/>
        <v>-2679.4973817692357</v>
      </c>
      <c r="H57" s="529">
        <f t="shared" si="4"/>
        <v>-2725.2056548484343</v>
      </c>
      <c r="I57" s="529">
        <f t="shared" si="4"/>
        <v>-2761.9282764357772</v>
      </c>
      <c r="J57" s="529">
        <f t="shared" si="4"/>
        <v>-2795.8233077203895</v>
      </c>
      <c r="K57" s="529">
        <f t="shared" si="4"/>
        <v>-2830.1343067749062</v>
      </c>
      <c r="L57" s="529">
        <f t="shared" si="4"/>
        <v>-2864.8663784533146</v>
      </c>
      <c r="M57" s="529">
        <f t="shared" si="4"/>
        <v>-2900.0246902575668</v>
      </c>
      <c r="N57" s="529">
        <f t="shared" si="4"/>
        <v>-2935.6144731064101</v>
      </c>
      <c r="O57" s="529">
        <f t="shared" ref="O57:R57" si="6">O7-O32</f>
        <v>-2935.6144731064101</v>
      </c>
      <c r="P57" s="529">
        <f t="shared" si="6"/>
        <v>-2935.6144731064101</v>
      </c>
      <c r="Q57" s="529">
        <f t="shared" si="6"/>
        <v>-2935.6144731064101</v>
      </c>
      <c r="R57" s="529">
        <f t="shared" si="6"/>
        <v>-2935.6144731064101</v>
      </c>
    </row>
    <row r="58" spans="2:18" x14ac:dyDescent="0.35">
      <c r="B58" s="518" t="s">
        <v>568</v>
      </c>
      <c r="C58" s="518" t="s">
        <v>610</v>
      </c>
      <c r="D58" s="529">
        <f t="shared" si="4"/>
        <v>-952.02769117608079</v>
      </c>
      <c r="E58" s="529" t="e">
        <f t="shared" si="4"/>
        <v>#DIV/0!</v>
      </c>
      <c r="F58" s="529" t="e">
        <f t="shared" si="4"/>
        <v>#DIV/0!</v>
      </c>
      <c r="G58" s="529" t="e">
        <f t="shared" si="4"/>
        <v>#DIV/0!</v>
      </c>
      <c r="H58" s="529" t="e">
        <f t="shared" si="4"/>
        <v>#DIV/0!</v>
      </c>
      <c r="I58" s="529">
        <f t="shared" si="4"/>
        <v>0</v>
      </c>
      <c r="J58" s="529">
        <f t="shared" si="4"/>
        <v>0</v>
      </c>
      <c r="K58" s="529">
        <f t="shared" si="4"/>
        <v>0</v>
      </c>
      <c r="L58" s="529">
        <f t="shared" si="4"/>
        <v>0</v>
      </c>
      <c r="M58" s="529">
        <f t="shared" si="4"/>
        <v>0</v>
      </c>
      <c r="N58" s="529">
        <f t="shared" si="4"/>
        <v>0</v>
      </c>
      <c r="O58" s="529">
        <f t="shared" ref="O58:R58" si="7">O8-O33</f>
        <v>0</v>
      </c>
      <c r="P58" s="529">
        <f t="shared" si="7"/>
        <v>0</v>
      </c>
      <c r="Q58" s="529">
        <f t="shared" si="7"/>
        <v>0</v>
      </c>
      <c r="R58" s="529">
        <f t="shared" si="7"/>
        <v>0</v>
      </c>
    </row>
    <row r="59" spans="2:18" x14ac:dyDescent="0.35">
      <c r="B59" s="518" t="s">
        <v>609</v>
      </c>
      <c r="C59" s="518" t="s">
        <v>611</v>
      </c>
      <c r="D59" s="529">
        <f t="shared" si="4"/>
        <v>0</v>
      </c>
      <c r="E59" s="529">
        <f t="shared" si="4"/>
        <v>0</v>
      </c>
      <c r="F59" s="529">
        <f t="shared" si="4"/>
        <v>0</v>
      </c>
      <c r="G59" s="529">
        <f t="shared" si="4"/>
        <v>0</v>
      </c>
      <c r="H59" s="529">
        <f t="shared" si="4"/>
        <v>0</v>
      </c>
      <c r="I59" s="529">
        <f t="shared" si="4"/>
        <v>0</v>
      </c>
      <c r="J59" s="529">
        <f t="shared" si="4"/>
        <v>0</v>
      </c>
      <c r="K59" s="529">
        <f t="shared" si="4"/>
        <v>0</v>
      </c>
      <c r="L59" s="529">
        <f t="shared" si="4"/>
        <v>0</v>
      </c>
      <c r="M59" s="529">
        <f t="shared" si="4"/>
        <v>0</v>
      </c>
      <c r="N59" s="529">
        <f t="shared" si="4"/>
        <v>0</v>
      </c>
      <c r="O59" s="529">
        <f t="shared" ref="O59:R59" si="8">O9-O34</f>
        <v>0</v>
      </c>
      <c r="P59" s="529">
        <f t="shared" si="8"/>
        <v>0</v>
      </c>
      <c r="Q59" s="529">
        <f t="shared" si="8"/>
        <v>0</v>
      </c>
      <c r="R59" s="529">
        <f t="shared" si="8"/>
        <v>0</v>
      </c>
    </row>
    <row r="60" spans="2:18" x14ac:dyDescent="0.35">
      <c r="B60" s="518" t="s">
        <v>133</v>
      </c>
      <c r="C60" s="518" t="s">
        <v>604</v>
      </c>
      <c r="D60" s="529">
        <f t="shared" si="4"/>
        <v>-232.99999999999997</v>
      </c>
      <c r="E60" s="529">
        <f t="shared" si="4"/>
        <v>0</v>
      </c>
      <c r="F60" s="529">
        <f t="shared" si="4"/>
        <v>0</v>
      </c>
      <c r="G60" s="529">
        <f t="shared" si="4"/>
        <v>0</v>
      </c>
      <c r="H60" s="529">
        <f t="shared" si="4"/>
        <v>0</v>
      </c>
      <c r="I60" s="529">
        <f t="shared" si="4"/>
        <v>0</v>
      </c>
      <c r="J60" s="529">
        <f t="shared" si="4"/>
        <v>0</v>
      </c>
      <c r="K60" s="529">
        <f t="shared" si="4"/>
        <v>0</v>
      </c>
      <c r="L60" s="529">
        <f t="shared" si="4"/>
        <v>0</v>
      </c>
      <c r="M60" s="529">
        <f t="shared" si="4"/>
        <v>0</v>
      </c>
      <c r="N60" s="529">
        <f t="shared" si="4"/>
        <v>0</v>
      </c>
      <c r="O60" s="529">
        <f t="shared" ref="O60:R60" si="9">O10-O35</f>
        <v>0</v>
      </c>
      <c r="P60" s="529">
        <f t="shared" si="9"/>
        <v>0</v>
      </c>
      <c r="Q60" s="529">
        <f t="shared" si="9"/>
        <v>0</v>
      </c>
      <c r="R60" s="529">
        <f t="shared" si="9"/>
        <v>0</v>
      </c>
    </row>
    <row r="61" spans="2:18" x14ac:dyDescent="0.35">
      <c r="B61" s="518" t="s">
        <v>134</v>
      </c>
      <c r="C61" s="518" t="s">
        <v>605</v>
      </c>
      <c r="D61" s="529">
        <f t="shared" si="4"/>
        <v>-41.434647398843964</v>
      </c>
      <c r="E61" s="529">
        <f t="shared" si="4"/>
        <v>-36.046109826589621</v>
      </c>
      <c r="F61" s="529">
        <f t="shared" si="4"/>
        <v>-32.09660115606939</v>
      </c>
      <c r="G61" s="529">
        <f t="shared" si="4"/>
        <v>-29.867670520231236</v>
      </c>
      <c r="H61" s="529">
        <f t="shared" si="4"/>
        <v>-28.796219653179211</v>
      </c>
      <c r="I61" s="529">
        <f t="shared" si="4"/>
        <v>-28.444283236994242</v>
      </c>
      <c r="J61" s="529">
        <f t="shared" si="4"/>
        <v>-28.639803468208115</v>
      </c>
      <c r="K61" s="529">
        <f t="shared" si="4"/>
        <v>-29.077768786127191</v>
      </c>
      <c r="L61" s="529">
        <f t="shared" si="4"/>
        <v>-29.52355491329482</v>
      </c>
      <c r="M61" s="529">
        <f t="shared" si="4"/>
        <v>-29.992803468208116</v>
      </c>
      <c r="N61" s="529">
        <f t="shared" si="4"/>
        <v>-30.579364161849735</v>
      </c>
      <c r="O61" s="529">
        <f t="shared" ref="O61:R61" si="10">O11-O36</f>
        <v>-31.064254335260141</v>
      </c>
      <c r="P61" s="529">
        <f t="shared" si="10"/>
        <v>-31.447473988439334</v>
      </c>
      <c r="Q61" s="529">
        <f t="shared" si="10"/>
        <v>-31.924543352601184</v>
      </c>
      <c r="R61" s="529">
        <f t="shared" si="10"/>
        <v>-32.385971098265927</v>
      </c>
    </row>
    <row r="62" spans="2:18" x14ac:dyDescent="0.35">
      <c r="B62" s="518" t="s">
        <v>140</v>
      </c>
      <c r="C62" s="518" t="s">
        <v>608</v>
      </c>
      <c r="D62" s="529">
        <f t="shared" si="4"/>
        <v>-552.98943075574527</v>
      </c>
      <c r="E62" s="529" t="e">
        <f t="shared" si="4"/>
        <v>#DIV/0!</v>
      </c>
      <c r="F62" s="529" t="e">
        <f t="shared" si="4"/>
        <v>#DIV/0!</v>
      </c>
      <c r="G62" s="529" t="e">
        <f t="shared" si="4"/>
        <v>#DIV/0!</v>
      </c>
      <c r="H62" s="529" t="e">
        <f t="shared" si="4"/>
        <v>#DIV/0!</v>
      </c>
      <c r="I62" s="529" t="e">
        <f t="shared" si="4"/>
        <v>#DIV/0!</v>
      </c>
      <c r="J62" s="529" t="e">
        <f t="shared" si="4"/>
        <v>#DIV/0!</v>
      </c>
      <c r="K62" s="529" t="e">
        <f t="shared" si="4"/>
        <v>#DIV/0!</v>
      </c>
      <c r="L62" s="529" t="e">
        <f t="shared" si="4"/>
        <v>#DIV/0!</v>
      </c>
      <c r="M62" s="529" t="e">
        <f t="shared" si="4"/>
        <v>#DIV/0!</v>
      </c>
      <c r="N62" s="529" t="e">
        <f t="shared" si="4"/>
        <v>#DIV/0!</v>
      </c>
      <c r="O62" s="529" t="e">
        <f t="shared" ref="O62:R62" si="11">O12-O37</f>
        <v>#DIV/0!</v>
      </c>
      <c r="P62" s="529" t="e">
        <f t="shared" si="11"/>
        <v>#DIV/0!</v>
      </c>
      <c r="Q62" s="529" t="e">
        <f t="shared" si="11"/>
        <v>#DIV/0!</v>
      </c>
      <c r="R62" s="529" t="e">
        <f t="shared" si="11"/>
        <v>#DIV/0!</v>
      </c>
    </row>
    <row r="63" spans="2:18" x14ac:dyDescent="0.35">
      <c r="B63" s="518" t="s">
        <v>139</v>
      </c>
      <c r="C63" s="518" t="s">
        <v>73</v>
      </c>
      <c r="D63" s="529">
        <f t="shared" si="4"/>
        <v>-770.8</v>
      </c>
      <c r="E63" s="529" t="e">
        <f t="shared" si="4"/>
        <v>#DIV/0!</v>
      </c>
      <c r="F63" s="529" t="e">
        <f t="shared" si="4"/>
        <v>#DIV/0!</v>
      </c>
      <c r="G63" s="529" t="e">
        <f t="shared" si="4"/>
        <v>#DIV/0!</v>
      </c>
      <c r="H63" s="529" t="e">
        <f t="shared" si="4"/>
        <v>#DIV/0!</v>
      </c>
      <c r="I63" s="529" t="e">
        <f t="shared" si="4"/>
        <v>#DIV/0!</v>
      </c>
      <c r="J63" s="529" t="e">
        <f t="shared" si="4"/>
        <v>#DIV/0!</v>
      </c>
      <c r="K63" s="529" t="e">
        <f t="shared" si="4"/>
        <v>#DIV/0!</v>
      </c>
      <c r="L63" s="529" t="e">
        <f t="shared" si="4"/>
        <v>#DIV/0!</v>
      </c>
      <c r="M63" s="529" t="e">
        <f t="shared" si="4"/>
        <v>#DIV/0!</v>
      </c>
      <c r="N63" s="529" t="e">
        <f t="shared" si="4"/>
        <v>#DIV/0!</v>
      </c>
      <c r="O63" s="529" t="e">
        <f t="shared" ref="O63:R63" si="12">O13-O38</f>
        <v>#DIV/0!</v>
      </c>
      <c r="P63" s="529" t="e">
        <f t="shared" si="12"/>
        <v>#DIV/0!</v>
      </c>
      <c r="Q63" s="529" t="e">
        <f t="shared" si="12"/>
        <v>#DIV/0!</v>
      </c>
      <c r="R63" s="529" t="e">
        <f t="shared" si="12"/>
        <v>#DIV/0!</v>
      </c>
    </row>
    <row r="64" spans="2:18" x14ac:dyDescent="0.35">
      <c r="B64" s="518" t="s">
        <v>383</v>
      </c>
      <c r="C64" s="518" t="s">
        <v>74</v>
      </c>
      <c r="D64" s="529">
        <f t="shared" si="4"/>
        <v>-829.40291089552829</v>
      </c>
      <c r="E64" s="529">
        <f t="shared" si="4"/>
        <v>-844.10577614757665</v>
      </c>
      <c r="F64" s="529">
        <f t="shared" si="4"/>
        <v>-859.88872611279442</v>
      </c>
      <c r="G64" s="529">
        <f t="shared" si="4"/>
        <v>-875.96678306180934</v>
      </c>
      <c r="H64" s="529">
        <f t="shared" si="4"/>
        <v>-892.345464856116</v>
      </c>
      <c r="I64" s="529">
        <f t="shared" si="4"/>
        <v>-909.03039252926908</v>
      </c>
      <c r="J64" s="529">
        <f t="shared" si="4"/>
        <v>-926.00152322974554</v>
      </c>
      <c r="K64" s="529">
        <f t="shared" si="4"/>
        <v>-943.28949622682683</v>
      </c>
      <c r="L64" s="529">
        <f t="shared" si="4"/>
        <v>-960.90022680351262</v>
      </c>
      <c r="M64" s="529">
        <f t="shared" si="4"/>
        <v>-978.83974067809936</v>
      </c>
      <c r="N64" s="529">
        <f t="shared" si="4"/>
        <v>-996.85275415935553</v>
      </c>
      <c r="O64" s="529">
        <f t="shared" ref="O64:R64" si="13">O14-O39</f>
        <v>-1015.1972505598189</v>
      </c>
      <c r="P64" s="529">
        <f t="shared" si="13"/>
        <v>-1033.879329965177</v>
      </c>
      <c r="Q64" s="529">
        <f t="shared" si="13"/>
        <v>-1052.9052047174152</v>
      </c>
      <c r="R64" s="529">
        <f t="shared" si="13"/>
        <v>-1072.2812014806045</v>
      </c>
    </row>
    <row r="65" spans="2:18" x14ac:dyDescent="0.35">
      <c r="B65" s="518" t="s">
        <v>461</v>
      </c>
      <c r="C65" s="518" t="s">
        <v>616</v>
      </c>
      <c r="D65" s="529">
        <f t="shared" si="4"/>
        <v>0</v>
      </c>
      <c r="E65" s="529">
        <f t="shared" si="4"/>
        <v>0</v>
      </c>
      <c r="F65" s="529">
        <f t="shared" si="4"/>
        <v>0</v>
      </c>
      <c r="G65" s="529">
        <f t="shared" si="4"/>
        <v>0</v>
      </c>
      <c r="H65" s="529">
        <f t="shared" si="4"/>
        <v>0</v>
      </c>
      <c r="I65" s="529">
        <f t="shared" si="4"/>
        <v>0</v>
      </c>
      <c r="J65" s="529">
        <f t="shared" si="4"/>
        <v>0</v>
      </c>
      <c r="K65" s="529">
        <f t="shared" si="4"/>
        <v>0</v>
      </c>
      <c r="L65" s="529">
        <f t="shared" si="4"/>
        <v>0</v>
      </c>
      <c r="M65" s="529">
        <f t="shared" si="4"/>
        <v>0</v>
      </c>
      <c r="N65" s="529">
        <f t="shared" si="4"/>
        <v>0</v>
      </c>
      <c r="O65" s="529">
        <f t="shared" ref="O65:R65" si="14">O15-O40</f>
        <v>0</v>
      </c>
      <c r="P65" s="529">
        <f t="shared" si="14"/>
        <v>0</v>
      </c>
      <c r="Q65" s="529">
        <f t="shared" si="14"/>
        <v>0</v>
      </c>
      <c r="R65" s="529">
        <f t="shared" si="14"/>
        <v>0</v>
      </c>
    </row>
    <row r="66" spans="2:18" x14ac:dyDescent="0.35">
      <c r="B66" s="518" t="s">
        <v>462</v>
      </c>
      <c r="C66" s="518" t="s">
        <v>617</v>
      </c>
      <c r="D66" s="529">
        <f t="shared" si="4"/>
        <v>-20</v>
      </c>
      <c r="E66" s="529">
        <f t="shared" si="4"/>
        <v>0</v>
      </c>
      <c r="F66" s="529">
        <f t="shared" si="4"/>
        <v>0</v>
      </c>
      <c r="G66" s="529">
        <f t="shared" si="4"/>
        <v>-20</v>
      </c>
      <c r="H66" s="529">
        <f t="shared" si="4"/>
        <v>0</v>
      </c>
      <c r="I66" s="529">
        <f t="shared" si="4"/>
        <v>0</v>
      </c>
      <c r="J66" s="529">
        <f t="shared" si="4"/>
        <v>0</v>
      </c>
      <c r="K66" s="529">
        <f t="shared" si="4"/>
        <v>0</v>
      </c>
      <c r="L66" s="529">
        <f t="shared" si="4"/>
        <v>0</v>
      </c>
      <c r="M66" s="529">
        <f t="shared" si="4"/>
        <v>0</v>
      </c>
      <c r="N66" s="529">
        <f t="shared" si="4"/>
        <v>0</v>
      </c>
      <c r="O66" s="529">
        <f t="shared" ref="O66:R66" si="15">O16-O41</f>
        <v>0</v>
      </c>
      <c r="P66" s="529">
        <f t="shared" si="15"/>
        <v>0</v>
      </c>
      <c r="Q66" s="529">
        <f t="shared" si="15"/>
        <v>0</v>
      </c>
      <c r="R66" s="529">
        <f t="shared" si="15"/>
        <v>0</v>
      </c>
    </row>
    <row r="67" spans="2:18" x14ac:dyDescent="0.35">
      <c r="B67" s="518" t="s">
        <v>459</v>
      </c>
      <c r="C67" s="518" t="s">
        <v>615</v>
      </c>
      <c r="D67" s="529">
        <f t="shared" si="4"/>
        <v>0</v>
      </c>
      <c r="E67" s="529">
        <f t="shared" si="4"/>
        <v>0</v>
      </c>
      <c r="F67" s="529">
        <f t="shared" si="4"/>
        <v>0</v>
      </c>
      <c r="G67" s="529">
        <f t="shared" si="4"/>
        <v>0</v>
      </c>
      <c r="H67" s="529">
        <f t="shared" si="4"/>
        <v>0</v>
      </c>
      <c r="I67" s="529">
        <f t="shared" si="4"/>
        <v>0</v>
      </c>
      <c r="J67" s="529">
        <f t="shared" si="4"/>
        <v>0</v>
      </c>
      <c r="K67" s="529">
        <f t="shared" si="4"/>
        <v>0</v>
      </c>
      <c r="L67" s="529">
        <f t="shared" si="4"/>
        <v>0</v>
      </c>
      <c r="M67" s="529">
        <f t="shared" si="4"/>
        <v>0</v>
      </c>
      <c r="N67" s="529">
        <f t="shared" si="4"/>
        <v>0</v>
      </c>
      <c r="O67" s="529">
        <f t="shared" ref="O67:R67" si="16">O17-O42</f>
        <v>0</v>
      </c>
      <c r="P67" s="529">
        <f t="shared" si="16"/>
        <v>0</v>
      </c>
      <c r="Q67" s="529">
        <f t="shared" si="16"/>
        <v>0</v>
      </c>
      <c r="R67" s="529">
        <f t="shared" si="16"/>
        <v>0</v>
      </c>
    </row>
    <row r="68" spans="2:18" x14ac:dyDescent="0.35">
      <c r="B68" s="518" t="s">
        <v>460</v>
      </c>
      <c r="C68" s="518" t="s">
        <v>614</v>
      </c>
      <c r="D68" s="529">
        <f t="shared" si="4"/>
        <v>0</v>
      </c>
      <c r="E68" s="529">
        <f t="shared" si="4"/>
        <v>0</v>
      </c>
      <c r="F68" s="529">
        <f t="shared" si="4"/>
        <v>0</v>
      </c>
      <c r="G68" s="529">
        <f t="shared" si="4"/>
        <v>0</v>
      </c>
      <c r="H68" s="529">
        <f t="shared" si="4"/>
        <v>0</v>
      </c>
      <c r="I68" s="529">
        <f t="shared" si="4"/>
        <v>0</v>
      </c>
      <c r="J68" s="529">
        <f t="shared" si="4"/>
        <v>0</v>
      </c>
      <c r="K68" s="529">
        <f t="shared" si="4"/>
        <v>0</v>
      </c>
      <c r="L68" s="529">
        <f t="shared" si="4"/>
        <v>0</v>
      </c>
      <c r="M68" s="529">
        <f t="shared" si="4"/>
        <v>0</v>
      </c>
      <c r="N68" s="529">
        <f t="shared" si="4"/>
        <v>0</v>
      </c>
      <c r="O68" s="529">
        <f t="shared" ref="O68:R68" si="17">O18-O43</f>
        <v>0</v>
      </c>
      <c r="P68" s="529">
        <f t="shared" si="17"/>
        <v>0</v>
      </c>
      <c r="Q68" s="529">
        <f t="shared" si="17"/>
        <v>0</v>
      </c>
      <c r="R68" s="529">
        <f t="shared" si="17"/>
        <v>0</v>
      </c>
    </row>
    <row r="69" spans="2:18" x14ac:dyDescent="0.35">
      <c r="B69" s="518" t="s">
        <v>553</v>
      </c>
      <c r="C69" s="518" t="s">
        <v>612</v>
      </c>
      <c r="D69" s="529" t="e">
        <f t="shared" si="4"/>
        <v>#VALUE!</v>
      </c>
      <c r="E69" s="529" t="e">
        <f t="shared" si="4"/>
        <v>#VALUE!</v>
      </c>
      <c r="F69" s="529">
        <f t="shared" si="4"/>
        <v>0</v>
      </c>
      <c r="G69" s="529">
        <f t="shared" si="4"/>
        <v>0</v>
      </c>
      <c r="H69" s="529">
        <f t="shared" si="4"/>
        <v>0</v>
      </c>
      <c r="I69" s="529">
        <f t="shared" si="4"/>
        <v>0</v>
      </c>
      <c r="J69" s="529">
        <f t="shared" si="4"/>
        <v>0</v>
      </c>
      <c r="K69" s="529">
        <f t="shared" si="4"/>
        <v>0</v>
      </c>
      <c r="L69" s="529">
        <f t="shared" si="4"/>
        <v>0</v>
      </c>
      <c r="M69" s="529">
        <f t="shared" si="4"/>
        <v>0</v>
      </c>
      <c r="N69" s="529">
        <f t="shared" si="4"/>
        <v>0</v>
      </c>
      <c r="O69" s="529">
        <f t="shared" ref="O69:R69" si="18">O19-O44</f>
        <v>0</v>
      </c>
      <c r="P69" s="529">
        <f t="shared" si="18"/>
        <v>0</v>
      </c>
      <c r="Q69" s="529">
        <f t="shared" si="18"/>
        <v>0</v>
      </c>
      <c r="R69" s="529">
        <f t="shared" si="18"/>
        <v>0</v>
      </c>
    </row>
    <row r="70" spans="2:18" x14ac:dyDescent="0.35">
      <c r="B70" s="518" t="s">
        <v>554</v>
      </c>
      <c r="C70" s="518" t="s">
        <v>613</v>
      </c>
      <c r="D70" s="529">
        <f t="shared" si="4"/>
        <v>-156.86404345185662</v>
      </c>
      <c r="E70" s="529">
        <f t="shared" si="4"/>
        <v>-158.75050405203845</v>
      </c>
      <c r="F70" s="529">
        <f t="shared" si="4"/>
        <v>-160.65965139111677</v>
      </c>
      <c r="G70" s="529">
        <f t="shared" si="4"/>
        <v>-162.59175830178242</v>
      </c>
      <c r="H70" s="529">
        <f t="shared" si="4"/>
        <v>-164.54710089783592</v>
      </c>
      <c r="I70" s="529">
        <f t="shared" si="4"/>
        <v>-166.52595861364625</v>
      </c>
      <c r="J70" s="529">
        <f t="shared" si="4"/>
        <v>-168.52861424408439</v>
      </c>
      <c r="K70" s="529">
        <f t="shared" si="4"/>
        <v>-170.555353984937</v>
      </c>
      <c r="L70" s="529">
        <f t="shared" si="4"/>
        <v>-172.60646747380608</v>
      </c>
      <c r="M70" s="529">
        <f t="shared" si="4"/>
        <v>-174.68224783150058</v>
      </c>
      <c r="N70" s="529">
        <f t="shared" si="4"/>
        <v>-176.78299170392575</v>
      </c>
      <c r="O70" s="529">
        <f t="shared" ref="O70:R70" si="19">O20-O45</f>
        <v>-178.90899930447623</v>
      </c>
      <c r="P70" s="529">
        <f t="shared" si="19"/>
        <v>-181.06057445693898</v>
      </c>
      <c r="Q70" s="529">
        <f t="shared" si="19"/>
        <v>-183.23802463891224</v>
      </c>
      <c r="R70" s="529">
        <f t="shared" si="19"/>
        <v>-185.44166102574647</v>
      </c>
    </row>
    <row r="71" spans="2:18" x14ac:dyDescent="0.35">
      <c r="B71" s="518" t="s">
        <v>620</v>
      </c>
      <c r="C71" s="518" t="s">
        <v>622</v>
      </c>
      <c r="D71" s="529">
        <f t="shared" si="4"/>
        <v>-3702.7279180746473</v>
      </c>
      <c r="E71" s="529">
        <f t="shared" si="4"/>
        <v>-3753.1986685626935</v>
      </c>
      <c r="F71" s="529">
        <f t="shared" si="4"/>
        <v>1.249339729267831</v>
      </c>
      <c r="G71" s="529">
        <f t="shared" si="4"/>
        <v>1.266596372177446</v>
      </c>
      <c r="H71" s="529">
        <f t="shared" si="4"/>
        <v>1.2824311186723207</v>
      </c>
      <c r="I71" s="529">
        <f t="shared" si="4"/>
        <v>1.2971508140662991</v>
      </c>
      <c r="J71" s="529">
        <f t="shared" si="4"/>
        <v>1.3110139723262364</v>
      </c>
      <c r="K71" s="529">
        <f t="shared" si="4"/>
        <v>1.3244587940835117</v>
      </c>
      <c r="L71" s="529">
        <f t="shared" si="4"/>
        <v>1.3375561327684409</v>
      </c>
      <c r="M71" s="529">
        <f t="shared" si="4"/>
        <v>1.3500869929357577</v>
      </c>
      <c r="N71" s="529">
        <f t="shared" si="4"/>
        <v>1.3624736002084319</v>
      </c>
      <c r="O71" s="529">
        <f t="shared" ref="O71:R71" si="20">O21-O46</f>
        <v>1.3742781593209656</v>
      </c>
      <c r="P71" s="529">
        <f t="shared" si="20"/>
        <v>1.3867927924120522</v>
      </c>
      <c r="Q71" s="529">
        <f t="shared" si="20"/>
        <v>1.3994983873217279</v>
      </c>
      <c r="R71" s="529">
        <f t="shared" si="20"/>
        <v>1.4127489318689186</v>
      </c>
    </row>
    <row r="72" spans="2:18" x14ac:dyDescent="0.35">
      <c r="B72" s="518" t="s">
        <v>621</v>
      </c>
      <c r="C72" s="518" t="s">
        <v>623</v>
      </c>
      <c r="D72" s="529">
        <f t="shared" si="4"/>
        <v>-2164.4482919103875</v>
      </c>
      <c r="E72" s="529" t="e">
        <f t="shared" si="4"/>
        <v>#DIV/0!</v>
      </c>
      <c r="F72" s="529" t="e">
        <f t="shared" si="4"/>
        <v>#DIV/0!</v>
      </c>
      <c r="G72" s="529" t="e">
        <f t="shared" si="4"/>
        <v>#DIV/0!</v>
      </c>
      <c r="H72" s="529" t="e">
        <f t="shared" si="4"/>
        <v>#DIV/0!</v>
      </c>
      <c r="I72" s="529" t="e">
        <f t="shared" si="4"/>
        <v>#DIV/0!</v>
      </c>
      <c r="J72" s="529" t="e">
        <f t="shared" si="4"/>
        <v>#DIV/0!</v>
      </c>
      <c r="K72" s="529" t="e">
        <f t="shared" si="4"/>
        <v>#DIV/0!</v>
      </c>
      <c r="L72" s="529" t="e">
        <f t="shared" si="4"/>
        <v>#DIV/0!</v>
      </c>
      <c r="M72" s="529" t="e">
        <f t="shared" si="4"/>
        <v>#DIV/0!</v>
      </c>
      <c r="N72" s="529" t="e">
        <f t="shared" si="4"/>
        <v>#DIV/0!</v>
      </c>
      <c r="O72" s="529" t="e">
        <f t="shared" ref="O72:R72" si="21">O22-O47</f>
        <v>#DIV/0!</v>
      </c>
      <c r="P72" s="529" t="e">
        <f t="shared" si="21"/>
        <v>#DIV/0!</v>
      </c>
      <c r="Q72" s="529" t="e">
        <f t="shared" si="21"/>
        <v>#DIV/0!</v>
      </c>
      <c r="R72" s="529" t="e">
        <f t="shared" si="21"/>
        <v>#DIV/0!</v>
      </c>
    </row>
    <row r="73" spans="2:18" x14ac:dyDescent="0.35">
      <c r="B73" s="518" t="s">
        <v>618</v>
      </c>
      <c r="C73" s="518" t="s">
        <v>624</v>
      </c>
      <c r="D73" s="529">
        <f t="shared" si="4"/>
        <v>-275.36144578313252</v>
      </c>
      <c r="E73" s="529">
        <f t="shared" si="4"/>
        <v>-278.50843373493979</v>
      </c>
      <c r="F73" s="529">
        <f t="shared" si="4"/>
        <v>0</v>
      </c>
      <c r="G73" s="529">
        <f t="shared" si="4"/>
        <v>0</v>
      </c>
      <c r="H73" s="529">
        <f t="shared" si="4"/>
        <v>0</v>
      </c>
      <c r="I73" s="529">
        <f t="shared" si="4"/>
        <v>0</v>
      </c>
      <c r="J73" s="529">
        <f t="shared" si="4"/>
        <v>0</v>
      </c>
      <c r="K73" s="529">
        <f t="shared" si="4"/>
        <v>0</v>
      </c>
      <c r="L73" s="529">
        <f t="shared" si="4"/>
        <v>0</v>
      </c>
      <c r="M73" s="529">
        <f t="shared" si="4"/>
        <v>0</v>
      </c>
      <c r="N73" s="529">
        <f t="shared" si="4"/>
        <v>0</v>
      </c>
      <c r="O73" s="529">
        <f t="shared" ref="O73:R73" si="22">O23-O48</f>
        <v>0</v>
      </c>
      <c r="P73" s="529">
        <f t="shared" si="22"/>
        <v>0</v>
      </c>
      <c r="Q73" s="529">
        <f t="shared" si="22"/>
        <v>0</v>
      </c>
      <c r="R73" s="529">
        <f t="shared" si="22"/>
        <v>0</v>
      </c>
    </row>
    <row r="74" spans="2:18" x14ac:dyDescent="0.35">
      <c r="B74" s="518" t="s">
        <v>619</v>
      </c>
      <c r="C74" s="518" t="s">
        <v>625</v>
      </c>
      <c r="D74" s="529">
        <f t="shared" si="4"/>
        <v>-119.87954743783622</v>
      </c>
      <c r="E74" s="529" t="e">
        <f t="shared" si="4"/>
        <v>#VALUE!</v>
      </c>
      <c r="F74" s="529" t="e">
        <f t="shared" si="4"/>
        <v>#VALUE!</v>
      </c>
      <c r="G74" s="529" t="e">
        <f t="shared" si="4"/>
        <v>#VALUE!</v>
      </c>
      <c r="H74" s="529" t="e">
        <f t="shared" si="4"/>
        <v>#VALUE!</v>
      </c>
      <c r="I74" s="529" t="e">
        <f t="shared" si="4"/>
        <v>#VALUE!</v>
      </c>
      <c r="J74" s="529" t="e">
        <f t="shared" si="4"/>
        <v>#VALUE!</v>
      </c>
      <c r="K74" s="529" t="e">
        <f t="shared" si="4"/>
        <v>#VALUE!</v>
      </c>
      <c r="L74" s="529" t="e">
        <f t="shared" si="4"/>
        <v>#VALUE!</v>
      </c>
      <c r="M74" s="529" t="e">
        <f t="shared" si="4"/>
        <v>#VALUE!</v>
      </c>
      <c r="N74" s="529" t="e">
        <f t="shared" si="4"/>
        <v>#VALUE!</v>
      </c>
      <c r="O74" s="529" t="e">
        <f t="shared" ref="O74:R74" si="23">O24-O49</f>
        <v>#VALUE!</v>
      </c>
      <c r="P74" s="529" t="e">
        <f t="shared" si="23"/>
        <v>#VALUE!</v>
      </c>
      <c r="Q74" s="529" t="e">
        <f t="shared" si="23"/>
        <v>#VALUE!</v>
      </c>
      <c r="R74" s="529" t="e">
        <f t="shared" si="23"/>
        <v>#VALUE!</v>
      </c>
    </row>
    <row r="77" spans="2:18" x14ac:dyDescent="0.35">
      <c r="B77" s="1317" t="s">
        <v>1127</v>
      </c>
      <c r="C77" s="1317"/>
      <c r="D77" s="1317"/>
      <c r="E77" s="1317"/>
      <c r="F77" s="1317"/>
      <c r="G77" s="1317"/>
      <c r="H77" s="1317"/>
      <c r="I77" s="1317"/>
      <c r="J77" s="1317"/>
      <c r="K77" s="1317"/>
      <c r="L77" s="1317"/>
      <c r="M77" s="1317"/>
      <c r="N77" s="1317"/>
      <c r="O77" s="1317"/>
      <c r="P77" s="1317"/>
      <c r="Q77" s="1317"/>
      <c r="R77" s="1317"/>
    </row>
    <row r="78" spans="2:18" x14ac:dyDescent="0.35">
      <c r="B78" s="518" t="s">
        <v>627</v>
      </c>
      <c r="C78" s="518" t="s">
        <v>626</v>
      </c>
      <c r="D78" s="518" t="s">
        <v>153</v>
      </c>
      <c r="E78" s="518" t="s">
        <v>154</v>
      </c>
      <c r="F78" s="518" t="s">
        <v>155</v>
      </c>
      <c r="G78" s="518" t="s">
        <v>156</v>
      </c>
      <c r="H78" s="518" t="s">
        <v>157</v>
      </c>
      <c r="I78" s="518" t="s">
        <v>158</v>
      </c>
      <c r="J78" s="518" t="s">
        <v>159</v>
      </c>
      <c r="K78" s="518" t="s">
        <v>160</v>
      </c>
      <c r="L78" s="518" t="s">
        <v>161</v>
      </c>
      <c r="M78" s="518" t="s">
        <v>162</v>
      </c>
      <c r="N78" s="518" t="s">
        <v>163</v>
      </c>
      <c r="O78" s="518" t="s">
        <v>164</v>
      </c>
      <c r="P78" s="518" t="s">
        <v>165</v>
      </c>
      <c r="Q78" s="518" t="s">
        <v>166</v>
      </c>
      <c r="R78" s="518" t="s">
        <v>167</v>
      </c>
    </row>
    <row r="79" spans="2:18" x14ac:dyDescent="0.35">
      <c r="B79" s="518" t="s">
        <v>0</v>
      </c>
      <c r="C79" s="518" t="s">
        <v>607</v>
      </c>
      <c r="D79" s="1151">
        <f t="shared" ref="D79:N79" si="24">(D4/D29-1)</f>
        <v>-1.0958549836927831</v>
      </c>
      <c r="E79" s="1151" t="e">
        <f t="shared" si="24"/>
        <v>#DIV/0!</v>
      </c>
      <c r="F79" s="1151" t="e">
        <f t="shared" si="24"/>
        <v>#DIV/0!</v>
      </c>
      <c r="G79" s="1151" t="e">
        <f t="shared" si="24"/>
        <v>#DIV/0!</v>
      </c>
      <c r="H79" s="1151" t="e">
        <f t="shared" si="24"/>
        <v>#DIV/0!</v>
      </c>
      <c r="I79" s="1151">
        <f t="shared" si="24"/>
        <v>-0.89103604409347947</v>
      </c>
      <c r="J79" s="1151">
        <f t="shared" si="24"/>
        <v>-0.88663367745183486</v>
      </c>
      <c r="K79" s="1151">
        <f t="shared" si="24"/>
        <v>-0.9362929477719234</v>
      </c>
      <c r="L79" s="1151">
        <f t="shared" si="24"/>
        <v>-0.95815200348322538</v>
      </c>
      <c r="M79" s="1151">
        <f t="shared" si="24"/>
        <v>-0.96949337275882075</v>
      </c>
      <c r="N79" s="1151">
        <f t="shared" si="24"/>
        <v>-1.0316955237111685</v>
      </c>
      <c r="O79" s="1151">
        <f t="shared" ref="O79:R79" si="25">(O4/O29-1)</f>
        <v>-1.0903397134771851</v>
      </c>
      <c r="P79" s="1151">
        <f t="shared" si="25"/>
        <v>-1.0988651639344815</v>
      </c>
      <c r="Q79" s="1151">
        <f t="shared" si="25"/>
        <v>-1.1091245009002444</v>
      </c>
      <c r="R79" s="1151">
        <f t="shared" si="25"/>
        <v>-1.1368634331676064</v>
      </c>
    </row>
    <row r="80" spans="2:18" x14ac:dyDescent="0.35">
      <c r="B80" s="518" t="s">
        <v>6</v>
      </c>
      <c r="C80" s="518" t="s">
        <v>606</v>
      </c>
      <c r="D80" s="1151">
        <f t="shared" ref="D80:N99" si="26">(D5/D30-1)</f>
        <v>-1</v>
      </c>
      <c r="E80" s="1151">
        <f t="shared" si="26"/>
        <v>1.9033616558106203E-3</v>
      </c>
      <c r="F80" s="1151">
        <f t="shared" si="26"/>
        <v>1.9033616558106203E-3</v>
      </c>
      <c r="G80" s="1151">
        <f t="shared" si="26"/>
        <v>1.9033616558106203E-3</v>
      </c>
      <c r="H80" s="1151">
        <f t="shared" si="26"/>
        <v>1.9033616558106203E-3</v>
      </c>
      <c r="I80" s="1151">
        <f t="shared" si="26"/>
        <v>1.9033616558106203E-3</v>
      </c>
      <c r="J80" s="1151">
        <f t="shared" si="26"/>
        <v>1.9033616558106203E-3</v>
      </c>
      <c r="K80" s="1151">
        <f t="shared" si="26"/>
        <v>1.9033616558106203E-3</v>
      </c>
      <c r="L80" s="1151">
        <f t="shared" si="26"/>
        <v>1.9033616558106203E-3</v>
      </c>
      <c r="M80" s="1151">
        <f t="shared" si="26"/>
        <v>1.9033616558106203E-3</v>
      </c>
      <c r="N80" s="1151">
        <f t="shared" si="26"/>
        <v>1.9033616558106203E-3</v>
      </c>
      <c r="O80" s="1151">
        <f t="shared" ref="O80:R80" si="27">(O5/O30-1)</f>
        <v>1.9033616558106203E-3</v>
      </c>
      <c r="P80" s="1151">
        <f t="shared" si="27"/>
        <v>1.9033616558106203E-3</v>
      </c>
      <c r="Q80" s="1151">
        <f t="shared" si="27"/>
        <v>1.9033616558106203E-3</v>
      </c>
      <c r="R80" s="1151">
        <f t="shared" si="27"/>
        <v>1.9033616558106203E-3</v>
      </c>
    </row>
    <row r="81" spans="2:18" x14ac:dyDescent="0.35">
      <c r="B81" s="518" t="s">
        <v>457</v>
      </c>
      <c r="C81" s="518" t="s">
        <v>602</v>
      </c>
      <c r="D81" s="1151">
        <f t="shared" si="26"/>
        <v>-1</v>
      </c>
      <c r="E81" s="1151">
        <f t="shared" si="26"/>
        <v>-1</v>
      </c>
      <c r="F81" s="1151">
        <f t="shared" si="26"/>
        <v>-1</v>
      </c>
      <c r="G81" s="1151">
        <f t="shared" si="26"/>
        <v>-1</v>
      </c>
      <c r="H81" s="1151">
        <f t="shared" si="26"/>
        <v>-1</v>
      </c>
      <c r="I81" s="1151">
        <f t="shared" si="26"/>
        <v>-1</v>
      </c>
      <c r="J81" s="1151">
        <f t="shared" si="26"/>
        <v>-1</v>
      </c>
      <c r="K81" s="1151">
        <f t="shared" si="26"/>
        <v>-1</v>
      </c>
      <c r="L81" s="1151">
        <f t="shared" si="26"/>
        <v>-1</v>
      </c>
      <c r="M81" s="1151">
        <f t="shared" si="26"/>
        <v>-1</v>
      </c>
      <c r="N81" s="1151">
        <f t="shared" si="26"/>
        <v>-1</v>
      </c>
      <c r="O81" s="1151">
        <f t="shared" ref="O81:R81" si="28">(O6/O31-1)</f>
        <v>-1</v>
      </c>
      <c r="P81" s="1151">
        <f t="shared" si="28"/>
        <v>-1</v>
      </c>
      <c r="Q81" s="1151">
        <f t="shared" si="28"/>
        <v>-1</v>
      </c>
      <c r="R81" s="1151">
        <f t="shared" si="28"/>
        <v>-1</v>
      </c>
    </row>
    <row r="82" spans="2:18" x14ac:dyDescent="0.35">
      <c r="B82" s="518" t="s">
        <v>458</v>
      </c>
      <c r="C82" s="518" t="s">
        <v>603</v>
      </c>
      <c r="D82" s="1151">
        <f t="shared" si="26"/>
        <v>-1</v>
      </c>
      <c r="E82" s="1151">
        <f t="shared" si="26"/>
        <v>-1</v>
      </c>
      <c r="F82" s="1151">
        <f t="shared" si="26"/>
        <v>-1</v>
      </c>
      <c r="G82" s="1151">
        <f t="shared" si="26"/>
        <v>-1</v>
      </c>
      <c r="H82" s="1151">
        <f t="shared" si="26"/>
        <v>-1</v>
      </c>
      <c r="I82" s="1151">
        <f t="shared" si="26"/>
        <v>-1</v>
      </c>
      <c r="J82" s="1151">
        <f t="shared" si="26"/>
        <v>-1</v>
      </c>
      <c r="K82" s="1151">
        <f t="shared" si="26"/>
        <v>-1</v>
      </c>
      <c r="L82" s="1151">
        <f t="shared" si="26"/>
        <v>-1</v>
      </c>
      <c r="M82" s="1151">
        <f t="shared" si="26"/>
        <v>-1</v>
      </c>
      <c r="N82" s="1151">
        <f t="shared" si="26"/>
        <v>-1</v>
      </c>
      <c r="O82" s="1151">
        <f t="shared" ref="O82:R82" si="29">(O7/O32-1)</f>
        <v>-1</v>
      </c>
      <c r="P82" s="1151">
        <f t="shared" si="29"/>
        <v>-1</v>
      </c>
      <c r="Q82" s="1151">
        <f t="shared" si="29"/>
        <v>-1</v>
      </c>
      <c r="R82" s="1151">
        <f t="shared" si="29"/>
        <v>-1</v>
      </c>
    </row>
    <row r="83" spans="2:18" x14ac:dyDescent="0.35">
      <c r="B83" s="518" t="s">
        <v>568</v>
      </c>
      <c r="C83" s="518" t="s">
        <v>610</v>
      </c>
      <c r="D83" s="1151">
        <f t="shared" si="26"/>
        <v>-1.3913678941400338</v>
      </c>
      <c r="E83" s="1151" t="e">
        <f t="shared" si="26"/>
        <v>#DIV/0!</v>
      </c>
      <c r="F83" s="1151" t="e">
        <f t="shared" si="26"/>
        <v>#DIV/0!</v>
      </c>
      <c r="G83" s="1151" t="e">
        <f t="shared" si="26"/>
        <v>#DIV/0!</v>
      </c>
      <c r="H83" s="1151" t="e">
        <f t="shared" si="26"/>
        <v>#DIV/0!</v>
      </c>
      <c r="I83" s="1151">
        <f t="shared" si="26"/>
        <v>0</v>
      </c>
      <c r="J83" s="1151">
        <f t="shared" si="26"/>
        <v>0</v>
      </c>
      <c r="K83" s="1151">
        <f t="shared" si="26"/>
        <v>0</v>
      </c>
      <c r="L83" s="1151">
        <f t="shared" si="26"/>
        <v>0</v>
      </c>
      <c r="M83" s="1151">
        <f t="shared" si="26"/>
        <v>0</v>
      </c>
      <c r="N83" s="1151">
        <f t="shared" si="26"/>
        <v>0</v>
      </c>
      <c r="O83" s="1151">
        <f t="shared" ref="O83:R83" si="30">(O8/O33-1)</f>
        <v>0</v>
      </c>
      <c r="P83" s="1151">
        <f t="shared" si="30"/>
        <v>0</v>
      </c>
      <c r="Q83" s="1151">
        <f t="shared" si="30"/>
        <v>0</v>
      </c>
      <c r="R83" s="1151">
        <f t="shared" si="30"/>
        <v>0</v>
      </c>
    </row>
    <row r="84" spans="2:18" x14ac:dyDescent="0.35">
      <c r="B84" s="518" t="s">
        <v>609</v>
      </c>
      <c r="C84" s="518" t="s">
        <v>611</v>
      </c>
      <c r="D84" s="1151">
        <f t="shared" si="26"/>
        <v>0</v>
      </c>
      <c r="E84" s="1151">
        <f t="shared" si="26"/>
        <v>0</v>
      </c>
      <c r="F84" s="1151">
        <f t="shared" si="26"/>
        <v>0</v>
      </c>
      <c r="G84" s="1151">
        <f t="shared" si="26"/>
        <v>0</v>
      </c>
      <c r="H84" s="1151">
        <f t="shared" si="26"/>
        <v>0</v>
      </c>
      <c r="I84" s="1151">
        <f t="shared" si="26"/>
        <v>0</v>
      </c>
      <c r="J84" s="1151">
        <f t="shared" si="26"/>
        <v>0</v>
      </c>
      <c r="K84" s="1151">
        <f t="shared" si="26"/>
        <v>0</v>
      </c>
      <c r="L84" s="1151">
        <f t="shared" si="26"/>
        <v>0</v>
      </c>
      <c r="M84" s="1151">
        <f t="shared" si="26"/>
        <v>0</v>
      </c>
      <c r="N84" s="1151">
        <f t="shared" si="26"/>
        <v>0</v>
      </c>
      <c r="O84" s="1151">
        <f t="shared" ref="O84:R84" si="31">(O9/O34-1)</f>
        <v>0</v>
      </c>
      <c r="P84" s="1151">
        <f t="shared" si="31"/>
        <v>0</v>
      </c>
      <c r="Q84" s="1151">
        <f t="shared" si="31"/>
        <v>0</v>
      </c>
      <c r="R84" s="1151">
        <f t="shared" si="31"/>
        <v>0</v>
      </c>
    </row>
    <row r="85" spans="2:18" x14ac:dyDescent="0.35">
      <c r="B85" s="518" t="s">
        <v>133</v>
      </c>
      <c r="C85" s="518" t="s">
        <v>604</v>
      </c>
      <c r="D85" s="1151">
        <f t="shared" si="26"/>
        <v>-1</v>
      </c>
      <c r="E85" s="1151" t="e">
        <f t="shared" si="26"/>
        <v>#DIV/0!</v>
      </c>
      <c r="F85" s="1151" t="e">
        <f t="shared" si="26"/>
        <v>#DIV/0!</v>
      </c>
      <c r="G85" s="1151" t="e">
        <f t="shared" si="26"/>
        <v>#DIV/0!</v>
      </c>
      <c r="H85" s="1151" t="e">
        <f t="shared" si="26"/>
        <v>#DIV/0!</v>
      </c>
      <c r="I85" s="1151" t="e">
        <f t="shared" si="26"/>
        <v>#DIV/0!</v>
      </c>
      <c r="J85" s="1151" t="e">
        <f t="shared" si="26"/>
        <v>#DIV/0!</v>
      </c>
      <c r="K85" s="1151" t="e">
        <f t="shared" si="26"/>
        <v>#DIV/0!</v>
      </c>
      <c r="L85" s="1151" t="e">
        <f t="shared" si="26"/>
        <v>#DIV/0!</v>
      </c>
      <c r="M85" s="1151" t="e">
        <f t="shared" si="26"/>
        <v>#DIV/0!</v>
      </c>
      <c r="N85" s="1151" t="e">
        <f t="shared" si="26"/>
        <v>#DIV/0!</v>
      </c>
      <c r="O85" s="1151" t="e">
        <f t="shared" ref="O85:R85" si="32">(O10/O35-1)</f>
        <v>#DIV/0!</v>
      </c>
      <c r="P85" s="1151" t="e">
        <f t="shared" si="32"/>
        <v>#DIV/0!</v>
      </c>
      <c r="Q85" s="1151" t="e">
        <f t="shared" si="32"/>
        <v>#DIV/0!</v>
      </c>
      <c r="R85" s="1151" t="e">
        <f t="shared" si="32"/>
        <v>#DIV/0!</v>
      </c>
    </row>
    <row r="86" spans="2:18" x14ac:dyDescent="0.35">
      <c r="B86" s="518" t="s">
        <v>134</v>
      </c>
      <c r="C86" s="518" t="s">
        <v>605</v>
      </c>
      <c r="D86" s="1151">
        <f t="shared" si="26"/>
        <v>-1</v>
      </c>
      <c r="E86" s="1151">
        <f t="shared" si="26"/>
        <v>-1</v>
      </c>
      <c r="F86" s="1151">
        <f t="shared" si="26"/>
        <v>-1</v>
      </c>
      <c r="G86" s="1151">
        <f t="shared" si="26"/>
        <v>-1</v>
      </c>
      <c r="H86" s="1151">
        <f t="shared" si="26"/>
        <v>-1</v>
      </c>
      <c r="I86" s="1151">
        <f t="shared" si="26"/>
        <v>-1</v>
      </c>
      <c r="J86" s="1151">
        <f t="shared" si="26"/>
        <v>-1</v>
      </c>
      <c r="K86" s="1151">
        <f t="shared" si="26"/>
        <v>-1</v>
      </c>
      <c r="L86" s="1151">
        <f t="shared" si="26"/>
        <v>-1</v>
      </c>
      <c r="M86" s="1151">
        <f t="shared" si="26"/>
        <v>-1</v>
      </c>
      <c r="N86" s="1151">
        <f t="shared" si="26"/>
        <v>-1</v>
      </c>
      <c r="O86" s="1151">
        <f t="shared" ref="O86:R86" si="33">(O11/O36-1)</f>
        <v>-1</v>
      </c>
      <c r="P86" s="1151">
        <f t="shared" si="33"/>
        <v>-1</v>
      </c>
      <c r="Q86" s="1151">
        <f t="shared" si="33"/>
        <v>-1</v>
      </c>
      <c r="R86" s="1151">
        <f t="shared" si="33"/>
        <v>-1</v>
      </c>
    </row>
    <row r="87" spans="2:18" x14ac:dyDescent="0.35">
      <c r="B87" s="518" t="s">
        <v>140</v>
      </c>
      <c r="C87" s="518" t="s">
        <v>608</v>
      </c>
      <c r="D87" s="1151">
        <f t="shared" si="26"/>
        <v>-1</v>
      </c>
      <c r="E87" s="1151" t="e">
        <f t="shared" si="26"/>
        <v>#DIV/0!</v>
      </c>
      <c r="F87" s="1151" t="e">
        <f t="shared" si="26"/>
        <v>#DIV/0!</v>
      </c>
      <c r="G87" s="1151" t="e">
        <f t="shared" si="26"/>
        <v>#DIV/0!</v>
      </c>
      <c r="H87" s="1151" t="e">
        <f t="shared" si="26"/>
        <v>#DIV/0!</v>
      </c>
      <c r="I87" s="1151" t="e">
        <f t="shared" si="26"/>
        <v>#DIV/0!</v>
      </c>
      <c r="J87" s="1151" t="e">
        <f t="shared" si="26"/>
        <v>#DIV/0!</v>
      </c>
      <c r="K87" s="1151" t="e">
        <f t="shared" si="26"/>
        <v>#DIV/0!</v>
      </c>
      <c r="L87" s="1151" t="e">
        <f t="shared" si="26"/>
        <v>#DIV/0!</v>
      </c>
      <c r="M87" s="1151" t="e">
        <f t="shared" si="26"/>
        <v>#DIV/0!</v>
      </c>
      <c r="N87" s="1151" t="e">
        <f t="shared" si="26"/>
        <v>#DIV/0!</v>
      </c>
      <c r="O87" s="1151" t="e">
        <f t="shared" ref="O87:R87" si="34">(O12/O37-1)</f>
        <v>#DIV/0!</v>
      </c>
      <c r="P87" s="1151" t="e">
        <f t="shared" si="34"/>
        <v>#DIV/0!</v>
      </c>
      <c r="Q87" s="1151" t="e">
        <f t="shared" si="34"/>
        <v>#DIV/0!</v>
      </c>
      <c r="R87" s="1151" t="e">
        <f t="shared" si="34"/>
        <v>#DIV/0!</v>
      </c>
    </row>
    <row r="88" spans="2:18" x14ac:dyDescent="0.35">
      <c r="B88" s="518" t="s">
        <v>139</v>
      </c>
      <c r="C88" s="518" t="s">
        <v>73</v>
      </c>
      <c r="D88" s="1151">
        <f t="shared" si="26"/>
        <v>-1</v>
      </c>
      <c r="E88" s="1151" t="e">
        <f t="shared" si="26"/>
        <v>#DIV/0!</v>
      </c>
      <c r="F88" s="1151" t="e">
        <f t="shared" si="26"/>
        <v>#DIV/0!</v>
      </c>
      <c r="G88" s="1151" t="e">
        <f t="shared" si="26"/>
        <v>#DIV/0!</v>
      </c>
      <c r="H88" s="1151" t="e">
        <f t="shared" si="26"/>
        <v>#DIV/0!</v>
      </c>
      <c r="I88" s="1151" t="e">
        <f t="shared" si="26"/>
        <v>#DIV/0!</v>
      </c>
      <c r="J88" s="1151" t="e">
        <f t="shared" si="26"/>
        <v>#DIV/0!</v>
      </c>
      <c r="K88" s="1151" t="e">
        <f t="shared" si="26"/>
        <v>#DIV/0!</v>
      </c>
      <c r="L88" s="1151" t="e">
        <f t="shared" si="26"/>
        <v>#DIV/0!</v>
      </c>
      <c r="M88" s="1151" t="e">
        <f t="shared" si="26"/>
        <v>#DIV/0!</v>
      </c>
      <c r="N88" s="1151" t="e">
        <f t="shared" si="26"/>
        <v>#DIV/0!</v>
      </c>
      <c r="O88" s="1151" t="e">
        <f t="shared" ref="O88:R88" si="35">(O13/O38-1)</f>
        <v>#DIV/0!</v>
      </c>
      <c r="P88" s="1151" t="e">
        <f t="shared" si="35"/>
        <v>#DIV/0!</v>
      </c>
      <c r="Q88" s="1151" t="e">
        <f t="shared" si="35"/>
        <v>#DIV/0!</v>
      </c>
      <c r="R88" s="1151" t="e">
        <f t="shared" si="35"/>
        <v>#DIV/0!</v>
      </c>
    </row>
    <row r="89" spans="2:18" x14ac:dyDescent="0.35">
      <c r="B89" s="518" t="s">
        <v>383</v>
      </c>
      <c r="C89" s="518" t="s">
        <v>74</v>
      </c>
      <c r="D89" s="1151">
        <f t="shared" si="26"/>
        <v>-1</v>
      </c>
      <c r="E89" s="1151">
        <f t="shared" si="26"/>
        <v>-1.000294100181601</v>
      </c>
      <c r="F89" s="1151">
        <f t="shared" si="26"/>
        <v>-1.0195815688738878</v>
      </c>
      <c r="G89" s="1151">
        <f t="shared" si="26"/>
        <v>-1.0195371917946916</v>
      </c>
      <c r="H89" s="1151">
        <f t="shared" si="26"/>
        <v>-1.0360653179709376</v>
      </c>
      <c r="I89" s="1151">
        <f t="shared" si="26"/>
        <v>-1.0357121680598689</v>
      </c>
      <c r="J89" s="1151">
        <f t="shared" si="26"/>
        <v>-1.0353662496000897</v>
      </c>
      <c r="K89" s="1151">
        <f t="shared" si="26"/>
        <v>-1.0350268955804076</v>
      </c>
      <c r="L89" s="1151">
        <f t="shared" si="26"/>
        <v>-1.0346939773192361</v>
      </c>
      <c r="M89" s="1151">
        <f t="shared" si="26"/>
        <v>-1.0343673688092256</v>
      </c>
      <c r="N89" s="1151">
        <f t="shared" si="26"/>
        <v>-1.0340514461996753</v>
      </c>
      <c r="O89" s="1151">
        <f t="shared" ref="O89:R89" si="36">(O14/O39-1)</f>
        <v>-1.033741420001359</v>
      </c>
      <c r="P89" s="1151">
        <f t="shared" si="36"/>
        <v>-1.0334371767809463</v>
      </c>
      <c r="Q89" s="1151">
        <f t="shared" si="36"/>
        <v>-1.0331386054102869</v>
      </c>
      <c r="R89" s="1151">
        <f t="shared" si="36"/>
        <v>-1.0328455970151245</v>
      </c>
    </row>
    <row r="90" spans="2:18" x14ac:dyDescent="0.35">
      <c r="B90" s="518" t="s">
        <v>461</v>
      </c>
      <c r="C90" s="518" t="s">
        <v>616</v>
      </c>
      <c r="D90" s="1151" t="e">
        <f t="shared" si="26"/>
        <v>#DIV/0!</v>
      </c>
      <c r="E90" s="1151" t="e">
        <f t="shared" si="26"/>
        <v>#DIV/0!</v>
      </c>
      <c r="F90" s="1151" t="e">
        <f t="shared" si="26"/>
        <v>#DIV/0!</v>
      </c>
      <c r="G90" s="1151" t="e">
        <f t="shared" si="26"/>
        <v>#DIV/0!</v>
      </c>
      <c r="H90" s="1151" t="e">
        <f t="shared" si="26"/>
        <v>#DIV/0!</v>
      </c>
      <c r="I90" s="1151" t="e">
        <f t="shared" si="26"/>
        <v>#DIV/0!</v>
      </c>
      <c r="J90" s="1151" t="e">
        <f t="shared" si="26"/>
        <v>#DIV/0!</v>
      </c>
      <c r="K90" s="1151" t="e">
        <f t="shared" si="26"/>
        <v>#DIV/0!</v>
      </c>
      <c r="L90" s="1151" t="e">
        <f t="shared" si="26"/>
        <v>#DIV/0!</v>
      </c>
      <c r="M90" s="1151" t="e">
        <f t="shared" si="26"/>
        <v>#DIV/0!</v>
      </c>
      <c r="N90" s="1151" t="e">
        <f t="shared" si="26"/>
        <v>#DIV/0!</v>
      </c>
      <c r="O90" s="1151" t="e">
        <f t="shared" ref="O90:R90" si="37">(O15/O40-1)</f>
        <v>#DIV/0!</v>
      </c>
      <c r="P90" s="1151" t="e">
        <f t="shared" si="37"/>
        <v>#DIV/0!</v>
      </c>
      <c r="Q90" s="1151" t="e">
        <f t="shared" si="37"/>
        <v>#DIV/0!</v>
      </c>
      <c r="R90" s="1151" t="e">
        <f t="shared" si="37"/>
        <v>#DIV/0!</v>
      </c>
    </row>
    <row r="91" spans="2:18" x14ac:dyDescent="0.35">
      <c r="B91" s="518" t="s">
        <v>462</v>
      </c>
      <c r="C91" s="518" t="s">
        <v>617</v>
      </c>
      <c r="D91" s="1151">
        <f t="shared" si="26"/>
        <v>-1</v>
      </c>
      <c r="E91" s="1151" t="e">
        <f t="shared" si="26"/>
        <v>#DIV/0!</v>
      </c>
      <c r="F91" s="1151">
        <f t="shared" si="26"/>
        <v>0</v>
      </c>
      <c r="G91" s="1151">
        <f t="shared" si="26"/>
        <v>-0.57257371886630404</v>
      </c>
      <c r="H91" s="1151" t="e">
        <f t="shared" si="26"/>
        <v>#DIV/0!</v>
      </c>
      <c r="I91" s="1151" t="e">
        <f t="shared" si="26"/>
        <v>#DIV/0!</v>
      </c>
      <c r="J91" s="1151" t="e">
        <f t="shared" si="26"/>
        <v>#DIV/0!</v>
      </c>
      <c r="K91" s="1151" t="e">
        <f t="shared" si="26"/>
        <v>#DIV/0!</v>
      </c>
      <c r="L91" s="1151" t="e">
        <f t="shared" si="26"/>
        <v>#DIV/0!</v>
      </c>
      <c r="M91" s="1151" t="e">
        <f t="shared" si="26"/>
        <v>#DIV/0!</v>
      </c>
      <c r="N91" s="1151" t="e">
        <f t="shared" si="26"/>
        <v>#DIV/0!</v>
      </c>
      <c r="O91" s="1151" t="e">
        <f t="shared" ref="O91:R91" si="38">(O16/O41-1)</f>
        <v>#DIV/0!</v>
      </c>
      <c r="P91" s="1151" t="e">
        <f t="shared" si="38"/>
        <v>#DIV/0!</v>
      </c>
      <c r="Q91" s="1151" t="e">
        <f t="shared" si="38"/>
        <v>#DIV/0!</v>
      </c>
      <c r="R91" s="1151" t="e">
        <f t="shared" si="38"/>
        <v>#DIV/0!</v>
      </c>
    </row>
    <row r="92" spans="2:18" x14ac:dyDescent="0.35">
      <c r="B92" s="518" t="s">
        <v>459</v>
      </c>
      <c r="C92" s="518" t="s">
        <v>615</v>
      </c>
      <c r="D92" s="1151">
        <f t="shared" si="26"/>
        <v>0</v>
      </c>
      <c r="E92" s="1151">
        <f t="shared" si="26"/>
        <v>0</v>
      </c>
      <c r="F92" s="1151">
        <f t="shared" si="26"/>
        <v>0</v>
      </c>
      <c r="G92" s="1151">
        <f t="shared" si="26"/>
        <v>0</v>
      </c>
      <c r="H92" s="1151">
        <f t="shared" si="26"/>
        <v>0</v>
      </c>
      <c r="I92" s="1151">
        <f t="shared" si="26"/>
        <v>0</v>
      </c>
      <c r="J92" s="1151">
        <f t="shared" si="26"/>
        <v>0</v>
      </c>
      <c r="K92" s="1151">
        <f t="shared" si="26"/>
        <v>0</v>
      </c>
      <c r="L92" s="1151">
        <f t="shared" si="26"/>
        <v>0</v>
      </c>
      <c r="M92" s="1151">
        <f t="shared" si="26"/>
        <v>0</v>
      </c>
      <c r="N92" s="1151">
        <f t="shared" si="26"/>
        <v>0</v>
      </c>
      <c r="O92" s="1151">
        <f t="shared" ref="O92:R92" si="39">(O17/O42-1)</f>
        <v>0</v>
      </c>
      <c r="P92" s="1151">
        <f t="shared" si="39"/>
        <v>0</v>
      </c>
      <c r="Q92" s="1151">
        <f t="shared" si="39"/>
        <v>0</v>
      </c>
      <c r="R92" s="1151">
        <f t="shared" si="39"/>
        <v>0</v>
      </c>
    </row>
    <row r="93" spans="2:18" x14ac:dyDescent="0.35">
      <c r="B93" s="518" t="s">
        <v>460</v>
      </c>
      <c r="C93" s="518" t="s">
        <v>614</v>
      </c>
      <c r="D93" s="1151">
        <f t="shared" si="26"/>
        <v>0</v>
      </c>
      <c r="E93" s="1151">
        <f t="shared" si="26"/>
        <v>0</v>
      </c>
      <c r="F93" s="1151">
        <f t="shared" si="26"/>
        <v>0</v>
      </c>
      <c r="G93" s="1151">
        <f t="shared" si="26"/>
        <v>0</v>
      </c>
      <c r="H93" s="1151">
        <f t="shared" si="26"/>
        <v>0</v>
      </c>
      <c r="I93" s="1151">
        <f t="shared" si="26"/>
        <v>0</v>
      </c>
      <c r="J93" s="1151">
        <f t="shared" si="26"/>
        <v>0</v>
      </c>
      <c r="K93" s="1151">
        <f t="shared" si="26"/>
        <v>0</v>
      </c>
      <c r="L93" s="1151">
        <f t="shared" si="26"/>
        <v>0</v>
      </c>
      <c r="M93" s="1151">
        <f t="shared" si="26"/>
        <v>0</v>
      </c>
      <c r="N93" s="1151">
        <f t="shared" si="26"/>
        <v>0</v>
      </c>
      <c r="O93" s="1151">
        <f t="shared" ref="O93:R93" si="40">(O18/O43-1)</f>
        <v>0</v>
      </c>
      <c r="P93" s="1151">
        <f t="shared" si="40"/>
        <v>0</v>
      </c>
      <c r="Q93" s="1151">
        <f t="shared" si="40"/>
        <v>0</v>
      </c>
      <c r="R93" s="1151">
        <f t="shared" si="40"/>
        <v>0</v>
      </c>
    </row>
    <row r="94" spans="2:18" x14ac:dyDescent="0.35">
      <c r="B94" s="518" t="s">
        <v>553</v>
      </c>
      <c r="C94" s="518" t="s">
        <v>612</v>
      </c>
      <c r="D94" s="1151" t="e">
        <f t="shared" si="26"/>
        <v>#VALUE!</v>
      </c>
      <c r="E94" s="1151" t="e">
        <f t="shared" si="26"/>
        <v>#VALUE!</v>
      </c>
      <c r="F94" s="1151">
        <f t="shared" si="26"/>
        <v>0</v>
      </c>
      <c r="G94" s="1151">
        <f t="shared" si="26"/>
        <v>0</v>
      </c>
      <c r="H94" s="1151">
        <f t="shared" si="26"/>
        <v>0</v>
      </c>
      <c r="I94" s="1151">
        <f t="shared" si="26"/>
        <v>0</v>
      </c>
      <c r="J94" s="1151">
        <f t="shared" si="26"/>
        <v>0</v>
      </c>
      <c r="K94" s="1151">
        <f t="shared" si="26"/>
        <v>0</v>
      </c>
      <c r="L94" s="1151">
        <f t="shared" si="26"/>
        <v>0</v>
      </c>
      <c r="M94" s="1151">
        <f t="shared" si="26"/>
        <v>0</v>
      </c>
      <c r="N94" s="1151">
        <f t="shared" si="26"/>
        <v>0</v>
      </c>
      <c r="O94" s="1151">
        <f t="shared" ref="O94:R94" si="41">(O19/O44-1)</f>
        <v>0</v>
      </c>
      <c r="P94" s="1151">
        <f t="shared" si="41"/>
        <v>0</v>
      </c>
      <c r="Q94" s="1151">
        <f t="shared" si="41"/>
        <v>0</v>
      </c>
      <c r="R94" s="1151">
        <f t="shared" si="41"/>
        <v>0</v>
      </c>
    </row>
    <row r="95" spans="2:18" x14ac:dyDescent="0.35">
      <c r="B95" s="518" t="s">
        <v>554</v>
      </c>
      <c r="C95" s="518" t="s">
        <v>613</v>
      </c>
      <c r="D95" s="1151">
        <f t="shared" si="26"/>
        <v>-1</v>
      </c>
      <c r="E95" s="1151">
        <f t="shared" si="26"/>
        <v>-1</v>
      </c>
      <c r="F95" s="1151">
        <f t="shared" si="26"/>
        <v>-1</v>
      </c>
      <c r="G95" s="1151">
        <f t="shared" si="26"/>
        <v>-1</v>
      </c>
      <c r="H95" s="1151">
        <f t="shared" si="26"/>
        <v>-1</v>
      </c>
      <c r="I95" s="1151">
        <f t="shared" si="26"/>
        <v>-1</v>
      </c>
      <c r="J95" s="1151">
        <f t="shared" si="26"/>
        <v>-1</v>
      </c>
      <c r="K95" s="1151">
        <f t="shared" si="26"/>
        <v>-1</v>
      </c>
      <c r="L95" s="1151">
        <f t="shared" si="26"/>
        <v>-1</v>
      </c>
      <c r="M95" s="1151">
        <f t="shared" si="26"/>
        <v>-1</v>
      </c>
      <c r="N95" s="1151">
        <f t="shared" si="26"/>
        <v>-1</v>
      </c>
      <c r="O95" s="1151">
        <f t="shared" ref="O95:R95" si="42">(O20/O45-1)</f>
        <v>-1</v>
      </c>
      <c r="P95" s="1151">
        <f t="shared" si="42"/>
        <v>-1</v>
      </c>
      <c r="Q95" s="1151">
        <f t="shared" si="42"/>
        <v>-1</v>
      </c>
      <c r="R95" s="1151">
        <f t="shared" si="42"/>
        <v>-1</v>
      </c>
    </row>
    <row r="96" spans="2:18" x14ac:dyDescent="0.35">
      <c r="B96" s="518" t="s">
        <v>620</v>
      </c>
      <c r="C96" s="518" t="s">
        <v>622</v>
      </c>
      <c r="D96" s="1151">
        <f t="shared" si="26"/>
        <v>-1</v>
      </c>
      <c r="E96" s="1151">
        <f t="shared" si="26"/>
        <v>-1</v>
      </c>
      <c r="F96" s="1151">
        <f t="shared" si="26"/>
        <v>3.2968680497935665E-4</v>
      </c>
      <c r="G96" s="1151">
        <f t="shared" si="26"/>
        <v>3.2987516640603509E-4</v>
      </c>
      <c r="H96" s="1151">
        <f t="shared" si="26"/>
        <v>3.3003574915690947E-4</v>
      </c>
      <c r="I96" s="1151">
        <f t="shared" si="26"/>
        <v>3.3017111961020085E-4</v>
      </c>
      <c r="J96" s="1151">
        <f t="shared" si="26"/>
        <v>3.3079613546771469E-4</v>
      </c>
      <c r="K96" s="1151">
        <f t="shared" si="26"/>
        <v>3.3094834767122272E-4</v>
      </c>
      <c r="L96" s="1151">
        <f t="shared" si="26"/>
        <v>3.310384079220352E-4</v>
      </c>
      <c r="M96" s="1151">
        <f t="shared" si="26"/>
        <v>3.3105412147804714E-4</v>
      </c>
      <c r="N96" s="1151">
        <f t="shared" si="26"/>
        <v>3.3113659944872254E-4</v>
      </c>
      <c r="O96" s="1151">
        <f t="shared" ref="O96:R96" si="43">(O21/O46-1)</f>
        <v>3.3110515772705185E-4</v>
      </c>
      <c r="P96" s="1151">
        <f t="shared" si="43"/>
        <v>3.3111395052798365E-4</v>
      </c>
      <c r="Q96" s="1151">
        <f t="shared" si="43"/>
        <v>3.311655580722217E-4</v>
      </c>
      <c r="R96" s="1151">
        <f t="shared" si="43"/>
        <v>3.3125947434919922E-4</v>
      </c>
    </row>
    <row r="97" spans="2:18" x14ac:dyDescent="0.35">
      <c r="B97" s="518" t="s">
        <v>621</v>
      </c>
      <c r="C97" s="518" t="s">
        <v>623</v>
      </c>
      <c r="D97" s="1151">
        <f t="shared" si="26"/>
        <v>-1</v>
      </c>
      <c r="E97" s="1151" t="e">
        <f t="shared" si="26"/>
        <v>#DIV/0!</v>
      </c>
      <c r="F97" s="1151" t="e">
        <f t="shared" si="26"/>
        <v>#DIV/0!</v>
      </c>
      <c r="G97" s="1151" t="e">
        <f t="shared" si="26"/>
        <v>#DIV/0!</v>
      </c>
      <c r="H97" s="1151" t="e">
        <f t="shared" si="26"/>
        <v>#DIV/0!</v>
      </c>
      <c r="I97" s="1151" t="e">
        <f t="shared" si="26"/>
        <v>#DIV/0!</v>
      </c>
      <c r="J97" s="1151" t="e">
        <f t="shared" si="26"/>
        <v>#DIV/0!</v>
      </c>
      <c r="K97" s="1151" t="e">
        <f t="shared" si="26"/>
        <v>#DIV/0!</v>
      </c>
      <c r="L97" s="1151" t="e">
        <f t="shared" si="26"/>
        <v>#DIV/0!</v>
      </c>
      <c r="M97" s="1151" t="e">
        <f t="shared" si="26"/>
        <v>#DIV/0!</v>
      </c>
      <c r="N97" s="1151" t="e">
        <f t="shared" si="26"/>
        <v>#DIV/0!</v>
      </c>
      <c r="O97" s="1151" t="e">
        <f t="shared" ref="O97:R97" si="44">(O22/O47-1)</f>
        <v>#DIV/0!</v>
      </c>
      <c r="P97" s="1151" t="e">
        <f t="shared" si="44"/>
        <v>#DIV/0!</v>
      </c>
      <c r="Q97" s="1151" t="e">
        <f t="shared" si="44"/>
        <v>#DIV/0!</v>
      </c>
      <c r="R97" s="1151" t="e">
        <f t="shared" si="44"/>
        <v>#DIV/0!</v>
      </c>
    </row>
    <row r="98" spans="2:18" x14ac:dyDescent="0.35">
      <c r="B98" s="518" t="s">
        <v>618</v>
      </c>
      <c r="C98" s="518" t="s">
        <v>624</v>
      </c>
      <c r="D98" s="1151">
        <f t="shared" si="26"/>
        <v>-1</v>
      </c>
      <c r="E98" s="1151">
        <f t="shared" si="26"/>
        <v>-1</v>
      </c>
      <c r="F98" s="1151">
        <f t="shared" si="26"/>
        <v>0</v>
      </c>
      <c r="G98" s="1151">
        <f t="shared" si="26"/>
        <v>0</v>
      </c>
      <c r="H98" s="1151">
        <f t="shared" si="26"/>
        <v>0</v>
      </c>
      <c r="I98" s="1151">
        <f t="shared" si="26"/>
        <v>0</v>
      </c>
      <c r="J98" s="1151">
        <f t="shared" si="26"/>
        <v>0</v>
      </c>
      <c r="K98" s="1151">
        <f t="shared" si="26"/>
        <v>0</v>
      </c>
      <c r="L98" s="1151">
        <f t="shared" si="26"/>
        <v>0</v>
      </c>
      <c r="M98" s="1151">
        <f t="shared" si="26"/>
        <v>0</v>
      </c>
      <c r="N98" s="1151">
        <f t="shared" si="26"/>
        <v>0</v>
      </c>
      <c r="O98" s="1151">
        <f t="shared" ref="O98:R98" si="45">(O23/O48-1)</f>
        <v>0</v>
      </c>
      <c r="P98" s="1151">
        <f t="shared" si="45"/>
        <v>0</v>
      </c>
      <c r="Q98" s="1151">
        <f t="shared" si="45"/>
        <v>0</v>
      </c>
      <c r="R98" s="1151">
        <f t="shared" si="45"/>
        <v>0</v>
      </c>
    </row>
    <row r="99" spans="2:18" x14ac:dyDescent="0.35">
      <c r="B99" s="518" t="s">
        <v>619</v>
      </c>
      <c r="C99" s="518" t="s">
        <v>625</v>
      </c>
      <c r="D99" s="1151">
        <f t="shared" si="26"/>
        <v>-1</v>
      </c>
      <c r="E99" s="1151" t="e">
        <f t="shared" si="26"/>
        <v>#VALUE!</v>
      </c>
      <c r="F99" s="1151" t="e">
        <f t="shared" si="26"/>
        <v>#VALUE!</v>
      </c>
      <c r="G99" s="1151" t="e">
        <f t="shared" si="26"/>
        <v>#VALUE!</v>
      </c>
      <c r="H99" s="1151" t="e">
        <f t="shared" si="26"/>
        <v>#VALUE!</v>
      </c>
      <c r="I99" s="1151" t="e">
        <f t="shared" si="26"/>
        <v>#VALUE!</v>
      </c>
      <c r="J99" s="1151" t="e">
        <f t="shared" si="26"/>
        <v>#VALUE!</v>
      </c>
      <c r="K99" s="1151" t="e">
        <f t="shared" si="26"/>
        <v>#VALUE!</v>
      </c>
      <c r="L99" s="1151" t="e">
        <f t="shared" si="26"/>
        <v>#VALUE!</v>
      </c>
      <c r="M99" s="1151" t="e">
        <f t="shared" si="26"/>
        <v>#VALUE!</v>
      </c>
      <c r="N99" s="1151" t="e">
        <f t="shared" si="26"/>
        <v>#VALUE!</v>
      </c>
      <c r="O99" s="1151" t="e">
        <f t="shared" ref="O99:R99" si="46">(O24/O49-1)</f>
        <v>#VALUE!</v>
      </c>
      <c r="P99" s="1151" t="e">
        <f t="shared" si="46"/>
        <v>#VALUE!</v>
      </c>
      <c r="Q99" s="1151" t="e">
        <f t="shared" si="46"/>
        <v>#VALUE!</v>
      </c>
      <c r="R99" s="1151" t="e">
        <f t="shared" si="46"/>
        <v>#VALUE!</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C3" sqref="C3"/>
    </sheetView>
  </sheetViews>
  <sheetFormatPr defaultColWidth="8.81640625" defaultRowHeight="14.5" x14ac:dyDescent="0.35"/>
  <cols>
    <col min="1" max="1" width="41.1796875" customWidth="1"/>
    <col min="2" max="2" width="23.453125" style="245" customWidth="1"/>
    <col min="3" max="13" width="10.36328125" bestFit="1" customWidth="1"/>
  </cols>
  <sheetData>
    <row r="1" spans="1:17" s="371" customFormat="1" x14ac:dyDescent="0.35">
      <c r="A1" s="371" t="s">
        <v>627</v>
      </c>
      <c r="B1" s="371" t="s">
        <v>626</v>
      </c>
      <c r="C1" s="374" t="s">
        <v>153</v>
      </c>
      <c r="D1" s="374" t="s">
        <v>154</v>
      </c>
      <c r="E1" s="374" t="s">
        <v>155</v>
      </c>
      <c r="F1" s="374" t="s">
        <v>156</v>
      </c>
      <c r="G1" s="374" t="s">
        <v>157</v>
      </c>
      <c r="H1" s="374" t="s">
        <v>158</v>
      </c>
      <c r="I1" s="374" t="s">
        <v>159</v>
      </c>
      <c r="J1" s="374" t="s">
        <v>160</v>
      </c>
      <c r="K1" s="374" t="s">
        <v>161</v>
      </c>
      <c r="L1" s="374" t="s">
        <v>162</v>
      </c>
      <c r="M1" s="374" t="s">
        <v>163</v>
      </c>
      <c r="N1" s="374" t="s">
        <v>164</v>
      </c>
      <c r="O1" s="374" t="s">
        <v>165</v>
      </c>
      <c r="P1" s="374" t="s">
        <v>166</v>
      </c>
      <c r="Q1" s="374" t="s">
        <v>167</v>
      </c>
    </row>
    <row r="2" spans="1:17" x14ac:dyDescent="0.35">
      <c r="A2" t="s">
        <v>0</v>
      </c>
      <c r="B2" s="245" t="s">
        <v>607</v>
      </c>
      <c r="C2" s="280">
        <f>Grants!O74</f>
        <v>-34.256</v>
      </c>
      <c r="D2" s="280" t="e">
        <f>Grants!P74</f>
        <v>#DIV/0!</v>
      </c>
      <c r="E2" s="280" t="e">
        <f>Grants!Q74</f>
        <v>#DIV/0!</v>
      </c>
      <c r="F2" s="280" t="e">
        <f>Grants!R74</f>
        <v>#DIV/0!</v>
      </c>
      <c r="G2" s="280" t="e">
        <f>Grants!S74</f>
        <v>#DIV/0!</v>
      </c>
      <c r="H2" s="280">
        <f>Grants!T74</f>
        <v>49.935991634052229</v>
      </c>
      <c r="I2" s="280">
        <f>Grants!U74</f>
        <v>54.299929299414316</v>
      </c>
      <c r="J2" s="280">
        <f>Grants!V74</f>
        <v>30.051664103390891</v>
      </c>
      <c r="K2" s="280">
        <f>Grants!W74</f>
        <v>20.06163690752652</v>
      </c>
      <c r="L2" s="280">
        <f>Grants!X74</f>
        <v>15.03172414382756</v>
      </c>
      <c r="M2" s="280">
        <f>Grants!Y74</f>
        <v>-15.26297425041929</v>
      </c>
      <c r="N2" s="529">
        <f>Grants!Z74</f>
        <v>-42.809780700436079</v>
      </c>
      <c r="O2" s="529">
        <f>Grants!AA74</f>
        <v>-48.345755288453518</v>
      </c>
      <c r="P2" s="529">
        <f>Grants!AB74</f>
        <v>-54.983802999991639</v>
      </c>
      <c r="Q2" s="529">
        <f>Grants!AC74</f>
        <v>-69.968936847991301</v>
      </c>
    </row>
    <row r="3" spans="1:17" x14ac:dyDescent="0.35">
      <c r="A3" t="s">
        <v>6</v>
      </c>
      <c r="B3" s="245" t="s">
        <v>606</v>
      </c>
      <c r="C3" s="280">
        <f>Grants!O93</f>
        <v>0</v>
      </c>
      <c r="D3" s="280">
        <f>Grants!P93</f>
        <v>75.34842857142857</v>
      </c>
      <c r="E3" s="280">
        <f>Grants!Q93</f>
        <v>75.34842857142857</v>
      </c>
      <c r="F3" s="280">
        <f>Grants!R93</f>
        <v>75.34842857142857</v>
      </c>
      <c r="G3" s="280">
        <f>Grants!S93</f>
        <v>75.34842857142857</v>
      </c>
      <c r="H3" s="280">
        <f>Grants!T93</f>
        <v>75.34842857142857</v>
      </c>
      <c r="I3" s="280">
        <f>Grants!U93</f>
        <v>75.34842857142857</v>
      </c>
      <c r="J3" s="280">
        <f>Grants!V93</f>
        <v>75.34842857142857</v>
      </c>
      <c r="K3" s="280">
        <f>Grants!W93</f>
        <v>75.34842857142857</v>
      </c>
      <c r="L3" s="280">
        <f>Grants!X93</f>
        <v>75.34842857142857</v>
      </c>
      <c r="M3" s="280">
        <f>Grants!Y93</f>
        <v>75.34842857142857</v>
      </c>
      <c r="N3" s="529">
        <f>Grants!Z93</f>
        <v>75.34842857142857</v>
      </c>
      <c r="O3" s="529">
        <f>Grants!AA93</f>
        <v>75.34842857142857</v>
      </c>
      <c r="P3" s="529">
        <f>Grants!AB93</f>
        <v>75.34842857142857</v>
      </c>
      <c r="Q3" s="529">
        <f>Grants!AC93</f>
        <v>75.34842857142857</v>
      </c>
    </row>
    <row r="4" spans="1:17" x14ac:dyDescent="0.35">
      <c r="A4" t="s">
        <v>457</v>
      </c>
      <c r="B4" s="245" t="s">
        <v>602</v>
      </c>
      <c r="C4" s="280">
        <f>'Federal and State Purchases'!O13</f>
        <v>0</v>
      </c>
      <c r="D4" s="280">
        <f>'Federal and State Purchases'!P13</f>
        <v>0</v>
      </c>
      <c r="E4" s="280">
        <f>'Federal and State Purchases'!Q13</f>
        <v>0</v>
      </c>
      <c r="F4" s="280">
        <f>'Federal and State Purchases'!R13</f>
        <v>0</v>
      </c>
      <c r="G4" s="280">
        <f>'Federal and State Purchases'!S13</f>
        <v>0</v>
      </c>
      <c r="H4" s="280">
        <f>'Federal and State Purchases'!T13</f>
        <v>0</v>
      </c>
      <c r="I4" s="280">
        <f>'Federal and State Purchases'!U13</f>
        <v>0</v>
      </c>
      <c r="J4" s="280">
        <f>'Federal and State Purchases'!V13</f>
        <v>0</v>
      </c>
      <c r="K4" s="280">
        <f>'Federal and State Purchases'!W13</f>
        <v>0</v>
      </c>
      <c r="L4" s="280">
        <f>'Federal and State Purchases'!X13</f>
        <v>0</v>
      </c>
      <c r="M4" s="280">
        <f>'Federal and State Purchases'!Y13</f>
        <v>0</v>
      </c>
      <c r="N4" s="529">
        <f>'Federal and State Purchases'!Z13</f>
        <v>0</v>
      </c>
      <c r="O4" s="529">
        <f>'Federal and State Purchases'!AA13</f>
        <v>0</v>
      </c>
      <c r="P4" s="529">
        <f>'Federal and State Purchases'!AB13</f>
        <v>0</v>
      </c>
      <c r="Q4" s="529">
        <f>'Federal and State Purchases'!AC13</f>
        <v>0</v>
      </c>
    </row>
    <row r="5" spans="1:17" x14ac:dyDescent="0.35">
      <c r="A5" t="s">
        <v>458</v>
      </c>
      <c r="B5" s="308" t="s">
        <v>603</v>
      </c>
      <c r="C5" s="280">
        <f>'Federal and State Purchases'!O27</f>
        <v>0</v>
      </c>
      <c r="D5" s="280">
        <f>'Federal and State Purchases'!P27</f>
        <v>0</v>
      </c>
      <c r="E5" s="280">
        <f>'Federal and State Purchases'!Q27</f>
        <v>0</v>
      </c>
      <c r="F5" s="280">
        <f>'Federal and State Purchases'!R27</f>
        <v>0</v>
      </c>
      <c r="G5" s="280">
        <f>'Federal and State Purchases'!S27</f>
        <v>0</v>
      </c>
      <c r="H5" s="280">
        <f>'Federal and State Purchases'!T27</f>
        <v>0</v>
      </c>
      <c r="I5" s="280">
        <f>'Federal and State Purchases'!U27</f>
        <v>0</v>
      </c>
      <c r="J5" s="280">
        <f>'Federal and State Purchases'!V27</f>
        <v>0</v>
      </c>
      <c r="K5" s="280">
        <f>'Federal and State Purchases'!W27</f>
        <v>0</v>
      </c>
      <c r="L5" s="280">
        <f>'Federal and State Purchases'!X27</f>
        <v>0</v>
      </c>
      <c r="M5" s="280">
        <f>'Federal and State Purchases'!Y27</f>
        <v>0</v>
      </c>
      <c r="N5" s="529">
        <f>'Federal and State Purchases'!Z27</f>
        <v>0</v>
      </c>
      <c r="O5" s="529">
        <f>'Federal and State Purchases'!AA27</f>
        <v>0</v>
      </c>
      <c r="P5" s="529">
        <f>'Federal and State Purchases'!AB27</f>
        <v>0</v>
      </c>
      <c r="Q5" s="529">
        <f>'Federal and State Purchases'!AC27</f>
        <v>0</v>
      </c>
    </row>
    <row r="6" spans="1:17" x14ac:dyDescent="0.35">
      <c r="A6" t="s">
        <v>568</v>
      </c>
      <c r="B6" s="308" t="s">
        <v>610</v>
      </c>
      <c r="C6" s="280">
        <f>Subsidies!O44</f>
        <v>-267.78904</v>
      </c>
      <c r="D6" s="280" t="e">
        <f>Subsidies!P44</f>
        <v>#DIV/0!</v>
      </c>
      <c r="E6" s="280" t="e">
        <f>Subsidies!Q44</f>
        <v>#DIV/0!</v>
      </c>
      <c r="F6" s="280" t="e">
        <f>Subsidies!R44</f>
        <v>#DIV/0!</v>
      </c>
      <c r="G6" s="280" t="e">
        <f>Subsidies!S44</f>
        <v>#DIV/0!</v>
      </c>
      <c r="H6" s="280">
        <f>Subsidies!T44</f>
        <v>75.736000000000004</v>
      </c>
      <c r="I6" s="280">
        <f>Subsidies!U44</f>
        <v>75.736000000000004</v>
      </c>
      <c r="J6" s="280">
        <f>Subsidies!V44</f>
        <v>75.736000000000004</v>
      </c>
      <c r="K6" s="280">
        <f>Subsidies!W44</f>
        <v>75.736000000000004</v>
      </c>
      <c r="L6" s="280">
        <f>Subsidies!X44</f>
        <v>74.060000000000016</v>
      </c>
      <c r="M6" s="280">
        <f>Subsidies!Y44</f>
        <v>74.060000000000016</v>
      </c>
      <c r="N6" s="529">
        <f>Subsidies!Z44</f>
        <v>74.060000000000016</v>
      </c>
      <c r="O6" s="529">
        <f>Subsidies!AA44</f>
        <v>74.060000000000016</v>
      </c>
      <c r="P6" s="529">
        <f>Subsidies!AB44</f>
        <v>77.001000000000005</v>
      </c>
      <c r="Q6" s="529">
        <f>Subsidies!AC44</f>
        <v>77.001000000000005</v>
      </c>
    </row>
    <row r="7" spans="1:17" x14ac:dyDescent="0.35">
      <c r="A7" t="s">
        <v>609</v>
      </c>
      <c r="B7" s="308" t="s">
        <v>611</v>
      </c>
      <c r="C7" s="280">
        <f>Subsidies!O43</f>
        <v>267.78904</v>
      </c>
      <c r="D7" s="280">
        <f>Subsidies!P43</f>
        <v>110.24799999999999</v>
      </c>
      <c r="E7" s="280">
        <f>Subsidies!Q43</f>
        <v>110.24799999999999</v>
      </c>
      <c r="F7" s="280">
        <f>Subsidies!R43</f>
        <v>110.24799999999999</v>
      </c>
      <c r="G7" s="280">
        <f>Subsidies!S43</f>
        <v>110.24799999999999</v>
      </c>
      <c r="H7" s="280">
        <f>Subsidies!T43</f>
        <v>12.726000000000001</v>
      </c>
      <c r="I7" s="280">
        <f>Subsidies!U43</f>
        <v>12.726000000000001</v>
      </c>
      <c r="J7" s="280">
        <f>Subsidies!V43</f>
        <v>12.726000000000001</v>
      </c>
      <c r="K7" s="280">
        <f>Subsidies!W43</f>
        <v>12.726000000000001</v>
      </c>
      <c r="L7" s="280">
        <f>Subsidies!X43</f>
        <v>1.365</v>
      </c>
      <c r="M7" s="280">
        <f>Subsidies!Y43</f>
        <v>1.365</v>
      </c>
      <c r="N7" s="529">
        <f>Subsidies!Z43</f>
        <v>1.365</v>
      </c>
      <c r="O7" s="529">
        <f>Subsidies!AA43</f>
        <v>1.365</v>
      </c>
      <c r="P7" s="529">
        <f>Subsidies!AB43</f>
        <v>-0.90100000000000025</v>
      </c>
      <c r="Q7" s="529">
        <f>Subsidies!AC43</f>
        <v>-0.90100000000000025</v>
      </c>
    </row>
    <row r="8" spans="1:17" x14ac:dyDescent="0.35">
      <c r="A8" t="s">
        <v>133</v>
      </c>
      <c r="B8" s="308" t="s">
        <v>604</v>
      </c>
      <c r="C8" s="280">
        <f>'Unemployment Insurance'!O19</f>
        <v>0</v>
      </c>
      <c r="D8" s="280">
        <f>'Unemployment Insurance'!P19</f>
        <v>0</v>
      </c>
      <c r="E8" s="280">
        <f>'Unemployment Insurance'!Q19</f>
        <v>0</v>
      </c>
      <c r="F8" s="280">
        <f>'Unemployment Insurance'!R19</f>
        <v>0</v>
      </c>
      <c r="G8" s="280">
        <f>'Unemployment Insurance'!S19</f>
        <v>0</v>
      </c>
      <c r="H8" s="280">
        <f>'Unemployment Insurance'!T19</f>
        <v>0</v>
      </c>
      <c r="I8" s="280">
        <f>'Unemployment Insurance'!U19</f>
        <v>0</v>
      </c>
      <c r="J8" s="280">
        <f>'Unemployment Insurance'!V19</f>
        <v>0</v>
      </c>
      <c r="K8" s="280">
        <f>'Unemployment Insurance'!W19</f>
        <v>0</v>
      </c>
      <c r="L8" s="280">
        <f>'Unemployment Insurance'!X19</f>
        <v>0</v>
      </c>
      <c r="M8" s="280">
        <f>'Unemployment Insurance'!Y19</f>
        <v>0</v>
      </c>
      <c r="N8" s="529">
        <f>'Unemployment Insurance'!Z19</f>
        <v>0</v>
      </c>
      <c r="O8" s="529">
        <f>'Unemployment Insurance'!AA19</f>
        <v>0</v>
      </c>
      <c r="P8" s="529">
        <f>'Unemployment Insurance'!AB19</f>
        <v>0</v>
      </c>
      <c r="Q8" s="529">
        <f>'Unemployment Insurance'!AC19</f>
        <v>0</v>
      </c>
    </row>
    <row r="9" spans="1:17" x14ac:dyDescent="0.35">
      <c r="A9" t="s">
        <v>134</v>
      </c>
      <c r="B9" s="308" t="s">
        <v>605</v>
      </c>
      <c r="C9" s="280">
        <f>'Unemployment Insurance'!O20</f>
        <v>0</v>
      </c>
      <c r="D9" s="280">
        <f>'Unemployment Insurance'!P20</f>
        <v>0</v>
      </c>
      <c r="E9" s="280">
        <f>'Unemployment Insurance'!Q20</f>
        <v>0</v>
      </c>
      <c r="F9" s="280">
        <f>'Unemployment Insurance'!R20</f>
        <v>0</v>
      </c>
      <c r="G9" s="280">
        <f>'Unemployment Insurance'!S20</f>
        <v>0</v>
      </c>
      <c r="H9" s="280">
        <f>'Unemployment Insurance'!T20</f>
        <v>0</v>
      </c>
      <c r="I9" s="280">
        <f>'Unemployment Insurance'!U20</f>
        <v>0</v>
      </c>
      <c r="J9" s="280">
        <f>'Unemployment Insurance'!V20</f>
        <v>0</v>
      </c>
      <c r="K9" s="280">
        <f>'Unemployment Insurance'!W20</f>
        <v>0</v>
      </c>
      <c r="L9" s="280">
        <f>'Unemployment Insurance'!X20</f>
        <v>0</v>
      </c>
      <c r="M9" s="280">
        <f>'Unemployment Insurance'!Y20</f>
        <v>0</v>
      </c>
      <c r="N9" s="529">
        <f>'Unemployment Insurance'!Z20</f>
        <v>0</v>
      </c>
      <c r="O9" s="529">
        <f>'Unemployment Insurance'!AA20</f>
        <v>0</v>
      </c>
      <c r="P9" s="529">
        <f>'Unemployment Insurance'!AB20</f>
        <v>0</v>
      </c>
      <c r="Q9" s="529">
        <f>'Unemployment Insurance'!AC20</f>
        <v>0</v>
      </c>
    </row>
    <row r="10" spans="1:17" x14ac:dyDescent="0.35">
      <c r="A10" t="s">
        <v>140</v>
      </c>
      <c r="B10" s="308" t="s">
        <v>608</v>
      </c>
      <c r="C10" s="280">
        <f>Medicaid!K26</f>
        <v>0</v>
      </c>
      <c r="D10" s="280" t="e">
        <f>Medicaid!L26</f>
        <v>#DIV/0!</v>
      </c>
      <c r="E10" s="280" t="e">
        <f>Medicaid!M26</f>
        <v>#DIV/0!</v>
      </c>
      <c r="F10" s="280" t="e">
        <f>Medicaid!N26</f>
        <v>#DIV/0!</v>
      </c>
      <c r="G10" s="280" t="e">
        <f>Medicaid!O26</f>
        <v>#DIV/0!</v>
      </c>
      <c r="H10" s="280" t="e">
        <f>Medicaid!P26</f>
        <v>#DIV/0!</v>
      </c>
      <c r="I10" s="280" t="e">
        <f>Medicaid!Q26</f>
        <v>#DIV/0!</v>
      </c>
      <c r="J10" s="280" t="e">
        <f>Medicaid!R26</f>
        <v>#DIV/0!</v>
      </c>
      <c r="K10" s="280" t="e">
        <f>Medicaid!S26</f>
        <v>#DIV/0!</v>
      </c>
      <c r="L10" s="280" t="e">
        <f>Medicaid!T26</f>
        <v>#DIV/0!</v>
      </c>
      <c r="M10" s="280" t="e">
        <f>Medicaid!U26</f>
        <v>#DIV/0!</v>
      </c>
      <c r="N10" s="529" t="e">
        <f>Medicaid!V26</f>
        <v>#DIV/0!</v>
      </c>
      <c r="O10" s="529" t="e">
        <f>Medicaid!W26</f>
        <v>#DIV/0!</v>
      </c>
      <c r="P10" s="529" t="e">
        <f>Medicaid!X26</f>
        <v>#DIV/0!</v>
      </c>
      <c r="Q10" s="529" t="e">
        <f>Medicaid!Y26</f>
        <v>#DIV/0!</v>
      </c>
    </row>
    <row r="11" spans="1:17" x14ac:dyDescent="0.35">
      <c r="A11" t="s">
        <v>139</v>
      </c>
      <c r="B11" s="308" t="s">
        <v>73</v>
      </c>
      <c r="C11" s="529">
        <f>Medicaid!K25</f>
        <v>0</v>
      </c>
      <c r="D11" s="529" t="e">
        <f>Medicaid!L25</f>
        <v>#DIV/0!</v>
      </c>
      <c r="E11" s="529" t="e">
        <f>Medicaid!M25</f>
        <v>#DIV/0!</v>
      </c>
      <c r="F11" s="529" t="e">
        <f>Medicaid!N25</f>
        <v>#DIV/0!</v>
      </c>
      <c r="G11" s="529" t="e">
        <f>Medicaid!O25</f>
        <v>#DIV/0!</v>
      </c>
      <c r="H11" s="529" t="e">
        <f>Medicaid!P25</f>
        <v>#DIV/0!</v>
      </c>
      <c r="I11" s="529" t="e">
        <f>Medicaid!Q25</f>
        <v>#DIV/0!</v>
      </c>
      <c r="J11" s="529" t="e">
        <f>Medicaid!R25</f>
        <v>#DIV/0!</v>
      </c>
      <c r="K11" s="529" t="e">
        <f>Medicaid!S25</f>
        <v>#DIV/0!</v>
      </c>
      <c r="L11" s="529" t="e">
        <f>Medicaid!T25</f>
        <v>#DIV/0!</v>
      </c>
      <c r="M11" s="529" t="e">
        <f>Medicaid!U25</f>
        <v>#DIV/0!</v>
      </c>
      <c r="N11" s="529" t="e">
        <f>Medicaid!V25</f>
        <v>#DIV/0!</v>
      </c>
      <c r="O11" s="529" t="e">
        <f>Medicaid!W25</f>
        <v>#DIV/0!</v>
      </c>
      <c r="P11" s="529" t="e">
        <f>Medicaid!X25</f>
        <v>#DIV/0!</v>
      </c>
      <c r="Q11" s="529" t="e">
        <f>Medicaid!Y25</f>
        <v>#DIV/0!</v>
      </c>
    </row>
    <row r="12" spans="1:17" x14ac:dyDescent="0.35">
      <c r="A12" t="s">
        <v>383</v>
      </c>
      <c r="B12" s="245" t="s">
        <v>74</v>
      </c>
      <c r="C12" s="280">
        <f>Medicare!O10</f>
        <v>0</v>
      </c>
      <c r="D12" s="280">
        <f>Medicare!P10</f>
        <v>-0.24817867266275329</v>
      </c>
      <c r="E12" s="280">
        <f>Medicare!Q10</f>
        <v>-16.514588757086585</v>
      </c>
      <c r="F12" s="280">
        <f>Medicare!R10</f>
        <v>-16.78598013313465</v>
      </c>
      <c r="G12" s="280">
        <f>Medicare!S10</f>
        <v>-31.062445940172523</v>
      </c>
      <c r="H12" s="280">
        <f>Medicare!T10</f>
        <v>-31.344081059070202</v>
      </c>
      <c r="I12" s="280">
        <f>Medicare!U10</f>
        <v>-31.630547174254353</v>
      </c>
      <c r="J12" s="280">
        <f>Medicare!V10</f>
        <v>-31.922361464727253</v>
      </c>
      <c r="K12" s="280">
        <f>Medicare!W10</f>
        <v>-32.219623778175603</v>
      </c>
      <c r="L12" s="280">
        <f>Medicare!X10</f>
        <v>-32.52243582639116</v>
      </c>
      <c r="M12" s="280">
        <f>Medicare!Y10</f>
        <v>-32.826488519509027</v>
      </c>
      <c r="N12" s="529">
        <f>Medicare!Z10</f>
        <v>-33.13613651595648</v>
      </c>
      <c r="O12" s="529">
        <f>Medicare!AA10</f>
        <v>-33.45148278281804</v>
      </c>
      <c r="P12" s="529">
        <f>Medicare!AB10</f>
        <v>-33.772632182021063</v>
      </c>
      <c r="Q12" s="529">
        <f>Medicare!AC10</f>
        <v>-34.099691505205442</v>
      </c>
    </row>
    <row r="13" spans="1:17" s="245" customFormat="1" x14ac:dyDescent="0.35">
      <c r="A13" s="245" t="s">
        <v>461</v>
      </c>
      <c r="B13" s="308" t="s">
        <v>616</v>
      </c>
      <c r="C13" s="280">
        <f>'Rebate Checks'!O11</f>
        <v>0</v>
      </c>
      <c r="D13" s="280">
        <f>'Rebate Checks'!P11</f>
        <v>0</v>
      </c>
      <c r="E13" s="280">
        <f>'Rebate Checks'!Q11</f>
        <v>0</v>
      </c>
      <c r="F13" s="280">
        <f>'Rebate Checks'!R11</f>
        <v>0</v>
      </c>
      <c r="G13" s="280">
        <f>'Rebate Checks'!S11</f>
        <v>0</v>
      </c>
      <c r="H13" s="280">
        <f>'Rebate Checks'!T11</f>
        <v>0</v>
      </c>
      <c r="I13" s="280">
        <f>'Rebate Checks'!U11</f>
        <v>0</v>
      </c>
      <c r="J13" s="280">
        <f>'Rebate Checks'!V11</f>
        <v>0</v>
      </c>
      <c r="K13" s="280">
        <f>'Rebate Checks'!W11</f>
        <v>0</v>
      </c>
      <c r="L13" s="280">
        <f>'Rebate Checks'!X11</f>
        <v>0</v>
      </c>
      <c r="M13" s="280">
        <f>'Rebate Checks'!Y11</f>
        <v>0</v>
      </c>
      <c r="N13" s="529">
        <f>'Rebate Checks'!Z11</f>
        <v>0</v>
      </c>
      <c r="O13" s="529">
        <f>'Rebate Checks'!AA11</f>
        <v>0</v>
      </c>
      <c r="P13" s="529">
        <f>'Rebate Checks'!AB11</f>
        <v>0</v>
      </c>
      <c r="Q13" s="529">
        <f>'Rebate Checks'!AC11</f>
        <v>0</v>
      </c>
    </row>
    <row r="14" spans="1:17" x14ac:dyDescent="0.35">
      <c r="A14" t="s">
        <v>462</v>
      </c>
      <c r="B14" s="308" t="s">
        <v>617</v>
      </c>
      <c r="C14" s="280">
        <f>'Rebate Checks'!O10</f>
        <v>0</v>
      </c>
      <c r="D14" s="280">
        <f>'Rebate Checks'!P10</f>
        <v>0</v>
      </c>
      <c r="E14" s="280">
        <f>'Rebate Checks'!Q10</f>
        <v>14.93</v>
      </c>
      <c r="F14" s="280">
        <f>'Rebate Checks'!R10</f>
        <v>14.93</v>
      </c>
      <c r="G14" s="280">
        <f>'Rebate Checks'!S10</f>
        <v>0</v>
      </c>
      <c r="H14" s="280">
        <f>'Rebate Checks'!T10</f>
        <v>0</v>
      </c>
      <c r="I14" s="280">
        <f>'Rebate Checks'!U10</f>
        <v>0</v>
      </c>
      <c r="J14" s="280">
        <f>'Rebate Checks'!V10</f>
        <v>0</v>
      </c>
      <c r="K14" s="280">
        <f>'Rebate Checks'!W10</f>
        <v>0</v>
      </c>
      <c r="L14" s="280">
        <f>'Rebate Checks'!X10</f>
        <v>0</v>
      </c>
      <c r="M14" s="280">
        <f>'Rebate Checks'!Y10</f>
        <v>0</v>
      </c>
      <c r="N14" s="529">
        <f>'Rebate Checks'!Z10</f>
        <v>0</v>
      </c>
      <c r="O14" s="529">
        <f>'Rebate Checks'!AA10</f>
        <v>0</v>
      </c>
      <c r="P14" s="529">
        <f>'Rebate Checks'!AB10</f>
        <v>0</v>
      </c>
      <c r="Q14" s="529">
        <f>'Rebate Checks'!AC10</f>
        <v>0</v>
      </c>
    </row>
    <row r="15" spans="1:17" x14ac:dyDescent="0.35">
      <c r="A15" t="s">
        <v>459</v>
      </c>
      <c r="B15" s="308" t="s">
        <v>615</v>
      </c>
      <c r="C15" s="280">
        <f>'Social Benefits'!O24</f>
        <v>137.43936000000005</v>
      </c>
      <c r="D15" s="280">
        <f>'Social Benefits'!P24</f>
        <v>52.756999999999998</v>
      </c>
      <c r="E15" s="280">
        <f>'Social Benefits'!Q24</f>
        <v>52.756999999999998</v>
      </c>
      <c r="F15" s="280">
        <f>'Social Benefits'!R24</f>
        <v>52.756999999999998</v>
      </c>
      <c r="G15" s="280">
        <f>'Social Benefits'!S24</f>
        <v>52.756999999999998</v>
      </c>
      <c r="H15" s="280">
        <f>'Social Benefits'!T24</f>
        <v>12</v>
      </c>
      <c r="I15" s="280">
        <f>'Social Benefits'!U24</f>
        <v>12</v>
      </c>
      <c r="J15" s="280">
        <f>'Social Benefits'!V24</f>
        <v>12</v>
      </c>
      <c r="K15" s="280">
        <f>'Social Benefits'!W24</f>
        <v>12</v>
      </c>
      <c r="L15" s="280">
        <f>'Social Benefits'!X24</f>
        <v>4.2219999999999995</v>
      </c>
      <c r="M15" s="280">
        <f>'Social Benefits'!Y24</f>
        <v>4.2219999999999995</v>
      </c>
      <c r="N15" s="529">
        <f>'Social Benefits'!Z24</f>
        <v>4.2219999999999995</v>
      </c>
      <c r="O15" s="529">
        <f>'Social Benefits'!AA24</f>
        <v>4.2219999999999995</v>
      </c>
      <c r="P15" s="529">
        <f>'Social Benefits'!AB24</f>
        <v>2.3719999999999999</v>
      </c>
      <c r="Q15" s="529">
        <f>'Social Benefits'!AC24</f>
        <v>2.3719999999999999</v>
      </c>
    </row>
    <row r="16" spans="1:17" x14ac:dyDescent="0.35">
      <c r="A16" t="s">
        <v>460</v>
      </c>
      <c r="B16" s="308" t="s">
        <v>614</v>
      </c>
      <c r="C16" s="280">
        <f>'Social Benefits'!O25</f>
        <v>203.10400000000004</v>
      </c>
      <c r="D16" s="280">
        <f>'Social Benefits'!P25</f>
        <v>74.718999999999994</v>
      </c>
      <c r="E16" s="280">
        <f>'Social Benefits'!Q25</f>
        <v>74.718999999999994</v>
      </c>
      <c r="F16" s="280">
        <f>'Social Benefits'!R25</f>
        <v>74.718999999999994</v>
      </c>
      <c r="G16" s="280">
        <f>'Social Benefits'!S25</f>
        <v>74.718999999999994</v>
      </c>
      <c r="H16" s="280">
        <f>'Social Benefits'!T25</f>
        <v>2.1159999999999997</v>
      </c>
      <c r="I16" s="280">
        <f>'Social Benefits'!U25</f>
        <v>2.1159999999999997</v>
      </c>
      <c r="J16" s="280">
        <f>'Social Benefits'!V25</f>
        <v>2.1159999999999997</v>
      </c>
      <c r="K16" s="280">
        <f>'Social Benefits'!W25</f>
        <v>2.1159999999999997</v>
      </c>
      <c r="L16" s="280">
        <f>'Social Benefits'!X25</f>
        <v>2.1789999999999998</v>
      </c>
      <c r="M16" s="280">
        <f>'Social Benefits'!Y25</f>
        <v>2.1789999999999998</v>
      </c>
      <c r="N16" s="529">
        <f>'Social Benefits'!Z25</f>
        <v>2.1789999999999998</v>
      </c>
      <c r="O16" s="529">
        <f>'Social Benefits'!AA25</f>
        <v>2.1789999999999998</v>
      </c>
      <c r="P16" s="529">
        <f>'Social Benefits'!AB25</f>
        <v>2.33</v>
      </c>
      <c r="Q16" s="529">
        <f>'Social Benefits'!AC25</f>
        <v>2.33</v>
      </c>
    </row>
    <row r="17" spans="1:17" x14ac:dyDescent="0.35">
      <c r="A17" t="s">
        <v>553</v>
      </c>
      <c r="B17" s="308" t="s">
        <v>612</v>
      </c>
      <c r="C17" s="529" t="e">
        <f>'Social Benefits'!O22+'Social Benefits'!O16</f>
        <v>#VALUE!</v>
      </c>
      <c r="D17" s="529" t="e">
        <f>'Social Benefits'!P22+'Social Benefits'!P16</f>
        <v>#VALUE!</v>
      </c>
      <c r="E17" s="529">
        <f>'Social Benefits'!Q22+'Social Benefits'!Q16</f>
        <v>1710.3262120071224</v>
      </c>
      <c r="F17" s="529">
        <f>'Social Benefits'!R22+'Social Benefits'!R16</f>
        <v>1712.4262120071226</v>
      </c>
      <c r="G17" s="529">
        <f>'Social Benefits'!S22+'Social Benefits'!S16</f>
        <v>1704.5262120071227</v>
      </c>
      <c r="H17" s="529">
        <f>'Social Benefits'!T22+'Social Benefits'!T16</f>
        <v>1706.6262120071228</v>
      </c>
      <c r="I17" s="529">
        <f>'Social Benefits'!U22+'Social Benefits'!U16</f>
        <v>1783.9785508694649</v>
      </c>
      <c r="J17" s="529">
        <f>'Social Benefits'!V22+'Social Benefits'!V16</f>
        <v>1791.0785508694651</v>
      </c>
      <c r="K17" s="529">
        <f>'Social Benefits'!W22+'Social Benefits'!W16</f>
        <v>1798.1785508694652</v>
      </c>
      <c r="L17" s="529">
        <f>'Social Benefits'!X22+'Social Benefits'!X16</f>
        <v>1805.2785508694653</v>
      </c>
      <c r="M17" s="529">
        <f>'Social Benefits'!Y22+'Social Benefits'!Y16</f>
        <v>1878.701320206336</v>
      </c>
      <c r="N17" s="529">
        <f>'Social Benefits'!Z22+'Social Benefits'!Z16</f>
        <v>1885.8013202063362</v>
      </c>
      <c r="O17" s="529">
        <f>'Social Benefits'!AA22+'Social Benefits'!AA16</f>
        <v>1892.9013202063363</v>
      </c>
      <c r="P17" s="529">
        <f>'Social Benefits'!AB22+'Social Benefits'!AB16</f>
        <v>1900.0013202063365</v>
      </c>
      <c r="Q17" s="529">
        <f>'Social Benefits'!AC22+'Social Benefits'!AC16</f>
        <v>1907.1013202063366</v>
      </c>
    </row>
    <row r="18" spans="1:17" s="308" customFormat="1" x14ac:dyDescent="0.35">
      <c r="A18" s="308" t="s">
        <v>554</v>
      </c>
      <c r="B18" s="308" t="s">
        <v>613</v>
      </c>
      <c r="C18" s="280">
        <f>'Social Benefits'!O30</f>
        <v>0</v>
      </c>
      <c r="D18" s="280">
        <f>'Social Benefits'!P30</f>
        <v>0</v>
      </c>
      <c r="E18" s="280">
        <f>'Social Benefits'!Q30</f>
        <v>0</v>
      </c>
      <c r="F18" s="280">
        <f>'Social Benefits'!R30</f>
        <v>0</v>
      </c>
      <c r="G18" s="280">
        <f>'Social Benefits'!S30</f>
        <v>0</v>
      </c>
      <c r="H18" s="280">
        <f>'Social Benefits'!T30</f>
        <v>0</v>
      </c>
      <c r="I18" s="280">
        <f>'Social Benefits'!U30</f>
        <v>0</v>
      </c>
      <c r="J18" s="280">
        <f>'Social Benefits'!V30</f>
        <v>0</v>
      </c>
      <c r="K18" s="280">
        <f>'Social Benefits'!W30</f>
        <v>0</v>
      </c>
      <c r="L18" s="280">
        <f>'Social Benefits'!X30</f>
        <v>0</v>
      </c>
      <c r="M18" s="280">
        <f>'Social Benefits'!Y30</f>
        <v>0</v>
      </c>
      <c r="N18" s="529">
        <f>'Social Benefits'!Z30</f>
        <v>0</v>
      </c>
      <c r="O18" s="529">
        <f>'Social Benefits'!AA30</f>
        <v>0</v>
      </c>
      <c r="P18" s="529">
        <f>'Social Benefits'!AB30</f>
        <v>0</v>
      </c>
      <c r="Q18" s="529">
        <f>'Social Benefits'!AC30</f>
        <v>0</v>
      </c>
    </row>
    <row r="19" spans="1:17" x14ac:dyDescent="0.35">
      <c r="A19" t="s">
        <v>620</v>
      </c>
      <c r="B19" s="308" t="s">
        <v>622</v>
      </c>
      <c r="C19" s="280">
        <f>Taxes!O9</f>
        <v>0</v>
      </c>
      <c r="D19" s="280">
        <f>Taxes!P9</f>
        <v>0</v>
      </c>
      <c r="E19" s="280">
        <f>Taxes!Q9</f>
        <v>3790.7238057954069</v>
      </c>
      <c r="F19" s="280">
        <f>Taxes!R9</f>
        <v>3840.889887743801</v>
      </c>
      <c r="G19" s="280">
        <f>Taxes!S9</f>
        <v>3887.0163916019224</v>
      </c>
      <c r="H19" s="280">
        <f>Taxes!T9</f>
        <v>3930.0199767154968</v>
      </c>
      <c r="I19" s="280">
        <f>Taxes!U9</f>
        <v>3964.5192614697726</v>
      </c>
      <c r="J19" s="280">
        <f>Taxes!V9</f>
        <v>4003.335054718309</v>
      </c>
      <c r="K19" s="280">
        <f>Taxes!W9</f>
        <v>4041.8237980896938</v>
      </c>
      <c r="L19" s="280">
        <f>Taxes!X9</f>
        <v>4079.4959409347007</v>
      </c>
      <c r="M19" s="280">
        <f>Taxes!Y9</f>
        <v>4115.8988989802419</v>
      </c>
      <c r="N19" s="529">
        <f>Taxes!Z9</f>
        <v>4151.9534136676202</v>
      </c>
      <c r="O19" s="529">
        <f>Taxes!AA9</f>
        <v>4189.6512564334271</v>
      </c>
      <c r="P19" s="529">
        <f>Taxes!AB9</f>
        <v>4227.3775725223713</v>
      </c>
      <c r="Q19" s="529">
        <f>Taxes!AC9</f>
        <v>4266.1932043264842</v>
      </c>
    </row>
    <row r="20" spans="1:17" x14ac:dyDescent="0.35">
      <c r="A20" t="s">
        <v>621</v>
      </c>
      <c r="B20" s="308" t="s">
        <v>623</v>
      </c>
      <c r="C20" s="280">
        <f>Taxes!O16</f>
        <v>0</v>
      </c>
      <c r="D20" s="280" t="e">
        <f>Taxes!P16</f>
        <v>#DIV/0!</v>
      </c>
      <c r="E20" s="280" t="e">
        <f>Taxes!Q16</f>
        <v>#DIV/0!</v>
      </c>
      <c r="F20" s="280" t="e">
        <f>Taxes!R16</f>
        <v>#DIV/0!</v>
      </c>
      <c r="G20" s="280" t="e">
        <f>Taxes!S16</f>
        <v>#DIV/0!</v>
      </c>
      <c r="H20" s="280" t="e">
        <f>Taxes!T16</f>
        <v>#DIV/0!</v>
      </c>
      <c r="I20" s="280" t="e">
        <f>Taxes!U16</f>
        <v>#DIV/0!</v>
      </c>
      <c r="J20" s="280" t="e">
        <f>Taxes!V16</f>
        <v>#DIV/0!</v>
      </c>
      <c r="K20" s="280" t="e">
        <f>Taxes!W16</f>
        <v>#DIV/0!</v>
      </c>
      <c r="L20" s="280" t="e">
        <f>Taxes!X16</f>
        <v>#DIV/0!</v>
      </c>
      <c r="M20" s="280" t="e">
        <f>Taxes!Y16</f>
        <v>#DIV/0!</v>
      </c>
      <c r="N20" s="529" t="e">
        <f>Taxes!Z16</f>
        <v>#DIV/0!</v>
      </c>
      <c r="O20" s="529" t="e">
        <f>Taxes!AA16</f>
        <v>#DIV/0!</v>
      </c>
      <c r="P20" s="529" t="e">
        <f>Taxes!AB16</f>
        <v>#DIV/0!</v>
      </c>
      <c r="Q20" s="529" t="e">
        <f>Taxes!AC16</f>
        <v>#DIV/0!</v>
      </c>
    </row>
    <row r="21" spans="1:17" x14ac:dyDescent="0.35">
      <c r="A21" t="s">
        <v>618</v>
      </c>
      <c r="B21" s="308" t="s">
        <v>624</v>
      </c>
      <c r="C21" s="280">
        <f>Taxes!O13</f>
        <v>0</v>
      </c>
      <c r="D21" s="280">
        <f>Taxes!P13</f>
        <v>0</v>
      </c>
      <c r="E21" s="280">
        <f>Taxes!Q13</f>
        <v>331.9957125021694</v>
      </c>
      <c r="F21" s="280">
        <f>Taxes!R13</f>
        <v>337.72752744381148</v>
      </c>
      <c r="G21" s="280">
        <f>Taxes!S13</f>
        <v>339.30096683955634</v>
      </c>
      <c r="H21" s="280">
        <f>Taxes!T13</f>
        <v>339.07618978302133</v>
      </c>
      <c r="I21" s="280">
        <f>Taxes!U13</f>
        <v>337.39036185900898</v>
      </c>
      <c r="J21" s="280">
        <f>Taxes!V13</f>
        <v>334.46826012405421</v>
      </c>
      <c r="K21" s="280">
        <f>Taxes!W13</f>
        <v>332.67004367177435</v>
      </c>
      <c r="L21" s="280">
        <f>Taxes!X13</f>
        <v>332.67004367177435</v>
      </c>
      <c r="M21" s="280">
        <f>Taxes!Y13</f>
        <v>332.1755341473974</v>
      </c>
      <c r="N21" s="529">
        <f>Taxes!Z13</f>
        <v>333.80516780727601</v>
      </c>
      <c r="O21" s="529">
        <f>Taxes!AA13</f>
        <v>335.18754670496617</v>
      </c>
      <c r="P21" s="529">
        <f>Taxes!AB13</f>
        <v>337.08691283268678</v>
      </c>
      <c r="Q21" s="529">
        <f>Taxes!AC13</f>
        <v>337.99725991165343</v>
      </c>
    </row>
    <row r="22" spans="1:17" x14ac:dyDescent="0.35">
      <c r="A22" t="s">
        <v>619</v>
      </c>
      <c r="B22" s="308" t="s">
        <v>625</v>
      </c>
      <c r="C22" s="280">
        <f>Taxes!O20</f>
        <v>0</v>
      </c>
      <c r="D22" s="280" t="e">
        <f>Taxes!P20</f>
        <v>#VALUE!</v>
      </c>
      <c r="E22" s="280" t="e">
        <f>Taxes!Q20</f>
        <v>#VALUE!</v>
      </c>
      <c r="F22" s="280" t="e">
        <f>Taxes!R20</f>
        <v>#VALUE!</v>
      </c>
      <c r="G22" s="280" t="e">
        <f>Taxes!S20</f>
        <v>#VALUE!</v>
      </c>
      <c r="H22" s="280" t="e">
        <f>Taxes!T20</f>
        <v>#VALUE!</v>
      </c>
      <c r="I22" s="280" t="e">
        <f>Taxes!U20</f>
        <v>#VALUE!</v>
      </c>
      <c r="J22" s="280" t="e">
        <f>Taxes!V20</f>
        <v>#VALUE!</v>
      </c>
      <c r="K22" s="280" t="e">
        <f>Taxes!W20</f>
        <v>#VALUE!</v>
      </c>
      <c r="L22" s="280" t="e">
        <f>Taxes!X20</f>
        <v>#VALUE!</v>
      </c>
      <c r="M22" s="280" t="e">
        <f>Taxes!Y20</f>
        <v>#VALUE!</v>
      </c>
      <c r="N22" s="529" t="e">
        <f>Taxes!Z20</f>
        <v>#VALUE!</v>
      </c>
      <c r="O22" s="529" t="e">
        <f>Taxes!AA20</f>
        <v>#VALUE!</v>
      </c>
      <c r="P22" s="529" t="e">
        <f>Taxes!AB20</f>
        <v>#VALUE!</v>
      </c>
      <c r="Q22" s="529" t="e">
        <f>Taxes!AC20</f>
        <v>#VALUE!</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17" t="s">
        <v>997</v>
      </c>
      <c r="C1" s="1317"/>
      <c r="D1" s="1317"/>
      <c r="E1" s="1317"/>
      <c r="F1" s="1317"/>
      <c r="G1" s="1317"/>
      <c r="H1" s="1317"/>
      <c r="I1" s="1317"/>
      <c r="J1" s="1317"/>
      <c r="K1" s="1317"/>
    </row>
    <row r="2" spans="2:11" x14ac:dyDescent="0.35">
      <c r="B2" s="1318" t="s">
        <v>996</v>
      </c>
      <c r="C2" s="1318"/>
      <c r="D2" s="1318"/>
      <c r="E2" s="1318"/>
      <c r="F2" s="1318"/>
      <c r="G2" s="1318"/>
      <c r="H2" s="1318"/>
      <c r="I2" s="1318"/>
      <c r="J2" s="1318"/>
      <c r="K2" s="1318"/>
    </row>
    <row r="3" spans="2:11" x14ac:dyDescent="0.35">
      <c r="B3" s="1318"/>
      <c r="C3" s="1318"/>
      <c r="D3" s="1318"/>
      <c r="E3" s="1318"/>
      <c r="F3" s="1318"/>
      <c r="G3" s="1318"/>
      <c r="H3" s="1318"/>
      <c r="I3" s="1318"/>
      <c r="J3" s="1318"/>
      <c r="K3" s="1318"/>
    </row>
    <row r="4" spans="2:11" x14ac:dyDescent="0.35">
      <c r="B4" s="1318"/>
      <c r="C4" s="1318"/>
      <c r="D4" s="1318"/>
      <c r="E4" s="1318"/>
      <c r="F4" s="1318"/>
      <c r="G4" s="1318"/>
      <c r="H4" s="1318"/>
      <c r="I4" s="1318"/>
      <c r="J4" s="1318"/>
      <c r="K4" s="1318"/>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defaultColWidth="8.81640625" defaultRowHeight="14.5" x14ac:dyDescent="0.35"/>
  <cols>
    <col min="1" max="1" width="8.81640625" style="283"/>
    <col min="2" max="2" width="6.453125" style="283" customWidth="1"/>
    <col min="3" max="3" width="65" style="283" customWidth="1"/>
    <col min="4" max="4" width="11" style="283" customWidth="1"/>
    <col min="5" max="7" width="10.1796875" style="283" customWidth="1"/>
    <col min="8" max="9" width="8.81640625" style="283"/>
    <col min="10" max="10" width="13.6328125" style="283" customWidth="1"/>
    <col min="11" max="11" width="15.36328125" style="283" customWidth="1"/>
    <col min="12" max="16384" width="8.81640625" style="283"/>
  </cols>
  <sheetData>
    <row r="1" spans="2:17" x14ac:dyDescent="0.35">
      <c r="B1" s="1317" t="s">
        <v>997</v>
      </c>
      <c r="C1" s="1317"/>
      <c r="D1" s="1317"/>
      <c r="E1" s="1317"/>
      <c r="F1" s="1317"/>
      <c r="G1" s="1317"/>
      <c r="H1" s="1317"/>
      <c r="I1" s="1317"/>
      <c r="J1" s="1317"/>
      <c r="K1" s="1317"/>
    </row>
    <row r="2" spans="2:17" ht="14.5" customHeight="1" x14ac:dyDescent="0.35">
      <c r="B2" s="1318" t="s">
        <v>996</v>
      </c>
      <c r="C2" s="1318"/>
      <c r="D2" s="1318"/>
      <c r="E2" s="1318"/>
      <c r="F2" s="1318"/>
      <c r="G2" s="1318"/>
      <c r="H2" s="1318"/>
      <c r="I2" s="1318"/>
      <c r="J2" s="1318"/>
      <c r="K2" s="1318"/>
    </row>
    <row r="3" spans="2:17" x14ac:dyDescent="0.35">
      <c r="B3" s="1318"/>
      <c r="C3" s="1318"/>
      <c r="D3" s="1318"/>
      <c r="E3" s="1318"/>
      <c r="F3" s="1318"/>
      <c r="G3" s="1318"/>
      <c r="H3" s="1318"/>
      <c r="I3" s="1318"/>
      <c r="J3" s="1318"/>
      <c r="K3" s="1318"/>
    </row>
    <row r="4" spans="2:17" x14ac:dyDescent="0.35">
      <c r="B4" s="1318"/>
      <c r="C4" s="1318"/>
      <c r="D4" s="1318"/>
      <c r="E4" s="1318"/>
      <c r="F4" s="1318"/>
      <c r="G4" s="1318"/>
      <c r="H4" s="1318"/>
      <c r="I4" s="1318"/>
      <c r="J4" s="1318"/>
      <c r="K4" s="1318"/>
    </row>
    <row r="5" spans="2:17" x14ac:dyDescent="0.35">
      <c r="B5" s="1319"/>
      <c r="C5" s="1319"/>
      <c r="D5" s="1319"/>
      <c r="E5" s="1319"/>
      <c r="F5" s="647"/>
      <c r="G5" s="647"/>
    </row>
    <row r="6" spans="2:17" x14ac:dyDescent="0.35">
      <c r="B6" s="1138"/>
      <c r="C6" s="1137"/>
      <c r="D6" s="1325">
        <v>2021</v>
      </c>
      <c r="E6" s="1326"/>
      <c r="F6" s="1326"/>
      <c r="G6" s="1326"/>
      <c r="H6" s="1326"/>
      <c r="I6" s="1326"/>
      <c r="J6" s="1326"/>
      <c r="K6" s="1327"/>
    </row>
    <row r="7" spans="2:17" ht="58" x14ac:dyDescent="0.35">
      <c r="B7" s="1139"/>
      <c r="C7" s="646" t="s">
        <v>995</v>
      </c>
      <c r="D7" s="1135" t="s">
        <v>516</v>
      </c>
      <c r="E7" s="1135" t="s">
        <v>517</v>
      </c>
      <c r="F7" s="1135" t="s">
        <v>518</v>
      </c>
      <c r="G7" s="1135" t="s">
        <v>519</v>
      </c>
      <c r="H7" s="1136" t="s">
        <v>982</v>
      </c>
      <c r="I7" s="960" t="s">
        <v>1221</v>
      </c>
      <c r="J7" s="1106" t="s">
        <v>1222</v>
      </c>
      <c r="K7" s="1169" t="s">
        <v>1232</v>
      </c>
      <c r="L7" s="318" t="s">
        <v>1233</v>
      </c>
      <c r="M7" s="318" t="s">
        <v>137</v>
      </c>
      <c r="O7" s="536"/>
    </row>
    <row r="8" spans="2:17" x14ac:dyDescent="0.35">
      <c r="B8" s="1140">
        <v>1</v>
      </c>
      <c r="C8" s="1152" t="s">
        <v>922</v>
      </c>
      <c r="D8" s="1107">
        <v>21504.5</v>
      </c>
      <c r="E8" s="1108">
        <v>19955.099999999999</v>
      </c>
      <c r="F8" s="1109">
        <v>24142.400000000001</v>
      </c>
      <c r="G8" s="1108">
        <v>20848.2</v>
      </c>
      <c r="H8" s="1109">
        <v>20404.599999999999</v>
      </c>
      <c r="I8" s="1109">
        <v>20441.8</v>
      </c>
      <c r="J8" s="1110">
        <v>20667.7</v>
      </c>
      <c r="K8" s="1110">
        <v>20716.7</v>
      </c>
    </row>
    <row r="9" spans="2:17" x14ac:dyDescent="0.35">
      <c r="B9" s="1140">
        <v>2</v>
      </c>
      <c r="C9" s="1153" t="s">
        <v>923</v>
      </c>
      <c r="D9" s="1111">
        <v>12088.1</v>
      </c>
      <c r="E9" s="1112">
        <v>12049.5</v>
      </c>
      <c r="F9" s="1113">
        <v>12129.2</v>
      </c>
      <c r="G9" s="1112">
        <v>12216.6</v>
      </c>
      <c r="H9" s="1113">
        <v>12296.1</v>
      </c>
      <c r="I9" s="1113">
        <v>12391</v>
      </c>
      <c r="J9" s="1114">
        <v>12500.9</v>
      </c>
      <c r="K9" s="1114">
        <v>12574.7</v>
      </c>
    </row>
    <row r="10" spans="2:17" x14ac:dyDescent="0.35">
      <c r="B10" s="1139">
        <v>3</v>
      </c>
      <c r="C10" s="1154" t="s">
        <v>924</v>
      </c>
      <c r="D10" s="1115">
        <v>9879.5</v>
      </c>
      <c r="E10" s="1116">
        <v>9843.2999999999993</v>
      </c>
      <c r="F10" s="1117">
        <v>9914.9</v>
      </c>
      <c r="G10" s="1116">
        <v>9996</v>
      </c>
      <c r="H10" s="1117">
        <v>10067.4</v>
      </c>
      <c r="I10" s="1117">
        <v>10152.9</v>
      </c>
      <c r="J10" s="1118">
        <v>10251.4</v>
      </c>
      <c r="K10" s="1118">
        <v>10318.299999999999</v>
      </c>
    </row>
    <row r="11" spans="2:17" x14ac:dyDescent="0.35">
      <c r="B11" s="1139">
        <v>4</v>
      </c>
      <c r="C11" s="1155" t="s">
        <v>925</v>
      </c>
      <c r="D11" s="1119">
        <v>8376.4</v>
      </c>
      <c r="E11" s="1120">
        <v>8343.7000000000007</v>
      </c>
      <c r="F11" s="1121">
        <v>8409.2999999999993</v>
      </c>
      <c r="G11" s="1120">
        <v>8484.5</v>
      </c>
      <c r="H11" s="1121">
        <v>8550.2999999999993</v>
      </c>
      <c r="I11" s="1121">
        <v>8623.2000000000007</v>
      </c>
      <c r="J11" s="1122">
        <v>8705.6</v>
      </c>
      <c r="K11" s="1122">
        <v>8769.5</v>
      </c>
    </row>
    <row r="12" spans="2:17" x14ac:dyDescent="0.35">
      <c r="B12" s="1139">
        <v>5</v>
      </c>
      <c r="C12" s="1154" t="s">
        <v>926</v>
      </c>
      <c r="D12" s="1115">
        <v>1503</v>
      </c>
      <c r="E12" s="1116">
        <v>1499.6</v>
      </c>
      <c r="F12" s="1117">
        <v>1505.6</v>
      </c>
      <c r="G12" s="1116">
        <v>1511.5</v>
      </c>
      <c r="H12" s="1117">
        <v>1517.1</v>
      </c>
      <c r="I12" s="1117">
        <v>1529.6</v>
      </c>
      <c r="J12" s="1118">
        <v>1545.8</v>
      </c>
      <c r="K12" s="1118">
        <v>1548.8</v>
      </c>
    </row>
    <row r="13" spans="2:17" x14ac:dyDescent="0.35">
      <c r="B13" s="1139">
        <v>6</v>
      </c>
      <c r="C13" s="1155" t="s">
        <v>927</v>
      </c>
      <c r="D13" s="1119">
        <v>2208.6</v>
      </c>
      <c r="E13" s="1120">
        <v>2206.1999999999998</v>
      </c>
      <c r="F13" s="1121">
        <v>2214.4</v>
      </c>
      <c r="G13" s="1120">
        <v>2220.6999999999998</v>
      </c>
      <c r="H13" s="1121">
        <v>2228.6</v>
      </c>
      <c r="I13" s="1121">
        <v>2238.1999999999998</v>
      </c>
      <c r="J13" s="1122">
        <v>2249.5</v>
      </c>
      <c r="K13" s="1122">
        <v>2256.4</v>
      </c>
    </row>
    <row r="14" spans="2:17" x14ac:dyDescent="0.35">
      <c r="B14" s="1140">
        <v>7</v>
      </c>
      <c r="C14" s="1156" t="s">
        <v>928</v>
      </c>
      <c r="D14" s="1123">
        <v>1643.8</v>
      </c>
      <c r="E14" s="1108">
        <v>1693.8</v>
      </c>
      <c r="F14" s="1124">
        <v>1804.2</v>
      </c>
      <c r="G14" s="1108">
        <v>1817.9</v>
      </c>
      <c r="H14" s="1124">
        <v>1840.7</v>
      </c>
      <c r="I14" s="1124">
        <v>1855.9</v>
      </c>
      <c r="J14" s="1125">
        <v>1851.9</v>
      </c>
      <c r="K14" s="1125">
        <v>1830</v>
      </c>
      <c r="N14" s="1143"/>
    </row>
    <row r="15" spans="2:17" x14ac:dyDescent="0.35">
      <c r="B15" s="1139">
        <v>8</v>
      </c>
      <c r="C15" s="1155" t="s">
        <v>929</v>
      </c>
      <c r="D15" s="1119">
        <v>66.900000000000006</v>
      </c>
      <c r="E15" s="1120">
        <v>72.599999999999994</v>
      </c>
      <c r="F15" s="1121">
        <v>79.599999999999994</v>
      </c>
      <c r="G15" s="1120">
        <v>97</v>
      </c>
      <c r="H15" s="1121">
        <v>108.5</v>
      </c>
      <c r="I15" s="1121">
        <v>120</v>
      </c>
      <c r="J15" s="1122">
        <v>112.7</v>
      </c>
      <c r="K15" s="1122">
        <v>113.4</v>
      </c>
      <c r="P15" s="283" t="s">
        <v>704</v>
      </c>
      <c r="Q15" s="283" t="s">
        <v>705</v>
      </c>
    </row>
    <row r="16" spans="2:17" x14ac:dyDescent="0.35">
      <c r="B16" s="1139"/>
      <c r="C16" s="1157" t="s">
        <v>930</v>
      </c>
      <c r="D16" s="1115" t="s">
        <v>931</v>
      </c>
      <c r="E16" s="1116" t="s">
        <v>931</v>
      </c>
      <c r="F16" s="1117" t="s">
        <v>931</v>
      </c>
      <c r="G16" s="1116" t="s">
        <v>931</v>
      </c>
      <c r="H16" s="1117" t="s">
        <v>931</v>
      </c>
      <c r="I16" s="1117" t="s">
        <v>931</v>
      </c>
      <c r="J16" s="1118" t="s">
        <v>931</v>
      </c>
      <c r="K16" s="1118" t="s">
        <v>931</v>
      </c>
    </row>
    <row r="17" spans="2:17" ht="16.5" x14ac:dyDescent="0.35">
      <c r="B17" s="1139">
        <v>9</v>
      </c>
      <c r="C17" s="1154" t="s">
        <v>932</v>
      </c>
      <c r="D17" s="1115">
        <v>2.4</v>
      </c>
      <c r="E17" s="1116">
        <v>0.4</v>
      </c>
      <c r="F17" s="1117">
        <v>0</v>
      </c>
      <c r="G17" s="1116">
        <v>3</v>
      </c>
      <c r="H17" s="1117">
        <v>1.4</v>
      </c>
      <c r="I17" s="1117">
        <v>0.9</v>
      </c>
      <c r="J17" s="1118">
        <v>0.4</v>
      </c>
      <c r="K17" s="1118">
        <v>12.7</v>
      </c>
    </row>
    <row r="18" spans="2:17" ht="16.5" x14ac:dyDescent="0.35">
      <c r="B18" s="1139">
        <v>10</v>
      </c>
      <c r="C18" s="1158" t="s">
        <v>933</v>
      </c>
      <c r="D18" s="1119">
        <v>1.8</v>
      </c>
      <c r="E18" s="1120">
        <v>5</v>
      </c>
      <c r="F18" s="1121">
        <v>7.9</v>
      </c>
      <c r="G18" s="1120">
        <v>10.4</v>
      </c>
      <c r="H18" s="1121">
        <v>11.8</v>
      </c>
      <c r="I18" s="1121">
        <v>11.8</v>
      </c>
      <c r="J18" s="1122">
        <v>10.199999999999999</v>
      </c>
      <c r="K18" s="1122">
        <v>6.9</v>
      </c>
      <c r="L18" s="1143">
        <v>6</v>
      </c>
      <c r="M18" s="1143">
        <f>AVERAGE(J18:L18)</f>
        <v>7.7</v>
      </c>
      <c r="O18" s="1170"/>
      <c r="P18" s="1143">
        <f>AVERAGE(D18:F18)</f>
        <v>4.8999999999999995</v>
      </c>
      <c r="Q18" s="1143">
        <f>AVERAGE(G18:I18)</f>
        <v>11.333333333333334</v>
      </c>
    </row>
    <row r="19" spans="2:17" x14ac:dyDescent="0.35">
      <c r="B19" s="1139">
        <v>11</v>
      </c>
      <c r="C19" s="1154" t="s">
        <v>934</v>
      </c>
      <c r="D19" s="1115">
        <v>1576.9</v>
      </c>
      <c r="E19" s="1116">
        <v>1621.2</v>
      </c>
      <c r="F19" s="1117">
        <v>1724.6</v>
      </c>
      <c r="G19" s="1116">
        <v>1720.8</v>
      </c>
      <c r="H19" s="1117">
        <v>1732.3</v>
      </c>
      <c r="I19" s="1117">
        <v>1735.9</v>
      </c>
      <c r="J19" s="1118">
        <v>1739.2</v>
      </c>
      <c r="K19" s="1118">
        <v>1716.6</v>
      </c>
    </row>
    <row r="20" spans="2:17" x14ac:dyDescent="0.35">
      <c r="B20" s="1139"/>
      <c r="C20" s="1159" t="s">
        <v>935</v>
      </c>
      <c r="D20" s="1119" t="s">
        <v>931</v>
      </c>
      <c r="E20" s="1120" t="s">
        <v>931</v>
      </c>
      <c r="F20" s="1121" t="s">
        <v>931</v>
      </c>
      <c r="G20" s="1120" t="s">
        <v>931</v>
      </c>
      <c r="H20" s="1121" t="s">
        <v>931</v>
      </c>
      <c r="I20" s="1121" t="s">
        <v>931</v>
      </c>
      <c r="J20" s="1122" t="s">
        <v>931</v>
      </c>
      <c r="K20" s="1122" t="s">
        <v>931</v>
      </c>
    </row>
    <row r="21" spans="2:17" ht="16.5" x14ac:dyDescent="0.35">
      <c r="B21" s="1139">
        <v>12</v>
      </c>
      <c r="C21" s="1158" t="s">
        <v>933</v>
      </c>
      <c r="D21" s="1119">
        <v>27.9</v>
      </c>
      <c r="E21" s="1120">
        <v>78.3</v>
      </c>
      <c r="F21" s="1121">
        <v>124</v>
      </c>
      <c r="G21" s="1120">
        <v>163.69999999999999</v>
      </c>
      <c r="H21" s="1121">
        <v>184.6</v>
      </c>
      <c r="I21" s="1121">
        <v>184.6</v>
      </c>
      <c r="J21" s="1122">
        <v>160.30000000000001</v>
      </c>
      <c r="K21" s="1122">
        <v>108.8</v>
      </c>
      <c r="L21" s="1143">
        <v>80</v>
      </c>
      <c r="M21" s="1143">
        <f>AVERAGE(J21:L21)</f>
        <v>116.36666666666667</v>
      </c>
      <c r="N21" s="1143"/>
      <c r="O21" s="1170"/>
      <c r="P21" s="1143">
        <f>AVERAGE(D21:F21)</f>
        <v>76.733333333333334</v>
      </c>
      <c r="Q21" s="1143">
        <f>AVERAGE(G21:I21)</f>
        <v>177.63333333333333</v>
      </c>
    </row>
    <row r="22" spans="2:17" x14ac:dyDescent="0.35">
      <c r="B22" s="1140">
        <v>13</v>
      </c>
      <c r="C22" s="1156" t="s">
        <v>936</v>
      </c>
      <c r="D22" s="1123">
        <v>709.3</v>
      </c>
      <c r="E22" s="1108">
        <v>716.6</v>
      </c>
      <c r="F22" s="1124">
        <v>724.8</v>
      </c>
      <c r="G22" s="1108">
        <v>720.7</v>
      </c>
      <c r="H22" s="1124">
        <v>716.4</v>
      </c>
      <c r="I22" s="1124">
        <v>713.4</v>
      </c>
      <c r="J22" s="1125">
        <v>716.4</v>
      </c>
      <c r="K22" s="1125">
        <v>719</v>
      </c>
    </row>
    <row r="23" spans="2:17" x14ac:dyDescent="0.35">
      <c r="B23" s="1140">
        <v>14</v>
      </c>
      <c r="C23" s="1153" t="s">
        <v>937</v>
      </c>
      <c r="D23" s="1111">
        <v>2886.2</v>
      </c>
      <c r="E23" s="1112">
        <v>2901.2</v>
      </c>
      <c r="F23" s="1113">
        <v>2909.1</v>
      </c>
      <c r="G23" s="1112">
        <v>2923</v>
      </c>
      <c r="H23" s="1113">
        <v>2937.4</v>
      </c>
      <c r="I23" s="1113">
        <v>2954</v>
      </c>
      <c r="J23" s="1114">
        <v>2963</v>
      </c>
      <c r="K23" s="1114">
        <v>2948.2</v>
      </c>
    </row>
    <row r="24" spans="2:17" x14ac:dyDescent="0.35">
      <c r="B24" s="1139">
        <v>15</v>
      </c>
      <c r="C24" s="1154" t="s">
        <v>938</v>
      </c>
      <c r="D24" s="1115">
        <v>1621.9</v>
      </c>
      <c r="E24" s="1116">
        <v>1630.2</v>
      </c>
      <c r="F24" s="1117">
        <v>1638.4</v>
      </c>
      <c r="G24" s="1116">
        <v>1642.2</v>
      </c>
      <c r="H24" s="1117">
        <v>1645.9</v>
      </c>
      <c r="I24" s="1117">
        <v>1649.7</v>
      </c>
      <c r="J24" s="1118">
        <v>1654</v>
      </c>
      <c r="K24" s="1118">
        <v>1639.4</v>
      </c>
    </row>
    <row r="25" spans="2:17" x14ac:dyDescent="0.35">
      <c r="B25" s="1139">
        <v>16</v>
      </c>
      <c r="C25" s="1155" t="s">
        <v>939</v>
      </c>
      <c r="D25" s="1119">
        <v>1264.3</v>
      </c>
      <c r="E25" s="1120">
        <v>1271.0999999999999</v>
      </c>
      <c r="F25" s="1121">
        <v>1270.7</v>
      </c>
      <c r="G25" s="1120">
        <v>1280.8</v>
      </c>
      <c r="H25" s="1121">
        <v>1291.4000000000001</v>
      </c>
      <c r="I25" s="1121">
        <v>1304.3</v>
      </c>
      <c r="J25" s="1122">
        <v>1309</v>
      </c>
      <c r="K25" s="1122">
        <v>1308.8</v>
      </c>
    </row>
    <row r="26" spans="2:17" x14ac:dyDescent="0.35">
      <c r="B26" s="1140">
        <v>17</v>
      </c>
      <c r="C26" s="1156" t="s">
        <v>940</v>
      </c>
      <c r="D26" s="1123">
        <v>5711.8</v>
      </c>
      <c r="E26" s="1108">
        <v>4123</v>
      </c>
      <c r="F26" s="1124">
        <v>8112.8</v>
      </c>
      <c r="G26" s="1108">
        <v>4719</v>
      </c>
      <c r="H26" s="1124">
        <v>4172.1000000000004</v>
      </c>
      <c r="I26" s="1124">
        <v>4096.3</v>
      </c>
      <c r="J26" s="1125">
        <v>4216.6000000000004</v>
      </c>
      <c r="K26" s="1125">
        <v>4233.7</v>
      </c>
    </row>
    <row r="27" spans="2:17" x14ac:dyDescent="0.35">
      <c r="B27" s="1139">
        <v>18</v>
      </c>
      <c r="C27" s="1155" t="s">
        <v>941</v>
      </c>
      <c r="D27" s="1119">
        <v>5650.5</v>
      </c>
      <c r="E27" s="1120">
        <v>4061</v>
      </c>
      <c r="F27" s="1121">
        <v>8050.2</v>
      </c>
      <c r="G27" s="1120">
        <v>4656.8999999999996</v>
      </c>
      <c r="H27" s="1121">
        <v>4109.3</v>
      </c>
      <c r="I27" s="1121">
        <v>4007.4</v>
      </c>
      <c r="J27" s="1122">
        <v>4143</v>
      </c>
      <c r="K27" s="1122">
        <v>4169</v>
      </c>
    </row>
    <row r="28" spans="2:17" x14ac:dyDescent="0.35">
      <c r="B28" s="1139">
        <v>19</v>
      </c>
      <c r="C28" s="1154" t="s">
        <v>942</v>
      </c>
      <c r="D28" s="1115">
        <v>1103.9000000000001</v>
      </c>
      <c r="E28" s="1116">
        <v>1106</v>
      </c>
      <c r="F28" s="1117">
        <v>1109.0999999999999</v>
      </c>
      <c r="G28" s="1116">
        <v>1107.5999999999999</v>
      </c>
      <c r="H28" s="1117">
        <v>1108.2</v>
      </c>
      <c r="I28" s="1117">
        <v>1113.3</v>
      </c>
      <c r="J28" s="1118">
        <v>1113.4000000000001</v>
      </c>
      <c r="K28" s="1118">
        <v>1117.2</v>
      </c>
      <c r="L28" s="1143">
        <f>K28+4</f>
        <v>1121.2</v>
      </c>
      <c r="M28" s="1143">
        <f>AVERAGE(J28:L28)</f>
        <v>1117.2666666666667</v>
      </c>
    </row>
    <row r="29" spans="2:17" x14ac:dyDescent="0.35">
      <c r="B29" s="1139">
        <v>20</v>
      </c>
      <c r="C29" s="1155" t="s">
        <v>943</v>
      </c>
      <c r="D29" s="1119">
        <v>815.6</v>
      </c>
      <c r="E29" s="1120">
        <v>813.8</v>
      </c>
      <c r="F29" s="1121">
        <v>813</v>
      </c>
      <c r="G29" s="1120">
        <v>813.4</v>
      </c>
      <c r="H29" s="1121">
        <v>814.9</v>
      </c>
      <c r="I29" s="1121">
        <v>817.5</v>
      </c>
      <c r="J29" s="1122">
        <v>821.3</v>
      </c>
      <c r="K29" s="1122">
        <v>826.2</v>
      </c>
      <c r="L29" s="1143">
        <f>K29+5</f>
        <v>831.2</v>
      </c>
      <c r="M29" s="1143">
        <f>AVERAGE(J29:L29)</f>
        <v>826.23333333333323</v>
      </c>
    </row>
    <row r="30" spans="2:17" x14ac:dyDescent="0.35">
      <c r="B30" s="1139"/>
      <c r="C30" s="1157" t="s">
        <v>944</v>
      </c>
      <c r="D30" s="1115" t="s">
        <v>931</v>
      </c>
      <c r="E30" s="1116" t="s">
        <v>931</v>
      </c>
      <c r="F30" s="1117" t="s">
        <v>931</v>
      </c>
      <c r="G30" s="1116" t="s">
        <v>931</v>
      </c>
      <c r="H30" s="1117" t="s">
        <v>931</v>
      </c>
      <c r="I30" s="1117" t="s">
        <v>931</v>
      </c>
      <c r="J30" s="1118" t="s">
        <v>931</v>
      </c>
      <c r="K30" s="1118" t="s">
        <v>931</v>
      </c>
    </row>
    <row r="31" spans="2:17" ht="16.5" x14ac:dyDescent="0.35">
      <c r="B31" s="1139">
        <v>21</v>
      </c>
      <c r="C31" s="1154" t="s">
        <v>945</v>
      </c>
      <c r="D31" s="1115">
        <v>14.2</v>
      </c>
      <c r="E31" s="1116">
        <v>14.1</v>
      </c>
      <c r="F31" s="1117">
        <v>14.1</v>
      </c>
      <c r="G31" s="1116">
        <v>14.1</v>
      </c>
      <c r="H31" s="1117">
        <v>14.1</v>
      </c>
      <c r="I31" s="1117">
        <v>14.2</v>
      </c>
      <c r="J31" s="1118">
        <v>14.2</v>
      </c>
      <c r="K31" s="1118">
        <v>14.3</v>
      </c>
    </row>
    <row r="32" spans="2:17" x14ac:dyDescent="0.35">
      <c r="B32" s="1139">
        <v>22</v>
      </c>
      <c r="C32" s="1155" t="s">
        <v>946</v>
      </c>
      <c r="D32" s="1119">
        <v>688.5</v>
      </c>
      <c r="E32" s="1120">
        <v>696.2</v>
      </c>
      <c r="F32" s="1121">
        <v>703</v>
      </c>
      <c r="G32" s="1120">
        <v>720.5</v>
      </c>
      <c r="H32" s="1121">
        <v>736</v>
      </c>
      <c r="I32" s="1121">
        <v>750</v>
      </c>
      <c r="J32" s="1122">
        <v>760.4</v>
      </c>
      <c r="K32" s="1122">
        <v>758.5</v>
      </c>
      <c r="L32" s="1143">
        <f>K32-3</f>
        <v>755.5</v>
      </c>
      <c r="M32" s="1143">
        <f>AVERAGE(J32:L32)</f>
        <v>758.13333333333333</v>
      </c>
    </row>
    <row r="33" spans="2:13" x14ac:dyDescent="0.35">
      <c r="B33" s="1139">
        <v>23</v>
      </c>
      <c r="C33" s="1154" t="s">
        <v>947</v>
      </c>
      <c r="D33" s="1115">
        <v>574.20000000000005</v>
      </c>
      <c r="E33" s="1116">
        <v>557.5</v>
      </c>
      <c r="F33" s="1117">
        <v>565.5</v>
      </c>
      <c r="G33" s="1116">
        <v>516.4</v>
      </c>
      <c r="H33" s="1117">
        <v>492</v>
      </c>
      <c r="I33" s="1117">
        <v>433</v>
      </c>
      <c r="J33" s="1118">
        <v>380.5</v>
      </c>
      <c r="K33" s="1118">
        <v>365.8</v>
      </c>
      <c r="L33" s="1143">
        <f>14.3*12</f>
        <v>171.60000000000002</v>
      </c>
      <c r="M33" s="1143">
        <f>AVERAGE(J33:L33)</f>
        <v>305.96666666666664</v>
      </c>
    </row>
    <row r="34" spans="2:13" ht="16.5" x14ac:dyDescent="0.35">
      <c r="B34" s="1139"/>
      <c r="C34" s="1160" t="s">
        <v>948</v>
      </c>
      <c r="D34" s="1119" t="s">
        <v>931</v>
      </c>
      <c r="E34" s="1120" t="s">
        <v>931</v>
      </c>
      <c r="F34" s="1121" t="s">
        <v>931</v>
      </c>
      <c r="G34" s="1120" t="s">
        <v>931</v>
      </c>
      <c r="H34" s="1121" t="s">
        <v>931</v>
      </c>
      <c r="I34" s="1121" t="s">
        <v>931</v>
      </c>
      <c r="J34" s="1122" t="s">
        <v>931</v>
      </c>
      <c r="K34" s="1122" t="s">
        <v>931</v>
      </c>
      <c r="L34" s="283">
        <f>L33/K33</f>
        <v>0.46910880262438498</v>
      </c>
    </row>
    <row r="35" spans="2:13" x14ac:dyDescent="0.35">
      <c r="B35" s="1139">
        <v>24</v>
      </c>
      <c r="C35" s="1161" t="s">
        <v>949</v>
      </c>
      <c r="D35" s="1119">
        <v>31.9</v>
      </c>
      <c r="E35" s="1120">
        <v>25.9</v>
      </c>
      <c r="F35" s="1121">
        <v>17.100000000000001</v>
      </c>
      <c r="G35" s="1120">
        <v>9.6999999999999993</v>
      </c>
      <c r="H35" s="1121">
        <v>4.8</v>
      </c>
      <c r="I35" s="1121">
        <v>3</v>
      </c>
      <c r="J35" s="1122">
        <v>6.8</v>
      </c>
      <c r="K35" s="1122">
        <v>4.4000000000000004</v>
      </c>
      <c r="L35" s="1143">
        <f>L$34*K35</f>
        <v>2.0640787315472942</v>
      </c>
      <c r="M35" s="1143">
        <f>AVERAGE(J35:L35)</f>
        <v>4.4213595771824314</v>
      </c>
    </row>
    <row r="36" spans="2:13" x14ac:dyDescent="0.35">
      <c r="B36" s="1139">
        <v>25</v>
      </c>
      <c r="C36" s="1162" t="s">
        <v>950</v>
      </c>
      <c r="D36" s="1115">
        <v>81.099999999999994</v>
      </c>
      <c r="E36" s="1116">
        <v>100.1</v>
      </c>
      <c r="F36" s="1117">
        <v>112.1</v>
      </c>
      <c r="G36" s="1116">
        <v>105.8</v>
      </c>
      <c r="H36" s="1117">
        <v>106.9</v>
      </c>
      <c r="I36" s="1117">
        <v>100.9</v>
      </c>
      <c r="J36" s="1118">
        <v>84.3</v>
      </c>
      <c r="K36" s="1118">
        <v>79</v>
      </c>
      <c r="L36" s="1143">
        <f t="shared" ref="L36:L38" si="0">L$34*K36</f>
        <v>37.059595407326412</v>
      </c>
      <c r="M36" s="1143">
        <f t="shared" ref="M36:M39" si="1">AVERAGE(J36:L36)</f>
        <v>66.786531802442141</v>
      </c>
    </row>
    <row r="37" spans="2:13" x14ac:dyDescent="0.35">
      <c r="B37" s="1139">
        <v>26</v>
      </c>
      <c r="C37" s="1163" t="s">
        <v>951</v>
      </c>
      <c r="D37" s="1119">
        <v>95.4</v>
      </c>
      <c r="E37" s="1120">
        <v>97</v>
      </c>
      <c r="F37" s="1121">
        <v>93.4</v>
      </c>
      <c r="G37" s="1120">
        <v>90.9</v>
      </c>
      <c r="H37" s="1121">
        <v>81.3</v>
      </c>
      <c r="I37" s="1121">
        <v>74.099999999999994</v>
      </c>
      <c r="J37" s="1122">
        <v>65.400000000000006</v>
      </c>
      <c r="K37" s="1122">
        <v>68.7</v>
      </c>
      <c r="L37" s="1143">
        <f t="shared" si="0"/>
        <v>32.227774740295253</v>
      </c>
      <c r="M37" s="1143">
        <f t="shared" si="1"/>
        <v>55.442591580098423</v>
      </c>
    </row>
    <row r="38" spans="2:13" x14ac:dyDescent="0.35">
      <c r="B38" s="1139">
        <v>27</v>
      </c>
      <c r="C38" s="1162" t="s">
        <v>952</v>
      </c>
      <c r="D38" s="1115">
        <v>297.8</v>
      </c>
      <c r="E38" s="1116">
        <v>273.7</v>
      </c>
      <c r="F38" s="1117">
        <v>289.3</v>
      </c>
      <c r="G38" s="1116">
        <v>258.2</v>
      </c>
      <c r="H38" s="1117">
        <v>247.2</v>
      </c>
      <c r="I38" s="1117">
        <v>206.3</v>
      </c>
      <c r="J38" s="1118">
        <v>179</v>
      </c>
      <c r="K38" s="1118">
        <v>172.8</v>
      </c>
      <c r="L38" s="1143">
        <f t="shared" si="0"/>
        <v>81.062001093493734</v>
      </c>
      <c r="M38" s="1143">
        <f t="shared" si="1"/>
        <v>144.28733369783126</v>
      </c>
    </row>
    <row r="39" spans="2:13" x14ac:dyDescent="0.35">
      <c r="B39" s="1139">
        <v>28</v>
      </c>
      <c r="C39" s="1155" t="s">
        <v>953</v>
      </c>
      <c r="D39" s="1119">
        <v>151.30000000000001</v>
      </c>
      <c r="E39" s="1120">
        <v>152.4</v>
      </c>
      <c r="F39" s="1121">
        <v>153.6</v>
      </c>
      <c r="G39" s="1120">
        <v>155</v>
      </c>
      <c r="H39" s="1121">
        <v>156.5</v>
      </c>
      <c r="I39" s="1121">
        <v>158</v>
      </c>
      <c r="J39" s="1122">
        <v>160.30000000000001</v>
      </c>
      <c r="K39" s="1122">
        <v>162.19999999999999</v>
      </c>
      <c r="L39" s="1172">
        <v>164</v>
      </c>
      <c r="M39" s="1143">
        <f t="shared" si="1"/>
        <v>162.16666666666666</v>
      </c>
    </row>
    <row r="40" spans="2:13" x14ac:dyDescent="0.35">
      <c r="B40" s="1139">
        <v>29</v>
      </c>
      <c r="C40" s="1154" t="s">
        <v>954</v>
      </c>
      <c r="D40" s="1115">
        <v>2317</v>
      </c>
      <c r="E40" s="1116">
        <v>735.2</v>
      </c>
      <c r="F40" s="1117">
        <v>4706</v>
      </c>
      <c r="G40" s="1116">
        <v>1344</v>
      </c>
      <c r="H40" s="1117">
        <v>801.7</v>
      </c>
      <c r="I40" s="1117">
        <v>735.6</v>
      </c>
      <c r="J40" s="1118">
        <v>907.1</v>
      </c>
      <c r="K40" s="1118">
        <v>939</v>
      </c>
    </row>
    <row r="41" spans="2:13" x14ac:dyDescent="0.35">
      <c r="B41" s="1139"/>
      <c r="C41" s="1160" t="s">
        <v>955</v>
      </c>
      <c r="D41" s="1119" t="s">
        <v>931</v>
      </c>
      <c r="E41" s="1120" t="s">
        <v>931</v>
      </c>
      <c r="F41" s="1121" t="s">
        <v>931</v>
      </c>
      <c r="G41" s="1120" t="s">
        <v>931</v>
      </c>
      <c r="H41" s="1121" t="s">
        <v>931</v>
      </c>
      <c r="I41" s="1121" t="s">
        <v>931</v>
      </c>
      <c r="J41" s="1122" t="s">
        <v>931</v>
      </c>
      <c r="K41" s="1122" t="s">
        <v>931</v>
      </c>
    </row>
    <row r="42" spans="2:13" ht="16.5" x14ac:dyDescent="0.35">
      <c r="B42" s="1139">
        <v>30</v>
      </c>
      <c r="C42" s="1161" t="s">
        <v>1207</v>
      </c>
      <c r="D42" s="1126">
        <v>34.4</v>
      </c>
      <c r="E42" s="1121">
        <v>34.4</v>
      </c>
      <c r="F42" s="1120">
        <v>34.4</v>
      </c>
      <c r="G42" s="1121">
        <v>34.4</v>
      </c>
      <c r="H42" s="1120">
        <v>34.4</v>
      </c>
      <c r="I42" s="1121">
        <v>34.4</v>
      </c>
      <c r="J42" s="413">
        <v>211.9</v>
      </c>
      <c r="K42" s="1122">
        <v>225.6</v>
      </c>
      <c r="L42" s="1143">
        <f>K42</f>
        <v>225.6</v>
      </c>
      <c r="M42" s="1143">
        <f>AVERAGE(J42:L42)</f>
        <v>221.03333333333333</v>
      </c>
    </row>
    <row r="43" spans="2:13" ht="16.5" x14ac:dyDescent="0.35">
      <c r="B43" s="1139">
        <v>31</v>
      </c>
      <c r="C43" s="1164" t="s">
        <v>1208</v>
      </c>
      <c r="D43" s="1115">
        <v>1660.9</v>
      </c>
      <c r="E43" s="1116">
        <v>95.9</v>
      </c>
      <c r="F43" s="1117">
        <v>4044.2</v>
      </c>
      <c r="G43" s="1116">
        <v>688</v>
      </c>
      <c r="H43" s="1117">
        <v>128.6</v>
      </c>
      <c r="I43" s="1117">
        <v>53.8</v>
      </c>
      <c r="J43" s="1118">
        <v>45.7</v>
      </c>
      <c r="K43" s="1118">
        <v>40.4</v>
      </c>
      <c r="L43" s="283">
        <f>2.5*12</f>
        <v>30</v>
      </c>
      <c r="M43" s="1143">
        <f>AVERAGE(J43:L43)</f>
        <v>38.699999999999996</v>
      </c>
    </row>
    <row r="44" spans="2:13" x14ac:dyDescent="0.35">
      <c r="B44" s="1139">
        <v>32</v>
      </c>
      <c r="C44" s="1161" t="s">
        <v>1231</v>
      </c>
      <c r="D44" s="1119">
        <v>2.1</v>
      </c>
      <c r="E44" s="1120">
        <v>0.7</v>
      </c>
      <c r="F44" s="1121">
        <v>2.1</v>
      </c>
      <c r="G44" s="1120">
        <v>0.8</v>
      </c>
      <c r="H44" s="1121">
        <v>0.5</v>
      </c>
      <c r="I44" s="1121">
        <v>0.5</v>
      </c>
      <c r="J44" s="1122">
        <v>0.2</v>
      </c>
      <c r="K44" s="1122">
        <v>0</v>
      </c>
      <c r="L44" s="1143">
        <f>AVERAGE(J44:K44)</f>
        <v>0.1</v>
      </c>
      <c r="M44" s="1143">
        <f>AVERAGE(J44:L44)</f>
        <v>0.10000000000000002</v>
      </c>
    </row>
    <row r="45" spans="2:13" ht="16.5" x14ac:dyDescent="0.35">
      <c r="B45" s="1139">
        <v>33</v>
      </c>
      <c r="C45" s="1165" t="s">
        <v>956</v>
      </c>
      <c r="D45" s="1115">
        <v>4.2</v>
      </c>
      <c r="E45" s="1116">
        <v>11</v>
      </c>
      <c r="F45" s="1117">
        <v>17.3</v>
      </c>
      <c r="G45" s="1116">
        <v>22.8</v>
      </c>
      <c r="H45" s="1117">
        <v>25.7</v>
      </c>
      <c r="I45" s="1117">
        <v>25.7</v>
      </c>
      <c r="J45" s="1118">
        <v>21.7</v>
      </c>
      <c r="K45" s="1118">
        <v>13.5</v>
      </c>
      <c r="L45" s="1143">
        <v>10</v>
      </c>
      <c r="M45" s="1143">
        <f>AVERAGE(J45:L45)</f>
        <v>15.066666666666668</v>
      </c>
    </row>
    <row r="46" spans="2:13" ht="16.5" x14ac:dyDescent="0.35">
      <c r="B46" s="1139">
        <v>34</v>
      </c>
      <c r="C46" s="1155" t="s">
        <v>1209</v>
      </c>
      <c r="D46" s="1119">
        <v>56.9</v>
      </c>
      <c r="E46" s="1120">
        <v>28.1</v>
      </c>
      <c r="F46" s="1121">
        <v>43.4</v>
      </c>
      <c r="G46" s="1120">
        <v>27.6</v>
      </c>
      <c r="H46" s="1121">
        <v>28.4</v>
      </c>
      <c r="I46" s="1121">
        <v>23.9</v>
      </c>
      <c r="J46" s="1122">
        <v>36.1</v>
      </c>
      <c r="K46" s="1122">
        <v>49.3</v>
      </c>
      <c r="L46" s="1143">
        <f>AVERAGE(J46:K46)</f>
        <v>42.7</v>
      </c>
      <c r="M46" s="1143">
        <f>AVERAGE(J46:L46)</f>
        <v>42.70000000000001</v>
      </c>
    </row>
    <row r="47" spans="2:13" x14ac:dyDescent="0.35">
      <c r="B47" s="1141">
        <v>35</v>
      </c>
      <c r="C47" s="1154" t="s">
        <v>957</v>
      </c>
      <c r="D47" s="1115">
        <v>61.4</v>
      </c>
      <c r="E47" s="1116">
        <v>62</v>
      </c>
      <c r="F47" s="1117">
        <v>62.6</v>
      </c>
      <c r="G47" s="1116">
        <v>62.1</v>
      </c>
      <c r="H47" s="1117">
        <v>62.8</v>
      </c>
      <c r="I47" s="1117">
        <v>88.9</v>
      </c>
      <c r="J47" s="1118">
        <v>73.599999999999994</v>
      </c>
      <c r="K47" s="1118">
        <v>64.8</v>
      </c>
    </row>
    <row r="48" spans="2:13" x14ac:dyDescent="0.35">
      <c r="B48" s="1140">
        <v>36</v>
      </c>
      <c r="C48" s="1153" t="s">
        <v>958</v>
      </c>
      <c r="D48" s="1111">
        <v>1534.7</v>
      </c>
      <c r="E48" s="1112">
        <v>1529.1</v>
      </c>
      <c r="F48" s="1113">
        <v>1537.7</v>
      </c>
      <c r="G48" s="1112">
        <v>1548.9</v>
      </c>
      <c r="H48" s="1113">
        <v>1558.1</v>
      </c>
      <c r="I48" s="1113">
        <v>1568.7</v>
      </c>
      <c r="J48" s="1114">
        <v>1581.1</v>
      </c>
      <c r="K48" s="1114">
        <v>1588.9</v>
      </c>
    </row>
    <row r="49" spans="2:16" x14ac:dyDescent="0.35">
      <c r="B49" s="1140">
        <v>37</v>
      </c>
      <c r="C49" s="1156" t="s">
        <v>959</v>
      </c>
      <c r="D49" s="1123">
        <v>2384.1999999999998</v>
      </c>
      <c r="E49" s="1108">
        <v>2408.5</v>
      </c>
      <c r="F49" s="1124">
        <v>2443.6</v>
      </c>
      <c r="G49" s="1108">
        <v>2505.8000000000002</v>
      </c>
      <c r="H49" s="1124">
        <v>2553.6999999999998</v>
      </c>
      <c r="I49" s="1124">
        <v>2591.8000000000002</v>
      </c>
      <c r="J49" s="1125">
        <v>2619.6</v>
      </c>
      <c r="K49" s="1125">
        <v>2592.8000000000002</v>
      </c>
    </row>
    <row r="50" spans="2:16" x14ac:dyDescent="0.35">
      <c r="B50" s="1140">
        <v>38</v>
      </c>
      <c r="C50" s="1153" t="s">
        <v>960</v>
      </c>
      <c r="D50" s="1111">
        <v>19120.3</v>
      </c>
      <c r="E50" s="1112">
        <v>17546.599999999999</v>
      </c>
      <c r="F50" s="1113">
        <v>21698.9</v>
      </c>
      <c r="G50" s="1112">
        <v>18342.5</v>
      </c>
      <c r="H50" s="1113">
        <v>17850.900000000001</v>
      </c>
      <c r="I50" s="1113">
        <v>17850</v>
      </c>
      <c r="J50" s="1114">
        <v>18048.099999999999</v>
      </c>
      <c r="K50" s="1114">
        <v>18123.900000000001</v>
      </c>
    </row>
    <row r="51" spans="2:16" x14ac:dyDescent="0.35">
      <c r="B51" s="1140">
        <v>39</v>
      </c>
      <c r="C51" s="1156" t="s">
        <v>961</v>
      </c>
      <c r="D51" s="1123">
        <v>15321.7</v>
      </c>
      <c r="E51" s="1108">
        <v>15169.7</v>
      </c>
      <c r="F51" s="1124">
        <v>15935.3</v>
      </c>
      <c r="G51" s="1108">
        <v>16095.5</v>
      </c>
      <c r="H51" s="1124">
        <v>16107.6</v>
      </c>
      <c r="I51" s="1124">
        <v>16278.2</v>
      </c>
      <c r="J51" s="1125">
        <v>16323.7</v>
      </c>
      <c r="K51" s="1125">
        <v>16413</v>
      </c>
    </row>
    <row r="52" spans="2:16" x14ac:dyDescent="0.35">
      <c r="B52" s="1139">
        <v>40</v>
      </c>
      <c r="C52" s="1155" t="s">
        <v>962</v>
      </c>
      <c r="D52" s="1119">
        <v>14857.9</v>
      </c>
      <c r="E52" s="1120">
        <v>14699.6</v>
      </c>
      <c r="F52" s="1121">
        <v>15458.9</v>
      </c>
      <c r="G52" s="1120">
        <v>15614.6</v>
      </c>
      <c r="H52" s="1121">
        <v>15623.1</v>
      </c>
      <c r="I52" s="1121">
        <v>15790</v>
      </c>
      <c r="J52" s="1122">
        <v>15832.3</v>
      </c>
      <c r="K52" s="1122">
        <v>15922.2</v>
      </c>
    </row>
    <row r="53" spans="2:16" x14ac:dyDescent="0.35">
      <c r="B53" s="1139"/>
      <c r="C53" s="1154" t="s">
        <v>963</v>
      </c>
      <c r="D53" s="1115">
        <v>249.2</v>
      </c>
      <c r="E53" s="1116">
        <v>255.3</v>
      </c>
      <c r="F53" s="1117">
        <v>261.5</v>
      </c>
      <c r="G53" s="1116">
        <v>264.8</v>
      </c>
      <c r="H53" s="1117">
        <v>268.2</v>
      </c>
      <c r="I53" s="1117">
        <v>271.60000000000002</v>
      </c>
      <c r="J53" s="1118">
        <v>274.5</v>
      </c>
      <c r="K53" s="1118">
        <v>274.10000000000002</v>
      </c>
    </row>
    <row r="54" spans="2:16" x14ac:dyDescent="0.35">
      <c r="B54" s="1139">
        <v>41</v>
      </c>
      <c r="C54" s="1166" t="s">
        <v>964</v>
      </c>
      <c r="D54" s="1119" t="s">
        <v>931</v>
      </c>
      <c r="E54" s="1120" t="s">
        <v>931</v>
      </c>
      <c r="F54" s="1121" t="s">
        <v>931</v>
      </c>
      <c r="G54" s="1120" t="s">
        <v>931</v>
      </c>
      <c r="H54" s="1121" t="s">
        <v>931</v>
      </c>
      <c r="I54" s="1121" t="s">
        <v>931</v>
      </c>
      <c r="J54" s="1122" t="s">
        <v>931</v>
      </c>
      <c r="K54" s="1122" t="s">
        <v>931</v>
      </c>
    </row>
    <row r="55" spans="2:16" ht="16.5" x14ac:dyDescent="0.35">
      <c r="B55" s="1139">
        <v>42</v>
      </c>
      <c r="C55" s="1167" t="s">
        <v>1210</v>
      </c>
      <c r="D55" s="1119">
        <v>-37.799999999999997</v>
      </c>
      <c r="E55" s="1120">
        <v>-37.799999999999997</v>
      </c>
      <c r="F55" s="1121">
        <v>-37.799999999999997</v>
      </c>
      <c r="G55" s="1120">
        <v>-37.799999999999997</v>
      </c>
      <c r="H55" s="1121">
        <v>-37.799999999999997</v>
      </c>
      <c r="I55" s="1121">
        <v>-37.799999999999997</v>
      </c>
      <c r="J55" s="1122">
        <v>-37.799999999999997</v>
      </c>
      <c r="K55" s="1122">
        <v>-37.799999999999997</v>
      </c>
    </row>
    <row r="56" spans="2:16" x14ac:dyDescent="0.35">
      <c r="B56" s="1139">
        <v>43</v>
      </c>
      <c r="C56" s="1154" t="s">
        <v>965</v>
      </c>
      <c r="D56" s="1115">
        <v>214.7</v>
      </c>
      <c r="E56" s="1116">
        <v>214.8</v>
      </c>
      <c r="F56" s="1117">
        <v>215</v>
      </c>
      <c r="G56" s="1116">
        <v>216.1</v>
      </c>
      <c r="H56" s="1117">
        <v>216.4</v>
      </c>
      <c r="I56" s="1117">
        <v>216.7</v>
      </c>
      <c r="J56" s="1118">
        <v>216.9</v>
      </c>
      <c r="K56" s="1118">
        <v>216.7</v>
      </c>
    </row>
    <row r="57" spans="2:16" x14ac:dyDescent="0.35">
      <c r="B57" s="1139">
        <v>44</v>
      </c>
      <c r="C57" s="1155" t="s">
        <v>966</v>
      </c>
      <c r="D57" s="1119">
        <v>115.2</v>
      </c>
      <c r="E57" s="1120">
        <v>115.3</v>
      </c>
      <c r="F57" s="1121">
        <v>115.5</v>
      </c>
      <c r="G57" s="1120">
        <v>115.7</v>
      </c>
      <c r="H57" s="1121">
        <v>116</v>
      </c>
      <c r="I57" s="1121">
        <v>116.3</v>
      </c>
      <c r="J57" s="1122">
        <v>116.5</v>
      </c>
      <c r="K57" s="1122">
        <v>116.8</v>
      </c>
    </row>
    <row r="58" spans="2:16" x14ac:dyDescent="0.35">
      <c r="B58" s="1141">
        <v>45</v>
      </c>
      <c r="C58" s="1154" t="s">
        <v>967</v>
      </c>
      <c r="D58" s="1115">
        <v>99.5</v>
      </c>
      <c r="E58" s="1116">
        <v>99.5</v>
      </c>
      <c r="F58" s="1117">
        <v>99.5</v>
      </c>
      <c r="G58" s="1116">
        <v>100.4</v>
      </c>
      <c r="H58" s="1117">
        <v>100.4</v>
      </c>
      <c r="I58" s="1117">
        <v>100.4</v>
      </c>
      <c r="J58" s="1118">
        <v>100.4</v>
      </c>
      <c r="K58" s="1118">
        <v>99.9</v>
      </c>
    </row>
    <row r="59" spans="2:16" ht="15" thickBot="1" x14ac:dyDescent="0.4">
      <c r="B59" s="1142">
        <v>46</v>
      </c>
      <c r="C59" s="1168" t="s">
        <v>968</v>
      </c>
      <c r="D59" s="1127">
        <v>3798.6</v>
      </c>
      <c r="E59" s="1128">
        <v>2376.9</v>
      </c>
      <c r="F59" s="1129">
        <v>5763.5</v>
      </c>
      <c r="G59" s="1128">
        <v>2247</v>
      </c>
      <c r="H59" s="1129">
        <v>1743.2</v>
      </c>
      <c r="I59" s="1129">
        <v>1571.8</v>
      </c>
      <c r="J59" s="1130">
        <v>1724.4</v>
      </c>
      <c r="K59" s="1130">
        <v>1710.9</v>
      </c>
    </row>
    <row r="60" spans="2:16" x14ac:dyDescent="0.35">
      <c r="B60" s="1131" t="s">
        <v>969</v>
      </c>
      <c r="C60" s="1132" t="s">
        <v>970</v>
      </c>
      <c r="D60" s="1131"/>
      <c r="E60" s="1131"/>
      <c r="F60" s="1131"/>
      <c r="G60" s="1131"/>
      <c r="H60" s="1131"/>
      <c r="I60" s="1131"/>
      <c r="J60" s="1131"/>
      <c r="K60" s="1131"/>
      <c r="L60" s="1131"/>
      <c r="M60" s="1131"/>
      <c r="N60" s="1131"/>
      <c r="O60" s="1131"/>
      <c r="P60" s="1131"/>
    </row>
    <row r="61" spans="2:16" x14ac:dyDescent="0.35">
      <c r="B61" s="1131" t="s">
        <v>971</v>
      </c>
      <c r="C61" s="1133" t="s">
        <v>972</v>
      </c>
      <c r="D61" s="1131"/>
      <c r="E61" s="1131"/>
      <c r="F61" s="1131"/>
      <c r="G61" s="1131"/>
      <c r="H61" s="1131"/>
      <c r="I61" s="1131"/>
      <c r="J61" s="1131"/>
      <c r="K61" s="1131"/>
      <c r="L61" s="1131"/>
      <c r="M61" s="1131"/>
      <c r="N61" s="1131"/>
      <c r="O61" s="1131"/>
      <c r="P61" s="1131"/>
    </row>
    <row r="62" spans="2:16" x14ac:dyDescent="0.35">
      <c r="B62" s="1131" t="s">
        <v>973</v>
      </c>
      <c r="C62" s="1133" t="s">
        <v>974</v>
      </c>
      <c r="D62" s="1131"/>
      <c r="E62" s="1131"/>
      <c r="F62" s="1131"/>
      <c r="G62" s="1131"/>
      <c r="H62" s="1131"/>
      <c r="I62" s="1131"/>
      <c r="J62" s="1131"/>
      <c r="K62" s="1131"/>
      <c r="L62" s="1131"/>
      <c r="M62" s="1131"/>
      <c r="N62" s="1131"/>
      <c r="O62" s="1131"/>
      <c r="P62" s="1131"/>
    </row>
    <row r="63" spans="2:16" x14ac:dyDescent="0.35">
      <c r="B63" s="1131" t="s">
        <v>975</v>
      </c>
      <c r="C63" s="1133" t="s">
        <v>976</v>
      </c>
      <c r="D63" s="1131"/>
      <c r="E63" s="1131"/>
      <c r="F63" s="1131"/>
      <c r="G63" s="1131"/>
      <c r="H63" s="1131"/>
      <c r="I63" s="1131"/>
      <c r="J63" s="1131"/>
      <c r="K63" s="1131"/>
      <c r="L63" s="1131"/>
      <c r="M63" s="1131"/>
      <c r="N63" s="1131"/>
      <c r="O63" s="1131"/>
      <c r="P63" s="1131"/>
    </row>
    <row r="65" spans="2:16" x14ac:dyDescent="0.35">
      <c r="B65" s="1328" t="s">
        <v>1211</v>
      </c>
      <c r="C65" s="1328"/>
      <c r="D65" s="1328"/>
      <c r="E65" s="1328"/>
      <c r="F65" s="1328"/>
      <c r="G65" s="1328"/>
      <c r="H65" s="1328"/>
      <c r="I65" s="1328"/>
      <c r="J65" s="1328"/>
      <c r="K65" s="1328"/>
      <c r="L65" s="1328"/>
      <c r="M65" s="1328"/>
      <c r="N65" s="1328"/>
      <c r="O65" s="1328"/>
      <c r="P65" s="1328"/>
    </row>
    <row r="66" spans="2:16" x14ac:dyDescent="0.35">
      <c r="B66" s="1329" t="s">
        <v>1212</v>
      </c>
      <c r="C66" s="1329"/>
      <c r="D66" s="1329"/>
      <c r="E66" s="1329"/>
      <c r="F66" s="1329"/>
      <c r="G66" s="1329"/>
      <c r="H66" s="1329"/>
      <c r="I66" s="1329"/>
      <c r="J66" s="1329"/>
      <c r="K66" s="1329"/>
      <c r="L66" s="1329"/>
      <c r="M66" s="1329"/>
      <c r="N66" s="1329"/>
      <c r="O66" s="1329"/>
      <c r="P66" s="1329"/>
    </row>
    <row r="67" spans="2:16" x14ac:dyDescent="0.35">
      <c r="B67" s="1322" t="s">
        <v>1213</v>
      </c>
      <c r="C67" s="1322"/>
      <c r="D67" s="1322"/>
      <c r="E67" s="1322"/>
      <c r="F67" s="1322"/>
      <c r="G67" s="1322"/>
      <c r="H67" s="1322"/>
      <c r="I67" s="1322"/>
      <c r="J67" s="1322"/>
      <c r="K67" s="1322"/>
      <c r="L67" s="1322"/>
      <c r="M67" s="1322"/>
      <c r="N67" s="1322"/>
      <c r="O67" s="1322"/>
      <c r="P67" s="1322"/>
    </row>
    <row r="68" spans="2:16" x14ac:dyDescent="0.35">
      <c r="B68" s="1330" t="s">
        <v>1214</v>
      </c>
      <c r="C68" s="1330"/>
      <c r="D68" s="1330"/>
      <c r="E68" s="1330"/>
      <c r="F68" s="1330"/>
      <c r="G68" s="1330"/>
      <c r="H68" s="1330"/>
      <c r="I68" s="1330"/>
      <c r="J68" s="1330"/>
      <c r="K68" s="1330"/>
      <c r="L68" s="1330"/>
      <c r="M68" s="1330"/>
      <c r="N68" s="1330"/>
      <c r="O68" s="1330"/>
      <c r="P68" s="1330"/>
    </row>
    <row r="69" spans="2:16" x14ac:dyDescent="0.35">
      <c r="B69" s="1331" t="s">
        <v>1215</v>
      </c>
      <c r="C69" s="1331"/>
      <c r="D69" s="1331"/>
      <c r="E69" s="1331"/>
      <c r="F69" s="1331"/>
      <c r="G69" s="1331"/>
      <c r="H69" s="1331"/>
      <c r="I69" s="1331"/>
      <c r="J69" s="1331"/>
      <c r="K69" s="1331"/>
      <c r="L69" s="1331"/>
      <c r="M69" s="1331"/>
      <c r="N69" s="1331"/>
      <c r="O69" s="1331"/>
      <c r="P69" s="1331"/>
    </row>
    <row r="70" spans="2:16" x14ac:dyDescent="0.35">
      <c r="B70" s="1323" t="s">
        <v>1216</v>
      </c>
      <c r="C70" s="1323"/>
      <c r="D70" s="1323"/>
      <c r="E70" s="1323"/>
      <c r="F70" s="1323"/>
      <c r="G70" s="1323"/>
      <c r="H70" s="1323"/>
      <c r="I70" s="1323"/>
      <c r="J70" s="1323"/>
      <c r="K70" s="1323"/>
      <c r="L70" s="1323"/>
      <c r="M70" s="1323"/>
      <c r="N70" s="1323"/>
      <c r="O70" s="1323"/>
      <c r="P70" s="1323"/>
    </row>
    <row r="71" spans="2:16" x14ac:dyDescent="0.35">
      <c r="B71" s="1322" t="s">
        <v>1217</v>
      </c>
      <c r="C71" s="1322"/>
      <c r="D71" s="1322"/>
      <c r="E71" s="1322"/>
      <c r="F71" s="1322"/>
      <c r="G71" s="1322"/>
      <c r="H71" s="1322"/>
      <c r="I71" s="1322"/>
      <c r="J71" s="1322"/>
      <c r="K71" s="1322"/>
      <c r="L71" s="1322"/>
      <c r="M71" s="1322"/>
      <c r="N71" s="1322"/>
      <c r="O71" s="1322"/>
      <c r="P71" s="1322"/>
    </row>
    <row r="72" spans="2:16" x14ac:dyDescent="0.35">
      <c r="B72" s="1322" t="s">
        <v>1218</v>
      </c>
      <c r="C72" s="1322"/>
      <c r="D72" s="1322"/>
      <c r="E72" s="1322"/>
      <c r="F72" s="1322"/>
      <c r="G72" s="1322"/>
      <c r="H72" s="1322"/>
      <c r="I72" s="1322"/>
      <c r="J72" s="1322"/>
      <c r="K72" s="1322"/>
      <c r="L72" s="1322"/>
      <c r="M72" s="1322"/>
      <c r="N72" s="1322"/>
      <c r="O72" s="1322"/>
      <c r="P72" s="1322"/>
    </row>
    <row r="73" spans="2:16" x14ac:dyDescent="0.35">
      <c r="B73" s="1323" t="s">
        <v>1219</v>
      </c>
      <c r="C73" s="1323"/>
      <c r="D73" s="1323"/>
      <c r="E73" s="1323"/>
      <c r="F73" s="1323"/>
      <c r="G73" s="1323"/>
      <c r="H73" s="1323"/>
      <c r="I73" s="1323"/>
      <c r="J73" s="1323"/>
      <c r="K73" s="1323"/>
      <c r="L73" s="1323"/>
      <c r="M73" s="1323"/>
      <c r="N73" s="1323"/>
      <c r="O73" s="1323"/>
      <c r="P73" s="1323"/>
    </row>
    <row r="74" spans="2:16" x14ac:dyDescent="0.35">
      <c r="B74" s="649"/>
    </row>
    <row r="75" spans="2:16" x14ac:dyDescent="0.35">
      <c r="B75" s="1324" t="s">
        <v>1220</v>
      </c>
      <c r="C75" s="1324"/>
      <c r="D75" s="1324"/>
      <c r="E75" s="1324"/>
      <c r="F75" s="1324"/>
      <c r="G75" s="1324"/>
      <c r="H75" s="1324"/>
      <c r="I75" s="1324"/>
      <c r="J75" s="1324"/>
      <c r="K75" s="1324"/>
      <c r="L75" s="1324"/>
      <c r="M75" s="1324"/>
      <c r="N75" s="1324"/>
      <c r="O75" s="1324"/>
      <c r="P75" s="1324"/>
    </row>
    <row r="76" spans="2:16" x14ac:dyDescent="0.35">
      <c r="B76" s="583"/>
    </row>
    <row r="77" spans="2:16" x14ac:dyDescent="0.35">
      <c r="B77" s="1131" t="s">
        <v>980</v>
      </c>
      <c r="C77" s="1131"/>
      <c r="D77" s="1131"/>
      <c r="E77" s="1131"/>
      <c r="F77" s="1131"/>
      <c r="G77" s="1131"/>
      <c r="H77" s="1131"/>
      <c r="I77" s="1131"/>
      <c r="J77" s="1131"/>
      <c r="K77" s="1131"/>
      <c r="L77" s="1131"/>
      <c r="M77" s="1131"/>
      <c r="N77" s="1131"/>
      <c r="O77" s="1131"/>
      <c r="P77" s="1131"/>
    </row>
    <row r="78" spans="2:16" x14ac:dyDescent="0.35">
      <c r="B78" s="1131"/>
      <c r="C78" s="1131"/>
      <c r="D78" s="1131"/>
      <c r="E78" s="1131"/>
      <c r="F78" s="1131"/>
      <c r="G78" s="1131"/>
      <c r="H78" s="1131"/>
      <c r="I78" s="1131"/>
      <c r="J78" s="1131"/>
      <c r="K78" s="1131"/>
      <c r="L78" s="1131"/>
      <c r="M78" s="1131"/>
      <c r="N78" s="1131"/>
      <c r="O78" s="1131"/>
      <c r="P78" s="1131"/>
    </row>
    <row r="79" spans="2:16" x14ac:dyDescent="0.35">
      <c r="B79" s="1131" t="s">
        <v>981</v>
      </c>
      <c r="C79" s="1131"/>
      <c r="D79" s="1131"/>
      <c r="E79" s="1131"/>
      <c r="F79" s="1131"/>
      <c r="G79" s="1131"/>
      <c r="H79" s="1131"/>
      <c r="I79" s="1131"/>
      <c r="J79" s="1131"/>
      <c r="K79" s="1131"/>
      <c r="L79" s="1131"/>
      <c r="M79" s="1131"/>
      <c r="N79" s="1131"/>
      <c r="O79" s="1131"/>
      <c r="P79" s="1131"/>
    </row>
    <row r="80" spans="2:16" x14ac:dyDescent="0.35">
      <c r="B80" s="649"/>
    </row>
    <row r="81" spans="2:2" x14ac:dyDescent="0.35">
      <c r="B81" s="1134"/>
    </row>
    <row r="83" spans="2:2" x14ac:dyDescent="0.35">
      <c r="B83" s="283" t="s">
        <v>977</v>
      </c>
    </row>
    <row r="84" spans="2:2" x14ac:dyDescent="0.35">
      <c r="B84" s="283" t="s">
        <v>978</v>
      </c>
    </row>
    <row r="85" spans="2:2" x14ac:dyDescent="0.35">
      <c r="B85" s="582" t="s">
        <v>979</v>
      </c>
    </row>
    <row r="87" spans="2:2" ht="13.75" customHeight="1" x14ac:dyDescent="0.35">
      <c r="B87" s="283" t="s">
        <v>980</v>
      </c>
    </row>
    <row r="88" spans="2:2" ht="6" customHeight="1" x14ac:dyDescent="0.35"/>
    <row r="89" spans="2:2" x14ac:dyDescent="0.35">
      <c r="B89" s="283" t="s">
        <v>981</v>
      </c>
    </row>
    <row r="91" spans="2:2" x14ac:dyDescent="0.35">
      <c r="B91" s="650"/>
    </row>
    <row r="92" spans="2:2" x14ac:dyDescent="0.35">
      <c r="B92" s="650"/>
    </row>
    <row r="93" spans="2:2" x14ac:dyDescent="0.35">
      <c r="B93" s="650"/>
    </row>
    <row r="98" spans="2:16" s="536" customFormat="1" x14ac:dyDescent="0.35"/>
    <row r="99" spans="2:16" s="536" customFormat="1" x14ac:dyDescent="0.35">
      <c r="B99" s="655"/>
      <c r="C99" s="655"/>
      <c r="D99" s="655"/>
      <c r="E99" s="655"/>
      <c r="F99" s="655"/>
      <c r="G99" s="655"/>
      <c r="H99" s="655"/>
      <c r="I99" s="655"/>
      <c r="J99" s="655"/>
      <c r="K99" s="656"/>
      <c r="L99" s="656"/>
      <c r="M99" s="656"/>
      <c r="N99" s="656"/>
      <c r="O99" s="656"/>
      <c r="P99" s="656"/>
    </row>
    <row r="100" spans="2:16" s="536" customFormat="1" x14ac:dyDescent="0.35">
      <c r="B100" s="1321"/>
      <c r="C100" s="1321"/>
      <c r="D100" s="1321"/>
      <c r="E100" s="1321"/>
      <c r="F100" s="1321"/>
      <c r="G100" s="1321"/>
      <c r="H100" s="1321"/>
      <c r="I100" s="1321"/>
      <c r="J100" s="1321"/>
      <c r="K100" s="1321"/>
      <c r="L100" s="1321"/>
      <c r="M100" s="1321"/>
      <c r="N100" s="1321"/>
      <c r="O100" s="1321"/>
      <c r="P100" s="1321"/>
    </row>
    <row r="101" spans="2:16" s="536" customFormat="1" x14ac:dyDescent="0.35">
      <c r="B101" s="1321"/>
      <c r="C101" s="1321"/>
      <c r="D101" s="1321"/>
      <c r="E101" s="1321"/>
      <c r="F101" s="1321"/>
      <c r="G101" s="1321"/>
      <c r="H101" s="1321"/>
      <c r="I101" s="1321"/>
      <c r="J101" s="1321"/>
      <c r="K101" s="1321"/>
      <c r="L101" s="1321"/>
      <c r="M101" s="1321"/>
      <c r="N101" s="1321"/>
      <c r="O101" s="1321"/>
      <c r="P101" s="1321"/>
    </row>
    <row r="102" spans="2:16" s="536" customFormat="1" x14ac:dyDescent="0.35">
      <c r="B102" s="1321"/>
      <c r="C102" s="1321"/>
      <c r="D102" s="1321"/>
      <c r="E102" s="1321"/>
      <c r="F102" s="1321"/>
      <c r="G102" s="1321"/>
      <c r="H102" s="1321"/>
      <c r="I102" s="926"/>
      <c r="J102" s="657"/>
      <c r="K102" s="655"/>
      <c r="L102" s="655"/>
      <c r="M102" s="655"/>
      <c r="N102" s="655"/>
      <c r="O102" s="655"/>
      <c r="P102" s="655"/>
    </row>
    <row r="103" spans="2:16" s="536" customFormat="1" x14ac:dyDescent="0.35">
      <c r="B103" s="658"/>
      <c r="C103" s="655"/>
      <c r="D103" s="1320"/>
      <c r="E103" s="1320"/>
      <c r="F103" s="1320"/>
      <c r="G103" s="1320"/>
      <c r="H103" s="1320"/>
      <c r="I103" s="1320"/>
      <c r="J103" s="1320"/>
    </row>
    <row r="104" spans="2:16" s="536" customFormat="1" x14ac:dyDescent="0.35">
      <c r="B104" s="653"/>
      <c r="C104" s="655"/>
      <c r="D104" s="1320"/>
      <c r="E104" s="1320"/>
      <c r="F104" s="1320"/>
      <c r="G104" s="1320"/>
      <c r="H104" s="1320"/>
      <c r="I104" s="1320"/>
      <c r="J104" s="1320"/>
    </row>
    <row r="105" spans="2:16" s="536" customFormat="1" x14ac:dyDescent="0.35">
      <c r="B105" s="655"/>
      <c r="C105" s="655"/>
      <c r="D105" s="653"/>
      <c r="E105" s="653"/>
      <c r="F105" s="653"/>
      <c r="G105" s="653"/>
      <c r="H105" s="653"/>
      <c r="I105" s="925"/>
      <c r="J105" s="653"/>
    </row>
    <row r="106" spans="2:16" s="536" customFormat="1" x14ac:dyDescent="0.35">
      <c r="B106" s="658"/>
      <c r="C106" s="659"/>
      <c r="D106" s="654"/>
      <c r="E106" s="654"/>
      <c r="F106" s="654"/>
      <c r="G106" s="654"/>
      <c r="H106" s="654"/>
      <c r="I106" s="654"/>
      <c r="J106" s="654"/>
    </row>
    <row r="107" spans="2:16" s="536" customFormat="1" x14ac:dyDescent="0.35">
      <c r="B107" s="658"/>
      <c r="C107" s="659"/>
      <c r="D107" s="654"/>
      <c r="E107" s="654"/>
      <c r="F107" s="654"/>
      <c r="G107" s="654"/>
      <c r="H107" s="654"/>
      <c r="I107" s="654"/>
      <c r="J107" s="654"/>
    </row>
    <row r="108" spans="2:16" s="536" customFormat="1" x14ac:dyDescent="0.35">
      <c r="B108" s="655"/>
      <c r="C108" s="655"/>
      <c r="D108" s="648"/>
      <c r="E108" s="648"/>
      <c r="F108" s="648"/>
      <c r="G108" s="648"/>
      <c r="H108" s="648"/>
      <c r="I108" s="648"/>
      <c r="J108" s="648"/>
    </row>
    <row r="109" spans="2:16" s="536" customFormat="1" x14ac:dyDescent="0.35">
      <c r="B109" s="655"/>
      <c r="C109" s="655"/>
      <c r="D109" s="648"/>
      <c r="E109" s="648"/>
      <c r="F109" s="648"/>
      <c r="G109" s="648"/>
      <c r="H109" s="648"/>
      <c r="I109" s="648"/>
      <c r="J109" s="648"/>
    </row>
    <row r="110" spans="2:16" s="536" customFormat="1" x14ac:dyDescent="0.35">
      <c r="B110" s="655"/>
      <c r="C110" s="655"/>
      <c r="D110" s="648"/>
      <c r="E110" s="648"/>
      <c r="F110" s="648"/>
      <c r="G110" s="648"/>
      <c r="H110" s="648"/>
      <c r="I110" s="648"/>
      <c r="J110" s="648"/>
    </row>
    <row r="111" spans="2:16" s="536" customFormat="1" x14ac:dyDescent="0.35">
      <c r="B111" s="655"/>
      <c r="C111" s="655"/>
      <c r="D111" s="648"/>
      <c r="E111" s="648"/>
      <c r="F111" s="648"/>
      <c r="G111" s="648"/>
      <c r="H111" s="648"/>
      <c r="I111" s="648"/>
      <c r="J111" s="648"/>
    </row>
    <row r="112" spans="2:16" s="536" customFormat="1" x14ac:dyDescent="0.35">
      <c r="B112" s="658"/>
      <c r="C112" s="659"/>
      <c r="D112" s="654"/>
      <c r="E112" s="654"/>
      <c r="F112" s="654"/>
      <c r="G112" s="654"/>
      <c r="H112" s="654"/>
      <c r="I112" s="654"/>
      <c r="J112" s="654"/>
    </row>
    <row r="113" spans="2:10" s="536" customFormat="1" x14ac:dyDescent="0.35">
      <c r="B113" s="655"/>
      <c r="C113" s="655"/>
      <c r="D113" s="648"/>
      <c r="E113" s="648"/>
      <c r="F113" s="648"/>
      <c r="G113" s="648"/>
      <c r="H113" s="648"/>
      <c r="I113" s="648"/>
      <c r="J113" s="648"/>
    </row>
    <row r="114" spans="2:10" s="536" customFormat="1" x14ac:dyDescent="0.35">
      <c r="B114" s="655"/>
      <c r="C114" s="660"/>
      <c r="D114" s="648"/>
      <c r="E114" s="648"/>
      <c r="F114" s="648"/>
      <c r="G114" s="648"/>
      <c r="H114" s="648"/>
      <c r="I114" s="648"/>
      <c r="J114" s="648"/>
    </row>
    <row r="115" spans="2:10" s="536" customFormat="1" x14ac:dyDescent="0.35">
      <c r="B115" s="655"/>
      <c r="C115" s="655"/>
      <c r="D115" s="648"/>
      <c r="E115" s="648"/>
      <c r="F115" s="648"/>
      <c r="G115" s="648"/>
      <c r="H115" s="648"/>
      <c r="I115" s="648"/>
      <c r="J115" s="648"/>
    </row>
    <row r="116" spans="2:10" s="536" customFormat="1" x14ac:dyDescent="0.35">
      <c r="B116" s="655"/>
      <c r="C116" s="655"/>
      <c r="D116" s="648"/>
      <c r="E116" s="648"/>
      <c r="F116" s="648"/>
      <c r="G116" s="648"/>
      <c r="H116" s="648"/>
      <c r="I116" s="648"/>
      <c r="J116" s="648"/>
    </row>
    <row r="117" spans="2:10" s="536" customFormat="1" x14ac:dyDescent="0.35">
      <c r="B117" s="655"/>
      <c r="C117" s="655"/>
      <c r="D117" s="648"/>
      <c r="E117" s="648"/>
      <c r="F117" s="648"/>
      <c r="G117" s="648"/>
      <c r="H117" s="648"/>
      <c r="I117" s="648"/>
      <c r="J117" s="648"/>
    </row>
    <row r="118" spans="2:10" s="536" customFormat="1" x14ac:dyDescent="0.35">
      <c r="B118" s="655"/>
      <c r="C118" s="660"/>
      <c r="D118" s="648"/>
      <c r="E118" s="648"/>
      <c r="F118" s="648"/>
      <c r="G118" s="648"/>
      <c r="H118" s="648"/>
      <c r="I118" s="648"/>
      <c r="J118" s="648"/>
    </row>
    <row r="119" spans="2:10" s="536" customFormat="1" x14ac:dyDescent="0.35">
      <c r="B119" s="655"/>
      <c r="C119" s="655"/>
      <c r="D119" s="648"/>
      <c r="E119" s="648"/>
      <c r="F119" s="648"/>
      <c r="G119" s="648"/>
      <c r="H119" s="648"/>
      <c r="I119" s="648"/>
      <c r="J119" s="648"/>
    </row>
    <row r="120" spans="2:10" s="536" customFormat="1" x14ac:dyDescent="0.35">
      <c r="B120" s="658"/>
      <c r="C120" s="659"/>
      <c r="D120" s="654"/>
      <c r="E120" s="654"/>
      <c r="F120" s="654"/>
      <c r="G120" s="654"/>
      <c r="H120" s="654"/>
      <c r="I120" s="654"/>
      <c r="J120" s="654"/>
    </row>
    <row r="121" spans="2:10" s="536" customFormat="1" x14ac:dyDescent="0.35">
      <c r="B121" s="658"/>
      <c r="C121" s="659"/>
      <c r="D121" s="654"/>
      <c r="E121" s="654"/>
      <c r="F121" s="654"/>
      <c r="G121" s="654"/>
      <c r="H121" s="654"/>
      <c r="I121" s="654"/>
      <c r="J121" s="654"/>
    </row>
    <row r="122" spans="2:10" s="536" customFormat="1" x14ac:dyDescent="0.35">
      <c r="B122" s="655"/>
      <c r="C122" s="655"/>
      <c r="D122" s="648"/>
      <c r="E122" s="648"/>
      <c r="F122" s="648"/>
      <c r="G122" s="648"/>
      <c r="H122" s="648"/>
      <c r="I122" s="648"/>
      <c r="J122" s="648"/>
    </row>
    <row r="123" spans="2:10" s="536" customFormat="1" x14ac:dyDescent="0.35">
      <c r="B123" s="655"/>
      <c r="C123" s="655"/>
      <c r="D123" s="648"/>
      <c r="E123" s="648"/>
      <c r="F123" s="648"/>
      <c r="G123" s="648"/>
      <c r="H123" s="648"/>
      <c r="I123" s="648"/>
      <c r="J123" s="648"/>
    </row>
    <row r="124" spans="2:10" s="536" customFormat="1" x14ac:dyDescent="0.35">
      <c r="B124" s="658"/>
      <c r="C124" s="659"/>
      <c r="D124" s="654"/>
      <c r="E124" s="654"/>
      <c r="F124" s="654"/>
      <c r="G124" s="654"/>
      <c r="H124" s="654"/>
      <c r="I124" s="654"/>
      <c r="J124" s="654"/>
    </row>
    <row r="125" spans="2:10" s="536" customFormat="1" x14ac:dyDescent="0.35">
      <c r="B125" s="655"/>
      <c r="C125" s="655"/>
      <c r="D125" s="648"/>
      <c r="E125" s="648"/>
      <c r="F125" s="648"/>
      <c r="G125" s="648"/>
      <c r="H125" s="648"/>
      <c r="I125" s="648"/>
      <c r="J125" s="648"/>
    </row>
    <row r="126" spans="2:10" s="536" customFormat="1" x14ac:dyDescent="0.35">
      <c r="B126" s="655"/>
      <c r="C126" s="655"/>
      <c r="D126" s="648"/>
      <c r="E126" s="648"/>
      <c r="F126" s="648"/>
      <c r="G126" s="648"/>
      <c r="H126" s="648"/>
      <c r="I126" s="648"/>
      <c r="J126" s="648"/>
    </row>
    <row r="127" spans="2:10" s="536" customFormat="1" x14ac:dyDescent="0.35">
      <c r="B127" s="655"/>
      <c r="C127" s="655"/>
      <c r="D127" s="648"/>
      <c r="E127" s="648"/>
      <c r="F127" s="648"/>
      <c r="G127" s="648"/>
      <c r="H127" s="648"/>
      <c r="I127" s="648"/>
      <c r="J127" s="648"/>
    </row>
    <row r="128" spans="2:10" s="536" customFormat="1" x14ac:dyDescent="0.35">
      <c r="B128" s="655"/>
      <c r="C128" s="660"/>
      <c r="D128" s="648"/>
      <c r="E128" s="648"/>
      <c r="F128" s="648"/>
      <c r="G128" s="648"/>
      <c r="H128" s="648"/>
      <c r="I128" s="648"/>
      <c r="J128" s="648"/>
    </row>
    <row r="129" spans="2:10" s="536" customFormat="1" x14ac:dyDescent="0.35">
      <c r="B129" s="655"/>
      <c r="C129" s="655"/>
      <c r="D129" s="648"/>
      <c r="E129" s="648"/>
      <c r="F129" s="648"/>
      <c r="G129" s="648"/>
      <c r="H129" s="648"/>
      <c r="I129" s="648"/>
      <c r="J129" s="648"/>
    </row>
    <row r="130" spans="2:10" s="536" customFormat="1" x14ac:dyDescent="0.35">
      <c r="B130" s="655"/>
      <c r="C130" s="655"/>
      <c r="D130" s="648"/>
      <c r="E130" s="648"/>
      <c r="F130" s="648"/>
      <c r="G130" s="648"/>
      <c r="H130" s="648"/>
      <c r="I130" s="648"/>
      <c r="J130" s="648"/>
    </row>
    <row r="131" spans="2:10" s="536" customFormat="1" x14ac:dyDescent="0.35">
      <c r="B131" s="655"/>
      <c r="C131" s="655"/>
      <c r="D131" s="648"/>
      <c r="E131" s="648"/>
      <c r="F131" s="648"/>
      <c r="G131" s="648"/>
      <c r="H131" s="648"/>
      <c r="I131" s="648"/>
      <c r="J131" s="648"/>
    </row>
    <row r="132" spans="2:10" s="536" customFormat="1" x14ac:dyDescent="0.35">
      <c r="B132" s="655"/>
      <c r="C132" s="661"/>
      <c r="D132" s="648"/>
      <c r="E132" s="648"/>
      <c r="F132" s="648"/>
      <c r="G132" s="648"/>
      <c r="H132" s="648"/>
      <c r="I132" s="648"/>
      <c r="J132" s="648"/>
    </row>
    <row r="133" spans="2:10" s="536" customFormat="1" x14ac:dyDescent="0.35">
      <c r="B133" s="655"/>
      <c r="C133" s="662"/>
      <c r="D133" s="648"/>
      <c r="E133" s="648"/>
      <c r="F133" s="648"/>
      <c r="G133" s="648"/>
      <c r="H133" s="648"/>
      <c r="I133" s="648"/>
      <c r="J133" s="648"/>
    </row>
    <row r="134" spans="2:10" s="536" customFormat="1" x14ac:dyDescent="0.35">
      <c r="B134" s="655"/>
      <c r="C134" s="663"/>
      <c r="D134" s="648"/>
      <c r="E134" s="648"/>
      <c r="F134" s="648"/>
      <c r="G134" s="648"/>
      <c r="H134" s="648"/>
      <c r="I134" s="648"/>
      <c r="J134" s="648"/>
    </row>
    <row r="135" spans="2:10" s="536" customFormat="1" x14ac:dyDescent="0.35">
      <c r="B135" s="655"/>
      <c r="C135" s="663"/>
      <c r="D135" s="648"/>
      <c r="E135" s="648"/>
      <c r="F135" s="648"/>
      <c r="G135" s="648"/>
      <c r="H135" s="648"/>
      <c r="I135" s="648"/>
      <c r="J135" s="648"/>
    </row>
    <row r="136" spans="2:10" s="536" customFormat="1" x14ac:dyDescent="0.35">
      <c r="B136" s="655"/>
      <c r="C136" s="663"/>
      <c r="D136" s="648"/>
      <c r="E136" s="648"/>
      <c r="F136" s="648"/>
      <c r="G136" s="648"/>
      <c r="H136" s="648"/>
      <c r="I136" s="648"/>
      <c r="J136" s="648"/>
    </row>
    <row r="137" spans="2:10" s="536" customFormat="1" x14ac:dyDescent="0.35">
      <c r="B137" s="655"/>
      <c r="C137" s="655"/>
      <c r="D137" s="648"/>
      <c r="E137" s="648"/>
      <c r="F137" s="648"/>
      <c r="G137" s="648"/>
      <c r="H137" s="648"/>
      <c r="I137" s="648"/>
      <c r="J137" s="648"/>
    </row>
    <row r="138" spans="2:10" s="536" customFormat="1" x14ac:dyDescent="0.35">
      <c r="B138" s="655"/>
      <c r="C138" s="655"/>
      <c r="D138" s="648"/>
      <c r="E138" s="648"/>
      <c r="F138" s="648"/>
      <c r="G138" s="648"/>
      <c r="H138" s="648"/>
      <c r="I138" s="648"/>
      <c r="J138" s="648"/>
    </row>
    <row r="139" spans="2:10" s="536" customFormat="1" x14ac:dyDescent="0.35">
      <c r="B139" s="655"/>
      <c r="C139" s="661"/>
      <c r="D139" s="648"/>
      <c r="E139" s="648"/>
      <c r="F139" s="648"/>
      <c r="G139" s="648"/>
      <c r="H139" s="648"/>
      <c r="I139" s="648"/>
      <c r="J139" s="648"/>
    </row>
    <row r="140" spans="2:10" s="536" customFormat="1" x14ac:dyDescent="0.35">
      <c r="B140" s="655"/>
      <c r="C140" s="662"/>
      <c r="D140" s="648"/>
      <c r="E140" s="648"/>
      <c r="F140" s="648"/>
      <c r="G140" s="648"/>
      <c r="H140" s="648"/>
      <c r="I140" s="648"/>
      <c r="J140" s="648"/>
    </row>
    <row r="141" spans="2:10" s="536" customFormat="1" x14ac:dyDescent="0.35">
      <c r="B141" s="655"/>
      <c r="C141" s="662"/>
      <c r="D141" s="648"/>
      <c r="E141" s="648"/>
      <c r="F141" s="648"/>
      <c r="G141" s="648"/>
      <c r="H141" s="648"/>
      <c r="I141" s="648"/>
      <c r="J141" s="648"/>
    </row>
    <row r="142" spans="2:10" s="536" customFormat="1" x14ac:dyDescent="0.35">
      <c r="B142" s="655"/>
      <c r="C142" s="655"/>
      <c r="D142" s="648"/>
      <c r="E142" s="648"/>
      <c r="F142" s="648"/>
      <c r="G142" s="648"/>
      <c r="H142" s="648"/>
      <c r="I142" s="648"/>
      <c r="J142" s="648"/>
    </row>
    <row r="143" spans="2:10" s="536" customFormat="1" x14ac:dyDescent="0.35">
      <c r="B143" s="655"/>
      <c r="C143" s="655"/>
      <c r="D143" s="648"/>
      <c r="E143" s="648"/>
      <c r="F143" s="648"/>
      <c r="G143" s="648"/>
      <c r="H143" s="648"/>
      <c r="I143" s="648"/>
      <c r="J143" s="648"/>
    </row>
    <row r="144" spans="2:10" s="536" customFormat="1" x14ac:dyDescent="0.35">
      <c r="B144" s="655"/>
      <c r="C144" s="655"/>
      <c r="D144" s="648"/>
      <c r="E144" s="648"/>
      <c r="F144" s="648"/>
      <c r="G144" s="648"/>
      <c r="H144" s="648"/>
      <c r="I144" s="648"/>
      <c r="J144" s="648"/>
    </row>
    <row r="145" spans="2:16" s="536" customFormat="1" x14ac:dyDescent="0.35">
      <c r="B145" s="658"/>
      <c r="C145" s="659"/>
      <c r="D145" s="654"/>
      <c r="E145" s="654"/>
      <c r="F145" s="654"/>
      <c r="G145" s="654"/>
      <c r="H145" s="654"/>
      <c r="I145" s="654"/>
      <c r="J145" s="654"/>
    </row>
    <row r="146" spans="2:16" s="536" customFormat="1" x14ac:dyDescent="0.35">
      <c r="B146" s="658"/>
      <c r="C146" s="659"/>
      <c r="D146" s="654"/>
      <c r="E146" s="654"/>
      <c r="F146" s="654"/>
      <c r="G146" s="654"/>
      <c r="H146" s="654"/>
      <c r="I146" s="654"/>
      <c r="J146" s="654"/>
    </row>
    <row r="147" spans="2:16" s="536" customFormat="1" x14ac:dyDescent="0.35">
      <c r="B147" s="658"/>
      <c r="C147" s="659"/>
      <c r="D147" s="654"/>
      <c r="E147" s="654"/>
      <c r="F147" s="654"/>
      <c r="G147" s="654"/>
      <c r="H147" s="654"/>
      <c r="I147" s="654"/>
      <c r="J147" s="654"/>
    </row>
    <row r="148" spans="2:16" s="536" customFormat="1" x14ac:dyDescent="0.35">
      <c r="B148" s="658"/>
      <c r="C148" s="659"/>
      <c r="D148" s="654"/>
      <c r="E148" s="654"/>
      <c r="F148" s="654"/>
      <c r="G148" s="654"/>
      <c r="H148" s="654"/>
      <c r="I148" s="654"/>
      <c r="J148" s="654"/>
    </row>
    <row r="149" spans="2:16" s="536" customFormat="1" x14ac:dyDescent="0.35">
      <c r="B149" s="655"/>
      <c r="C149" s="655"/>
      <c r="D149" s="648"/>
      <c r="E149" s="648"/>
      <c r="F149" s="648"/>
      <c r="G149" s="648"/>
      <c r="H149" s="648"/>
      <c r="I149" s="648"/>
      <c r="J149" s="648"/>
    </row>
    <row r="150" spans="2:16" s="536" customFormat="1" x14ac:dyDescent="0.35">
      <c r="B150" s="655"/>
      <c r="C150" s="655"/>
      <c r="D150" s="648"/>
      <c r="E150" s="648"/>
      <c r="F150" s="648"/>
      <c r="G150" s="648"/>
      <c r="H150" s="648"/>
      <c r="I150" s="648"/>
      <c r="J150" s="648"/>
    </row>
    <row r="151" spans="2:16" s="536" customFormat="1" x14ac:dyDescent="0.35">
      <c r="B151" s="655"/>
      <c r="C151" s="664"/>
      <c r="D151" s="648"/>
      <c r="E151" s="648"/>
      <c r="F151" s="648"/>
      <c r="G151" s="648"/>
      <c r="H151" s="648"/>
      <c r="I151" s="648"/>
      <c r="J151" s="648"/>
    </row>
    <row r="152" spans="2:16" s="536" customFormat="1" x14ac:dyDescent="0.35">
      <c r="B152" s="655"/>
      <c r="C152" s="663"/>
      <c r="D152" s="648"/>
      <c r="E152" s="648"/>
      <c r="F152" s="648"/>
      <c r="G152" s="648"/>
      <c r="H152" s="648"/>
      <c r="I152" s="648"/>
      <c r="J152" s="648"/>
    </row>
    <row r="153" spans="2:16" s="536" customFormat="1" x14ac:dyDescent="0.35">
      <c r="B153" s="655"/>
      <c r="C153" s="655"/>
      <c r="D153" s="648"/>
      <c r="E153" s="648"/>
      <c r="F153" s="648"/>
      <c r="G153" s="648"/>
      <c r="H153" s="648"/>
      <c r="I153" s="648"/>
      <c r="J153" s="648"/>
    </row>
    <row r="154" spans="2:16" s="536" customFormat="1" x14ac:dyDescent="0.35">
      <c r="B154" s="655"/>
      <c r="C154" s="655"/>
      <c r="D154" s="648"/>
      <c r="E154" s="648"/>
      <c r="F154" s="648"/>
      <c r="G154" s="648"/>
      <c r="H154" s="648"/>
      <c r="I154" s="648"/>
      <c r="J154" s="648"/>
    </row>
    <row r="155" spans="2:16" s="536" customFormat="1" x14ac:dyDescent="0.35">
      <c r="B155" s="655"/>
      <c r="C155" s="655"/>
      <c r="D155" s="648"/>
      <c r="E155" s="648"/>
      <c r="F155" s="648"/>
      <c r="G155" s="648"/>
      <c r="H155" s="648"/>
      <c r="I155" s="648"/>
      <c r="J155" s="648"/>
    </row>
    <row r="156" spans="2:16" s="536" customFormat="1" x14ac:dyDescent="0.35">
      <c r="B156" s="658"/>
      <c r="C156" s="659"/>
      <c r="D156" s="654"/>
      <c r="E156" s="654"/>
      <c r="F156" s="654"/>
      <c r="G156" s="654"/>
      <c r="H156" s="654"/>
      <c r="I156" s="654"/>
      <c r="J156" s="654"/>
    </row>
    <row r="157" spans="2:16" s="536" customFormat="1" x14ac:dyDescent="0.35">
      <c r="B157" s="655"/>
      <c r="C157" s="655"/>
      <c r="D157" s="655"/>
      <c r="E157" s="655"/>
      <c r="F157" s="655"/>
      <c r="G157" s="655"/>
      <c r="H157" s="655"/>
      <c r="I157" s="655"/>
      <c r="J157" s="655"/>
      <c r="K157" s="655"/>
      <c r="L157" s="655"/>
      <c r="M157" s="655"/>
      <c r="N157" s="655"/>
      <c r="O157" s="655"/>
      <c r="P157" s="655"/>
    </row>
    <row r="158" spans="2:16" s="536" customFormat="1" x14ac:dyDescent="0.35">
      <c r="B158" s="655"/>
      <c r="C158" s="665"/>
      <c r="D158" s="655"/>
      <c r="E158" s="655"/>
      <c r="F158" s="655"/>
      <c r="G158" s="655"/>
      <c r="H158" s="655"/>
      <c r="I158" s="655"/>
      <c r="J158" s="655"/>
      <c r="K158" s="655"/>
      <c r="L158" s="655"/>
      <c r="M158" s="655"/>
      <c r="N158" s="655"/>
      <c r="O158" s="655"/>
      <c r="P158" s="655"/>
    </row>
    <row r="159" spans="2:16" s="536" customFormat="1" x14ac:dyDescent="0.35">
      <c r="B159" s="655"/>
      <c r="C159" s="655"/>
      <c r="D159" s="655"/>
      <c r="E159" s="655"/>
      <c r="F159" s="655"/>
      <c r="G159" s="655"/>
      <c r="H159" s="655"/>
      <c r="I159" s="655"/>
      <c r="J159" s="655"/>
      <c r="K159" s="655"/>
      <c r="L159" s="655"/>
      <c r="M159" s="655"/>
      <c r="N159" s="655"/>
      <c r="O159" s="655"/>
      <c r="P159" s="655"/>
    </row>
    <row r="160" spans="2:16" s="536" customFormat="1" x14ac:dyDescent="0.35">
      <c r="B160" s="655"/>
      <c r="C160" s="655"/>
      <c r="D160" s="655"/>
      <c r="E160" s="655"/>
      <c r="F160" s="655"/>
      <c r="G160" s="655"/>
      <c r="H160" s="655"/>
      <c r="I160" s="655"/>
      <c r="J160" s="655"/>
      <c r="K160" s="655"/>
      <c r="L160" s="655"/>
      <c r="M160" s="655"/>
      <c r="N160" s="655"/>
      <c r="O160" s="655"/>
      <c r="P160" s="655"/>
    </row>
    <row r="161" spans="2:16" s="536" customFormat="1" x14ac:dyDescent="0.35">
      <c r="B161" s="655"/>
      <c r="C161" s="655"/>
      <c r="D161" s="655"/>
      <c r="E161" s="655"/>
      <c r="F161" s="655"/>
      <c r="G161" s="655"/>
      <c r="H161" s="655"/>
      <c r="I161" s="655"/>
      <c r="J161" s="655"/>
      <c r="K161" s="655"/>
      <c r="L161" s="655"/>
      <c r="M161" s="655"/>
      <c r="N161" s="655"/>
      <c r="O161" s="655"/>
      <c r="P161" s="655"/>
    </row>
    <row r="162" spans="2:16" s="536" customFormat="1" x14ac:dyDescent="0.35">
      <c r="B162" s="655"/>
      <c r="C162" s="655"/>
      <c r="D162" s="655"/>
      <c r="E162" s="655"/>
      <c r="F162" s="655"/>
      <c r="G162" s="655"/>
      <c r="H162" s="655"/>
      <c r="I162" s="655"/>
      <c r="J162" s="655"/>
      <c r="K162" s="655"/>
      <c r="L162" s="655"/>
      <c r="M162" s="655"/>
      <c r="N162" s="655"/>
      <c r="O162" s="655"/>
      <c r="P162" s="655"/>
    </row>
    <row r="163" spans="2:16" s="536" customFormat="1" x14ac:dyDescent="0.35">
      <c r="B163" s="655"/>
      <c r="C163" s="655"/>
      <c r="D163" s="655"/>
      <c r="E163" s="655"/>
      <c r="F163" s="655"/>
      <c r="G163" s="655"/>
      <c r="H163" s="655"/>
      <c r="I163" s="655"/>
      <c r="J163" s="655"/>
      <c r="K163" s="655"/>
      <c r="L163" s="655"/>
      <c r="M163" s="655"/>
      <c r="N163" s="655"/>
      <c r="O163" s="655"/>
      <c r="P163" s="655"/>
    </row>
    <row r="164" spans="2:16" s="536" customFormat="1" x14ac:dyDescent="0.35">
      <c r="B164" s="655"/>
      <c r="C164" s="655"/>
      <c r="D164" s="655"/>
      <c r="E164" s="655"/>
      <c r="F164" s="655"/>
      <c r="G164" s="655"/>
      <c r="H164" s="655"/>
      <c r="I164" s="655"/>
      <c r="J164" s="655"/>
      <c r="K164" s="655"/>
      <c r="L164" s="655"/>
      <c r="M164" s="655"/>
      <c r="N164" s="655"/>
      <c r="O164" s="655"/>
      <c r="P164" s="655"/>
    </row>
    <row r="165" spans="2:16" s="536" customFormat="1" x14ac:dyDescent="0.35">
      <c r="B165" s="666"/>
      <c r="C165" s="666"/>
      <c r="D165" s="666"/>
      <c r="E165" s="666"/>
      <c r="F165" s="666"/>
      <c r="G165" s="666"/>
      <c r="H165" s="666"/>
      <c r="I165" s="666"/>
      <c r="J165" s="655"/>
      <c r="K165" s="655"/>
      <c r="L165" s="655"/>
      <c r="M165" s="655"/>
      <c r="N165" s="655"/>
      <c r="O165" s="655"/>
      <c r="P165" s="655"/>
    </row>
    <row r="166" spans="2:16" s="536" customFormat="1" x14ac:dyDescent="0.35">
      <c r="B166" s="667"/>
      <c r="C166" s="665"/>
      <c r="D166" s="665"/>
      <c r="E166" s="665"/>
      <c r="F166" s="665"/>
      <c r="G166" s="665"/>
      <c r="H166" s="665"/>
      <c r="I166" s="665"/>
      <c r="J166" s="655"/>
      <c r="K166" s="655"/>
      <c r="L166" s="655"/>
      <c r="M166" s="655"/>
      <c r="N166" s="655"/>
      <c r="O166" s="655"/>
      <c r="P166" s="655"/>
    </row>
    <row r="167" spans="2:16" s="536" customFormat="1" x14ac:dyDescent="0.35">
      <c r="B167" s="668"/>
      <c r="C167" s="666"/>
      <c r="D167" s="655"/>
      <c r="E167" s="655"/>
      <c r="F167" s="655"/>
      <c r="G167" s="655"/>
      <c r="H167" s="655"/>
      <c r="I167" s="655"/>
      <c r="J167" s="655"/>
      <c r="K167" s="655"/>
      <c r="L167" s="655"/>
      <c r="M167" s="655"/>
      <c r="N167" s="655"/>
      <c r="O167" s="655"/>
      <c r="P167" s="655"/>
    </row>
    <row r="168" spans="2:16" s="536" customFormat="1" x14ac:dyDescent="0.35">
      <c r="B168" s="666"/>
      <c r="C168" s="666"/>
      <c r="D168" s="666"/>
      <c r="E168" s="666"/>
      <c r="F168" s="666"/>
      <c r="G168" s="666"/>
      <c r="H168" s="666"/>
      <c r="I168" s="666"/>
      <c r="J168" s="655"/>
      <c r="K168" s="655"/>
      <c r="L168" s="655"/>
      <c r="M168" s="655"/>
      <c r="N168" s="655"/>
      <c r="O168" s="655"/>
      <c r="P168" s="655"/>
    </row>
    <row r="169" spans="2:16" s="536" customFormat="1" x14ac:dyDescent="0.35">
      <c r="B169" s="666"/>
      <c r="C169" s="666"/>
      <c r="D169" s="655"/>
      <c r="E169" s="655"/>
      <c r="F169" s="655"/>
      <c r="G169" s="655"/>
      <c r="H169" s="655"/>
      <c r="I169" s="655"/>
      <c r="J169" s="655"/>
      <c r="K169" s="655"/>
      <c r="L169" s="655"/>
      <c r="M169" s="655"/>
      <c r="N169" s="655"/>
      <c r="O169" s="655"/>
      <c r="P169" s="655"/>
    </row>
    <row r="170" spans="2:16" s="536" customFormat="1" x14ac:dyDescent="0.35">
      <c r="B170" s="665"/>
      <c r="C170" s="665"/>
      <c r="D170" s="665"/>
      <c r="E170" s="665"/>
      <c r="F170" s="665"/>
      <c r="G170" s="665"/>
      <c r="H170" s="665"/>
      <c r="I170" s="665"/>
      <c r="J170" s="655"/>
      <c r="K170" s="655"/>
      <c r="L170" s="655"/>
      <c r="M170" s="655"/>
      <c r="N170" s="655"/>
      <c r="O170" s="655"/>
      <c r="P170" s="655"/>
    </row>
    <row r="171" spans="2:16" s="536" customFormat="1" x14ac:dyDescent="0.35">
      <c r="B171" s="668"/>
      <c r="C171" s="669"/>
      <c r="D171" s="655"/>
      <c r="E171" s="655"/>
      <c r="F171" s="655"/>
      <c r="G171" s="655"/>
      <c r="H171" s="655"/>
      <c r="I171" s="655"/>
      <c r="J171" s="655"/>
      <c r="K171" s="655"/>
      <c r="L171" s="655"/>
      <c r="M171" s="655"/>
      <c r="N171" s="655"/>
      <c r="O171" s="655"/>
      <c r="P171" s="655"/>
    </row>
    <row r="172" spans="2:16" s="536" customFormat="1" x14ac:dyDescent="0.35">
      <c r="B172" s="670"/>
      <c r="C172" s="670"/>
      <c r="D172" s="670"/>
      <c r="E172" s="670"/>
      <c r="F172" s="670"/>
      <c r="G172" s="670"/>
      <c r="H172" s="670"/>
      <c r="I172" s="670"/>
      <c r="J172" s="670"/>
      <c r="K172" s="655"/>
      <c r="L172" s="655"/>
      <c r="M172" s="655"/>
      <c r="N172" s="655"/>
      <c r="O172" s="655"/>
      <c r="P172" s="655"/>
    </row>
    <row r="173" spans="2:16" s="536" customFormat="1" x14ac:dyDescent="0.35">
      <c r="B173" s="667"/>
      <c r="C173" s="671"/>
      <c r="D173" s="655"/>
      <c r="E173" s="655"/>
      <c r="F173" s="655"/>
      <c r="G173" s="655"/>
      <c r="H173" s="655"/>
      <c r="I173" s="655"/>
      <c r="J173" s="655"/>
      <c r="K173" s="655"/>
      <c r="L173" s="655"/>
      <c r="M173" s="655"/>
      <c r="N173" s="655"/>
      <c r="O173" s="655"/>
      <c r="P173" s="655"/>
    </row>
    <row r="174" spans="2:16" s="536" customFormat="1" x14ac:dyDescent="0.35">
      <c r="B174" s="666"/>
      <c r="C174" s="666"/>
      <c r="D174" s="666"/>
      <c r="E174" s="666"/>
      <c r="F174" s="666"/>
      <c r="G174" s="666"/>
      <c r="H174" s="666"/>
      <c r="I174" s="666"/>
      <c r="J174" s="655"/>
      <c r="K174" s="655"/>
      <c r="L174" s="655"/>
      <c r="M174" s="655"/>
      <c r="N174" s="655"/>
      <c r="O174" s="655"/>
      <c r="P174" s="655"/>
    </row>
    <row r="175" spans="2:16" s="536" customFormat="1" x14ac:dyDescent="0.35">
      <c r="B175" s="666"/>
      <c r="C175" s="666"/>
      <c r="D175" s="666"/>
      <c r="E175" s="666"/>
      <c r="F175" s="666"/>
      <c r="G175" s="666"/>
      <c r="H175" s="666"/>
      <c r="I175" s="666"/>
      <c r="J175" s="655"/>
      <c r="K175" s="655"/>
      <c r="L175" s="655"/>
      <c r="M175" s="655"/>
      <c r="N175" s="655"/>
      <c r="O175" s="655"/>
      <c r="P175" s="655"/>
    </row>
    <row r="176" spans="2:16" s="536" customFormat="1" x14ac:dyDescent="0.35">
      <c r="B176" s="666"/>
      <c r="C176" s="666"/>
      <c r="D176" s="666"/>
      <c r="E176" s="666"/>
      <c r="F176" s="666"/>
      <c r="G176" s="666"/>
      <c r="H176" s="666"/>
      <c r="I176" s="666"/>
      <c r="J176" s="655"/>
      <c r="K176" s="655"/>
      <c r="L176" s="655"/>
      <c r="M176" s="655"/>
      <c r="N176" s="655"/>
      <c r="O176" s="655"/>
      <c r="P176" s="655"/>
    </row>
    <row r="177" spans="2:16" s="536" customFormat="1" x14ac:dyDescent="0.35">
      <c r="B177" s="666"/>
      <c r="C177" s="666"/>
      <c r="D177" s="655"/>
      <c r="E177" s="655"/>
      <c r="F177" s="655"/>
      <c r="G177" s="655"/>
      <c r="H177" s="655"/>
      <c r="I177" s="655"/>
      <c r="J177" s="655"/>
      <c r="K177" s="655"/>
      <c r="L177" s="655"/>
      <c r="M177" s="655"/>
      <c r="N177" s="655"/>
      <c r="O177" s="655"/>
      <c r="P177" s="655"/>
    </row>
    <row r="178" spans="2:16" s="536" customFormat="1" x14ac:dyDescent="0.35">
      <c r="B178" s="670"/>
      <c r="C178" s="670"/>
      <c r="D178" s="670"/>
      <c r="E178" s="670"/>
      <c r="F178" s="670"/>
      <c r="G178" s="670"/>
      <c r="H178" s="670"/>
      <c r="I178" s="670"/>
      <c r="J178" s="655"/>
      <c r="K178" s="655"/>
      <c r="L178" s="655"/>
      <c r="M178" s="655"/>
      <c r="N178" s="655"/>
      <c r="O178" s="655"/>
      <c r="P178" s="655"/>
    </row>
    <row r="179" spans="2:16" s="536" customFormat="1" x14ac:dyDescent="0.35">
      <c r="B179" s="668"/>
      <c r="C179" s="672"/>
      <c r="D179" s="655"/>
      <c r="E179" s="655"/>
      <c r="F179" s="655"/>
      <c r="G179" s="655"/>
      <c r="H179" s="655"/>
      <c r="I179" s="655"/>
      <c r="J179" s="655"/>
      <c r="K179" s="655"/>
      <c r="L179" s="655"/>
      <c r="M179" s="655"/>
      <c r="N179" s="655"/>
      <c r="O179" s="655"/>
      <c r="P179" s="655"/>
    </row>
    <row r="180" spans="2:16" s="536" customFormat="1" x14ac:dyDescent="0.35">
      <c r="B180" s="655"/>
      <c r="C180" s="655"/>
      <c r="D180" s="655"/>
      <c r="E180" s="655"/>
      <c r="F180" s="655"/>
      <c r="G180" s="655"/>
      <c r="H180" s="655"/>
      <c r="I180" s="655"/>
      <c r="J180" s="655"/>
      <c r="K180" s="655"/>
      <c r="L180" s="655"/>
      <c r="M180" s="655"/>
      <c r="N180" s="655"/>
      <c r="O180" s="655"/>
      <c r="P180" s="655"/>
    </row>
    <row r="181" spans="2:16" s="536" customFormat="1" x14ac:dyDescent="0.35">
      <c r="B181" s="655"/>
      <c r="C181" s="655"/>
      <c r="D181" s="655"/>
      <c r="E181" s="655"/>
      <c r="F181" s="655"/>
      <c r="G181" s="655"/>
      <c r="H181" s="655"/>
      <c r="I181" s="655"/>
      <c r="J181" s="655"/>
      <c r="K181" s="655"/>
      <c r="L181" s="655"/>
      <c r="M181" s="655"/>
      <c r="N181" s="655"/>
      <c r="O181" s="655"/>
      <c r="P181" s="655"/>
    </row>
    <row r="182" spans="2:16" s="536" customFormat="1" x14ac:dyDescent="0.35">
      <c r="B182" s="655"/>
      <c r="C182" s="655"/>
      <c r="D182" s="655"/>
      <c r="E182" s="655"/>
      <c r="F182" s="655"/>
      <c r="G182" s="655"/>
      <c r="H182" s="655"/>
      <c r="I182" s="655"/>
      <c r="J182" s="655"/>
      <c r="K182" s="655"/>
      <c r="L182" s="655"/>
      <c r="M182" s="655"/>
      <c r="N182" s="655"/>
      <c r="O182" s="655"/>
      <c r="P182" s="655"/>
    </row>
    <row r="183" spans="2:16" s="536" customFormat="1" x14ac:dyDescent="0.35">
      <c r="B183" s="667"/>
      <c r="C183" s="665"/>
      <c r="D183" s="665"/>
      <c r="E183" s="665"/>
      <c r="F183" s="665"/>
      <c r="G183" s="665"/>
      <c r="H183" s="665"/>
      <c r="I183" s="665"/>
      <c r="J183" s="655"/>
      <c r="K183" s="655"/>
      <c r="L183" s="655"/>
      <c r="M183" s="655"/>
      <c r="N183" s="655"/>
      <c r="O183" s="655"/>
      <c r="P183" s="655"/>
    </row>
    <row r="184" spans="2:16" s="536" customFormat="1" x14ac:dyDescent="0.35">
      <c r="B184" s="655"/>
      <c r="C184" s="655"/>
      <c r="D184" s="655"/>
      <c r="E184" s="655"/>
      <c r="F184" s="655"/>
      <c r="G184" s="655"/>
      <c r="H184" s="655"/>
      <c r="I184" s="655"/>
      <c r="J184" s="655"/>
      <c r="K184" s="655"/>
      <c r="L184" s="655"/>
      <c r="M184" s="655"/>
      <c r="N184" s="655"/>
      <c r="O184" s="655"/>
      <c r="P184" s="655"/>
    </row>
    <row r="185" spans="2:16" s="536" customFormat="1" x14ac:dyDescent="0.35">
      <c r="B185" s="655"/>
      <c r="C185" s="655"/>
      <c r="D185" s="655"/>
      <c r="E185" s="655"/>
      <c r="F185" s="655"/>
      <c r="G185" s="655"/>
      <c r="H185" s="655"/>
      <c r="I185" s="655"/>
      <c r="J185" s="655"/>
      <c r="K185" s="655"/>
      <c r="L185" s="655"/>
      <c r="M185" s="655"/>
      <c r="N185" s="655"/>
      <c r="O185" s="655"/>
      <c r="P185" s="655"/>
    </row>
    <row r="186" spans="2:16" s="536" customFormat="1" x14ac:dyDescent="0.35">
      <c r="B186" s="655"/>
      <c r="C186" s="655"/>
      <c r="D186" s="655"/>
      <c r="E186" s="655"/>
      <c r="F186" s="655"/>
      <c r="G186" s="655"/>
      <c r="H186" s="655"/>
      <c r="I186" s="655"/>
      <c r="J186" s="655"/>
      <c r="K186" s="655"/>
      <c r="L186" s="655"/>
      <c r="M186" s="655"/>
      <c r="N186" s="655"/>
      <c r="O186" s="655"/>
      <c r="P186" s="655"/>
    </row>
    <row r="187" spans="2:16" s="536" customFormat="1" x14ac:dyDescent="0.35">
      <c r="B187" s="655"/>
      <c r="C187" s="655"/>
      <c r="D187" s="655"/>
      <c r="E187" s="655"/>
      <c r="F187" s="655"/>
      <c r="G187" s="655"/>
      <c r="H187" s="655"/>
      <c r="I187" s="655"/>
      <c r="J187" s="655"/>
      <c r="K187" s="655"/>
      <c r="L187" s="655"/>
      <c r="M187" s="655"/>
      <c r="N187" s="655"/>
      <c r="O187" s="655"/>
      <c r="P187" s="655"/>
    </row>
    <row r="188" spans="2:16" s="536" customFormat="1" x14ac:dyDescent="0.35">
      <c r="B188" s="655"/>
      <c r="C188" s="655"/>
      <c r="D188" s="655"/>
      <c r="E188" s="655"/>
      <c r="F188" s="655"/>
      <c r="G188" s="655"/>
      <c r="H188" s="655"/>
      <c r="I188" s="655"/>
      <c r="J188" s="655"/>
      <c r="K188" s="655"/>
      <c r="L188" s="655"/>
      <c r="M188" s="655"/>
      <c r="N188" s="655"/>
      <c r="O188" s="655"/>
      <c r="P188" s="655"/>
    </row>
    <row r="189" spans="2:16" s="536" customFormat="1" x14ac:dyDescent="0.35">
      <c r="B189" s="673"/>
      <c r="C189" s="655"/>
      <c r="D189" s="655"/>
      <c r="E189" s="655"/>
      <c r="F189" s="655"/>
      <c r="G189" s="655"/>
      <c r="H189" s="655"/>
      <c r="I189" s="655"/>
      <c r="J189" s="655"/>
      <c r="K189" s="655"/>
      <c r="L189" s="655"/>
      <c r="M189" s="655"/>
      <c r="N189" s="655"/>
      <c r="O189" s="655"/>
      <c r="P189" s="655"/>
    </row>
    <row r="190" spans="2:16" s="536" customFormat="1" x14ac:dyDescent="0.35">
      <c r="B190" s="673"/>
      <c r="C190" s="655"/>
      <c r="D190" s="655"/>
      <c r="E190" s="655"/>
      <c r="F190" s="655"/>
      <c r="G190" s="655"/>
      <c r="H190" s="655"/>
      <c r="I190" s="655"/>
      <c r="J190" s="655"/>
      <c r="K190" s="655"/>
      <c r="L190" s="655"/>
      <c r="M190" s="655"/>
      <c r="N190" s="655"/>
      <c r="O190" s="655"/>
      <c r="P190" s="655"/>
    </row>
    <row r="191" spans="2:16" x14ac:dyDescent="0.35">
      <c r="B191" s="652"/>
      <c r="C191" s="651"/>
      <c r="D191" s="651"/>
      <c r="E191" s="651"/>
      <c r="F191" s="651"/>
      <c r="G191" s="651"/>
      <c r="H191" s="651"/>
      <c r="I191" s="651"/>
      <c r="J191" s="651"/>
      <c r="K191" s="651"/>
      <c r="L191" s="651"/>
      <c r="M191" s="651"/>
      <c r="N191" s="651"/>
      <c r="O191" s="651"/>
      <c r="P191" s="651"/>
    </row>
  </sheetData>
  <mergeCells count="20">
    <mergeCell ref="B67:P67"/>
    <mergeCell ref="B68:P68"/>
    <mergeCell ref="B69:P69"/>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 ref="B66:P6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historical overrides</vt:lpstr>
      <vt:lpstr>mpc</vt:lpstr>
      <vt:lpstr>Unemployment Insurance</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2021-10-22T19:21:30Z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