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204C1DBE-CACD-4A4D-B45E-7F59D8303A44}" xr6:coauthVersionLast="47" xr6:coauthVersionMax="47" xr10:uidLastSave="{00000000-0000-0000-0000-000000000000}"/>
  <bookViews>
    <workbookView xWindow="3220" yWindow="540" windowWidth="19200" windowHeight="19820" firstSheet="8" activeTab="1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52" l="1"/>
  <c r="L35" i="52"/>
  <c r="Q10" i="29" l="1"/>
  <c r="K25" i="49"/>
  <c r="L25" i="49" s="1"/>
  <c r="K9" i="52"/>
  <c r="K10" i="52"/>
  <c r="K11" i="52"/>
  <c r="K12" i="52"/>
  <c r="K13" i="52"/>
  <c r="K14" i="52"/>
  <c r="K15" i="52"/>
  <c r="K16" i="52"/>
  <c r="K17" i="52"/>
  <c r="K18" i="52"/>
  <c r="K19" i="52"/>
  <c r="K20" i="52"/>
  <c r="K21" i="52"/>
  <c r="K22" i="52"/>
  <c r="K23" i="52"/>
  <c r="K24" i="52"/>
  <c r="K25" i="52"/>
  <c r="K26" i="52"/>
  <c r="K27" i="52"/>
  <c r="K28" i="52"/>
  <c r="K29" i="52"/>
  <c r="K30" i="52"/>
  <c r="K31" i="52"/>
  <c r="K32" i="52"/>
  <c r="K33" i="52"/>
  <c r="K34" i="52"/>
  <c r="K35" i="52"/>
  <c r="K36" i="52"/>
  <c r="K37" i="52"/>
  <c r="K38" i="52"/>
  <c r="K39" i="52"/>
  <c r="K40" i="52"/>
  <c r="K41" i="52"/>
  <c r="K42" i="52"/>
  <c r="K43" i="52"/>
  <c r="K44" i="52"/>
  <c r="K45" i="52"/>
  <c r="K46" i="52"/>
  <c r="K47" i="52"/>
  <c r="K48" i="52"/>
  <c r="K49" i="52"/>
  <c r="K50" i="52"/>
  <c r="K51" i="52"/>
  <c r="K52" i="52"/>
  <c r="K53" i="52"/>
  <c r="K54" i="52"/>
  <c r="K55" i="52"/>
  <c r="K56" i="52"/>
  <c r="K57" i="52"/>
  <c r="K58" i="52"/>
  <c r="K59" i="52"/>
  <c r="K8" i="52"/>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16" i="48" l="1"/>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D4" i="35"/>
  <c r="E6" i="55" s="1"/>
  <c r="E81" i="55" s="1"/>
  <c r="P20" i="25"/>
  <c r="D9" i="35" s="1"/>
  <c r="E11" i="55" s="1"/>
  <c r="E86" i="55" s="1"/>
  <c r="R12" i="25"/>
  <c r="R14" i="25" s="1"/>
  <c r="R13" i="25" s="1"/>
  <c r="O19" i="25" l="1"/>
  <c r="C8" i="35" s="1"/>
  <c r="D10" i="55" s="1"/>
  <c r="D85" i="55" s="1"/>
  <c r="N13" i="32"/>
  <c r="N49" i="32" s="1"/>
  <c r="M22" i="32"/>
  <c r="Q21" i="32"/>
  <c r="Q22" i="32" s="1"/>
  <c r="E17" i="35" s="1"/>
  <c r="F19" i="55" s="1"/>
  <c r="F94" i="55" s="1"/>
  <c r="E61" i="55"/>
  <c r="E56" i="55"/>
  <c r="H57" i="55"/>
  <c r="H55" i="55"/>
  <c r="O13" i="32"/>
  <c r="U27" i="20"/>
  <c r="H5" i="35"/>
  <c r="I7" i="55" s="1"/>
  <c r="I82" i="55" s="1"/>
  <c r="H3" i="35"/>
  <c r="I5" i="55" s="1"/>
  <c r="I80" i="55" s="1"/>
  <c r="T46" i="20"/>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c r="P9" i="26" s="1"/>
  <c r="D10" i="35" l="1"/>
  <c r="E12" i="55" s="1"/>
  <c r="E87" i="55" s="1"/>
  <c r="Q29" i="32"/>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<sst xmlns="http://schemas.openxmlformats.org/spreadsheetml/2006/main" count="2523" uniqueCount="1237">
  <si>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</si>
  <si>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</si>
  <si>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</si>
  <si>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</si>
  <si>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</si>
  <si>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</si>
  <si>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</si>
  <si>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</si>
  <si>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</si>
  <si>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</si>
  <si>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</si>
  <si>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</si>
  <si>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</si>
  <si>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</si>
  <si>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</si>
  <si>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</si>
  <si>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</si>
  <si>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</si>
  <si>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</si>
  <si>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</si>
  <si>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</si>
  <si>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</si>
  <si>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</si>
  <si>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</si>
  <si>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</si>
  <si>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</si>
  <si>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</si>
  <si>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</si>
  <si>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</si>
  <si>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</si>
  <si>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</si>
  <si>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</si>
  <si>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</si>
  <si>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</si>
  <si>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</si>
  <si>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</si>
  <si>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</si>
  <si>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</si>
  <si>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</si>
  <si>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</si>
  <si>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</si>
  <si>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</si>
  <si>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</si>
  <si>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</si>
  <si>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</si>
  <si>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</si>
  <si>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</si>
  <si>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</si>
  <si>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</si>
  <si>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</si>
  <si>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</si>
  <si>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</si>
  <si>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</si>
  <si>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</si>
  <si>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</si>
  <si>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</si>
  <si>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</si>
  <si>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</si>
  <si>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</si>
  <si>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</si>
  <si>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</si>
  <si>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</si>
  <si>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</si>
  <si>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</si>
  <si>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</si>
  <si>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</si>
  <si>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</si>
  <si>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</si>
  <si>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</si>
  <si>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</si>
  <si>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</si>
  <si>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</si>
  <si>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</si>
  <si>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</si>
  <si>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</si>
  <si>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</si>
  <si>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</si>
  <si>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</si>
  <si>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</si>
  <si>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</si>
  <si>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</si>
  <si>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</si>
  <si>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</si>
  <si>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</si>
  <si>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</si>
  <si>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</si>
  <si>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</si>
  <si>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</si>
  <si>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</si>
  <si>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</si>
  <si>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</si>
  <si>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</si>
  <si>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</si>
  <si>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</si>
  <si>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</si>
  <si>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</si>
  <si>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</si>
  <si>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</si>
  <si>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</si>
  <si>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</si>
  <si>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</si>
  <si>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</si>
  <si>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</si>
  <si>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</si>
  <si>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</si>
  <si>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</si>
  <si>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</si>
  <si>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</si>
  <si>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</si>
  <si>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</si>
  <si>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</si>
  <si>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</si>
  <si>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</si>
  <si>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</si>
  <si>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</si>
  <si>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</si>
  <si>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</si>
  <si>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</si>
  <si>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</si>
  <si>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</si>
  <si>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</si>
  <si>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</si>
  <si>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</si>
  <si>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</si>
  <si>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</si>
  <si>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</si>
  <si>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</si>
  <si>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</si>
  <si>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</si>
  <si>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</si>
  <si>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</si>
  <si>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</si>
  <si>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</si>
  <si>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</si>
  <si>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</si>
  <si>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</si>
  <si>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</si>
  <si>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</si>
  <si>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</si>
  <si>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</si>
  <si>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</si>
  <si>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</si>
  <si>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</si>
  <si>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</si>
  <si>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</si>
  <si>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</si>
  <si>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</si>
  <si>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</si>
  <si>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</si>
  <si>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</si>
  <si>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</si>
  <si>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</si>
  <si>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</si>
  <si>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</si>
  <si>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</si>
  <si>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</si>
  <si>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</si>
  <si>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</si>
  <si>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</si>
  <si>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</si>
  <si>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</si>
  <si>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</si>
  <si>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</si>
  <si>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</si>
  <si>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</si>
  <si>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</si>
  <si>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</si>
  <si>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</si>
  <si>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</si>
  <si>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</si>
  <si>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</si>
  <si>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</si>
  <si>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</si>
  <si>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</si>
  <si>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</si>
  <si>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</si>
  <si>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</si>
  <si>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</si>
  <si>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</si>
  <si>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</si>
  <si>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</si>
  <si>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</si>
  <si>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</si>
  <si>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</si>
  <si>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</si>
  <si>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</si>
  <si>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</si>
  <si>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</si>
  <si>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</si>
  <si>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</si>
  <si>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</si>
  <si>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</si>
  <si>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</si>
  <si>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</si>
  <si>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</si>
  <si>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</si>
  <si>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</si>
  <si>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</si>
  <si>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</si>
  <si>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</si>
  <si>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</si>
  <si>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</si>
  <si>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</si>
  <si>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</si>
  <si>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</si>
  <si>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</si>
  <si>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</si>
  <si>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</si>
  <si>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</si>
  <si>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</si>
  <si>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</si>
  <si>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</si>
  <si>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</si>
  <si>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</si>
  <si>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</si>
  <si>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</si>
  <si>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</si>
  <si>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</si>
  <si>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</si>
  <si>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</si>
  <si>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</si>
  <si>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</si>
  <si>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</si>
  <si>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</si>
  <si>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</si>
  <si>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</si>
  <si>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</si>
  <si>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</si>
  <si>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</si>
  <si>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</si>
  <si>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</si>
  <si>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</si>
  <si>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</si>
  <si>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</si>
  <si>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</si>
  <si>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</si>
  <si>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</si>
  <si>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</si>
  <si>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</si>
  <si>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</si>
  <si>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</si>
  <si>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</si>
  <si>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</si>
  <si>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</si>
  <si>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</si>
  <si>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</si>
  <si>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</si>
  <si>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</si>
  <si>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</si>
  <si>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</si>
  <si>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</si>
  <si>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</si>
  <si>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</si>
  <si>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</si>
  <si>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</si>
  <si>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</si>
  <si>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</si>
  <si>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</si>
  <si>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</si>
  <si>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</si>
  <si>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</si>
  <si>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</si>
  <si>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</si>
  <si>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</si>
  <si>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</si>
  <si>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</si>
  <si>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</si>
  <si>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</si>
  <si>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</si>
  <si>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</si>
  <si>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</si>
  <si>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</si>
  <si>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</si>
  <si>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</si>
  <si>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</si>
  <si>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</si>
  <si>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</si>
  <si>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</si>
  <si>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</si>
  <si>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</si>
  <si>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</si>
  <si>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</si>
  <si>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</si>
  <si>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</si>
  <si>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</si>
  <si>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</si>
  <si>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</si>
  <si>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</si>
  <si>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</si>
  <si>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</si>
  <si>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</si>
  <si>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</si>
  <si>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</si>
  <si>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</si>
  <si>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</si>
  <si>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</si>
  <si>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</si>
  <si>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</si>
  <si>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</si>
  <si>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</si>
  <si>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</si>
  <si>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</si>
  <si>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</si>
  <si>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</si>
  <si>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</si>
  <si>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</si>
  <si>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</si>
  <si>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</si>
  <si>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</si>
  <si>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</si>
  <si>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</si>
  <si>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</si>
  <si>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</si>
  <si>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</si>
  <si>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</si>
  <si>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</si>
  <si>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</si>
  <si>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</si>
  <si>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</si>
  <si>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</si>
  <si>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</si>
  <si>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</si>
  <si>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</si>
  <si>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</si>
  <si>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</si>
  <si>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</si>
  <si>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</si>
  <si>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</si>
  <si>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</si>
  <si>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</si>
  <si>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</si>
  <si>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</si>
  <si>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</si>
  <si>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</si>
  <si>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</si>
  <si>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</si>
  <si>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</si>
  <si>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</si>
  <si>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</si>
  <si>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</si>
  <si>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</si>
  <si>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</si>
  <si>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</si>
  <si>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</si>
  <si>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</si>
  <si>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</si>
  <si>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</si>
  <si>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</si>
  <si>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</si>
  <si>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</si>
  <si>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</si>
  <si>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</si>
  <si>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</si>
  <si>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</si>
  <si>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</si>
  <si>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</si>
  <si>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</si>
  <si>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</si>
  <si>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</si>
  <si>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</si>
  <si>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</si>
  <si>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</si>
  <si>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</si>
  <si>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</si>
  <si>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</si>
  <si>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</si>
  <si>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</si>
  <si>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</si>
  <si>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</si>
  <si>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</si>
  <si>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</si>
  <si>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</si>
  <si>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</si>
  <si>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</si>
  <si>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</si>
  <si>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</si>
  <si>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</si>
  <si>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</si>
  <si>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</si>
  <si>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</si>
  <si>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</si>
  <si>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</si>
  <si>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</si>
  <si>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</si>
  <si>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</si>
  <si>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</si>
  <si>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</si>
  <si>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</si>
  <si>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</si>
  <si>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</si>
  <si>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</si>
  <si>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</si>
  <si>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</si>
  <si>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</si>
  <si>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</si>
  <si>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</si>
  <si>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</si>
  <si>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</si>
  <si>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</si>
  <si>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</si>
  <si>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</si>
  <si>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</si>
  <si>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</si>
  <si>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</si>
  <si>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</si>
  <si>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</si>
  <si>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</si>
  <si>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</si>
  <si>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</si>
  <si>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</si>
  <si>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</si>
  <si>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</si>
  <si>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</si>
  <si>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</si>
  <si>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</si>
  <si>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</si>
  <si>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</si>
  <si>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</si>
  <si>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</si>
  <si>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</si>
  <si>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</si>
  <si>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</si>
  <si>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</si>
  <si>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</si>
  <si>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</si>
  <si>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</si>
  <si>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</si>
  <si>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</si>
  <si>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</si>
  <si>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</si>
  <si>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</si>
  <si>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</si>
  <si>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</si>
  <si>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</si>
  <si>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</si>
  <si>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</si>
  <si>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</si>
  <si>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</si>
  <si>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</si>
  <si>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</si>
  <si>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</si>
  <si>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</si>
  <si>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</si>
  <si>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</si>
  <si>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</si>
  <si>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</si>
  <si>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</si>
  <si>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</si>
  <si>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</si>
  <si>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</si>
  <si>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</si>
  <si>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</si>
  <si>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</si>
  <si>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</si>
  <si>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</si>
  <si>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</si>
  <si>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</si>
  <si>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</si>
  <si>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</si>
  <si>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</si>
  <si>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</si>
  <si>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</si>
  <si>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</si>
  <si>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</si>
  <si>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</si>
  <si>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</si>
  <si>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</si>
  <si>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</si>
  <si>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</si>
  <si>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</si>
  <si>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</si>
  <si>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</si>
  <si>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</si>
  <si>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</si>
  <si>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</si>
  <si>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</si>
  <si>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</si>
  <si>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</si>
  <si>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</si>
  <si>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</si>
  <si>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</si>
  <si>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</si>
  <si>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</si>
  <si>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</si>
  <si>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</si>
  <si>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</si>
  <si>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</si>
  <si>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</si>
  <si>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</si>
  <si>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</si>
  <si>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</si>
  <si>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</si>
  <si>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</si>
  <si>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</si>
  <si>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</si>
  <si>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</si>
  <si>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</si>
  <si>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</si>
  <si>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</si>
  <si>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</si>
  <si>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</si>
  <si>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</si>
  <si>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</si>
  <si>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</si>
  <si>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</si>
  <si>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</si>
  <si>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</si>
  <si>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</si>
  <si>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</si>
  <si>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</si>
  <si>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</si>
  <si>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</si>
  <si>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</si>
  <si>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</si>
  <si>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</si>
  <si>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</si>
  <si>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</si>
  <si>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</si>
  <si>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</si>
  <si>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</si>
  <si>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</si>
  <si>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</si>
  <si>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</si>
  <si>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</si>
  <si>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</si>
  <si>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</si>
  <si>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</si>
  <si>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</si>
  <si>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</si>
  <si>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</si>
  <si>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</si>
  <si>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</si>
  <si>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</si>
  <si>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</si>
  <si>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</si>
  <si>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</si>
  <si>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</si>
  <si>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</si>
  <si>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</si>
  <si>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</si>
  <si>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</si>
  <si>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</si>
  <si>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</si>
  <si>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</si>
  <si>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</si>
  <si>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</si>
  <si>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</si>
  <si>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</si>
  <si>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</si>
  <si>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</si>
  <si>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</si>
  <si>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</si>
  <si>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</si>
  <si>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</si>
  <si>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</si>
  <si>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</si>
  <si>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</si>
  <si>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</si>
  <si>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</si>
  <si>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</si>
  <si>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</si>
  <si>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</si>
  <si>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</si>
  <si>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</si>
  <si>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</si>
  <si>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</si>
  <si>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</si>
  <si>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</si>
  <si>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</si>
  <si>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</si>
  <si>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</si>
  <si>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</si>
  <si>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</si>
  <si>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</si>
  <si>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</si>
  <si>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</si>
  <si>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</si>
  <si>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</si>
  <si>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</si>
  <si>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</si>
  <si>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</si>
  <si>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</si>
  <si>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</si>
  <si>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</si>
  <si>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</si>
  <si>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</si>
  <si>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</si>
  <si>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</si>
  <si>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</si>
  <si>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</si>
  <si>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</si>
  <si>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</si>
  <si>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</si>
  <si>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</si>
  <si>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</si>
  <si>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</si>
  <si>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</si>
  <si>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</si>
  <si>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</si>
  <si>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</si>
  <si>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</si>
  <si>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</si>
  <si>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</si>
  <si>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</si>
  <si>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</si>
  <si>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</si>
  <si>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</si>
  <si>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</si>
  <si>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</si>
  <si>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</si>
  <si>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</si>
  <si>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</si>
  <si>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</si>
  <si>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</si>
  <si>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</si>
  <si>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</si>
  <si>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</si>
  <si>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</si>
  <si>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</si>
  <si>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</si>
  <si>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</si>
  <si>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</si>
  <si>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</si>
  <si>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</si>
  <si>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</si>
  <si>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</si>
  <si>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</si>
  <si>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</si>
  <si>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</si>
  <si>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</si>
  <si>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</si>
  <si>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</si>
  <si>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</si>
  <si>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</si>
  <si>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</si>
  <si>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</si>
  <si>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</si>
  <si>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</si>
  <si>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</si>
  <si>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</si>
  <si>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</si>
  <si>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</si>
  <si>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</si>
  <si>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</si>
  <si>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</si>
  <si>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</si>
  <si>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</si>
  <si>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</si>
  <si>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</si>
  <si>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</si>
  <si>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</si>
  <si>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</si>
  <si>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</si>
  <si>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</si>
  <si>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</si>
  <si>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</si>
  <si>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</si>
  <si>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</si>
  <si>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</si>
  <si>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</si>
  <si>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</si>
  <si>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</si>
  <si>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</si>
  <si>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</si>
  <si>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</si>
  <si>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</si>
  <si>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</si>
  <si>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</si>
  <si>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</si>
  <si>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</si>
  <si>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</si>
  <si>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</si>
  <si>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</si>
  <si>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</si>
  <si>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</si>
  <si>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</si>
  <si>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</si>
  <si>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</si>
  <si>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</si>
  <si>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</si>
  <si>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</si>
  <si>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</si>
  <si>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</si>
  <si>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</si>
  <si>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</si>
  <si>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</si>
  <si>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</si>
  <si>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</si>
  <si>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</si>
  <si>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</si>
  <si>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</si>
  <si>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</si>
  <si>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</si>
  <si>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</si>
  <si>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</si>
  <si>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</si>
  <si>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</si>
  <si>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</si>
  <si>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</si>
  <si>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</si>
  <si>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</si>
  <si>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</si>
  <si>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</si>
  <si>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</si>
  <si>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</si>
  <si>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</si>
  <si>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</si>
  <si>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</si>
  <si>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</si>
  <si>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</si>
  <si>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</si>
  <si>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</si>
  <si>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</si>
  <si>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</si>
  <si>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</si>
  <si>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</si>
  <si>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</si>
  <si>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</si>
  <si>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</si>
  <si>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</si>
  <si>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</si>
  <si>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</si>
  <si>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</si>
  <si>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</si>
  <si>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</si>
  <si>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</si>
  <si>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</si>
  <si>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</si>
  <si>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</si>
  <si>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</si>
  <si>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</si>
  <si>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</si>
  <si>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</si>
  <si>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</si>
  <si>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</si>
  <si>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</si>
  <si>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</si>
  <si>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</si>
  <si>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</si>
  <si>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</si>
  <si>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</si>
  <si>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</si>
  <si>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</si>
  <si>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</si>
  <si>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</si>
  <si>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</si>
  <si>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</si>
  <si>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</si>
  <si>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</si>
  <si>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</si>
  <si>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</si>
  <si>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</si>
  <si>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</si>
  <si>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</si>
  <si>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</si>
  <si>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</si>
  <si>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</si>
  <si>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</si>
  <si>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</si>
  <si>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</si>
  <si>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</si>
  <si>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</si>
  <si>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</si>
  <si>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</si>
  <si>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</si>
  <si>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</si>
  <si>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</si>
  <si>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</si>
  <si>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</si>
  <si>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</si>
  <si>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</si>
  <si>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</si>
  <si>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</si>
  <si>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</si>
  <si>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</si>
  <si>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</si>
  <si>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</si>
  <si>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</si>
  <si>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</si>
  <si>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</si>
  <si>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</si>
  <si>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</si>
  <si>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</si>
  <si>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</si>
  <si>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</si>
  <si>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</si>
  <si>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</si>
  <si>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</si>
  <si>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</si>
  <si>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</si>
  <si>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</si>
  <si>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</si>
  <si>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</si>
  <si>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</si>
  <si>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</si>
  <si>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</si>
  <si>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</si>
  <si>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</si>
  <si>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</si>
  <si>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</si>
  <si>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</si>
  <si>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</si>
  <si>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</si>
  <si>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</si>
  <si>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</si>
  <si>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</si>
  <si>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</si>
  <si>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</si>
  <si>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</si>
  <si>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</si>
  <si>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</si>
  <si>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</si>
  <si>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</si>
  <si>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</si>
  <si>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</si>
  <si>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</si>
  <si>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</si>
  <si>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</si>
  <si>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</si>
  <si>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</si>
  <si>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</si>
  <si>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</si>
  <si>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</si>
  <si>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</si>
  <si>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</si>
  <si>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</si>
  <si>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</si>
  <si>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</si>
  <si>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</si>
  <si>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</si>
  <si>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</si>
  <si>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</si>
  <si>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</si>
  <si>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</si>
  <si>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</si>
  <si>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</si>
  <si>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</si>
  <si>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</si>
  <si>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</si>
  <si>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</si>
  <si>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</si>
  <si>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</si>
  <si>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</si>
  <si>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</si>
  <si>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</si>
  <si>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</si>
  <si>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</si>
  <si>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</si>
  <si>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</si>
  <si>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</si>
  <si>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</si>
  <si>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</si>
  <si>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</si>
  <si>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</si>
  <si>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</si>
  <si>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</si>
  <si>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</si>
  <si>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</si>
  <si>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</si>
  <si>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</si>
  <si>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</si>
  <si>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</si>
  <si>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</si>
  <si>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</si>
  <si>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</si>
  <si>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</si>
  <si>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</si>
  <si>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</si>
  <si>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</si>
  <si>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</si>
  <si>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</si>
  <si>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</si>
  <si>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</si>
  <si>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</si>
  <si>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</si>
  <si>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</si>
  <si>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</si>
  <si>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</si>
  <si>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</si>
  <si>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</si>
  <si>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</si>
  <si>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</si>
  <si>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</si>
  <si>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</si>
  <si>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</si>
  <si>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</si>
  <si>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</si>
  <si>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</si>
  <si>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</si>
  <si>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</si>
  <si>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</si>
  <si>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</si>
  <si>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</si>
  <si>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</si>
  <si>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</si>
  <si>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</si>
  <si>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</si>
  <si>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</si>
  <si>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</si>
  <si>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</si>
  <si>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</si>
  <si>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</si>
  <si>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</si>
  <si>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</si>
  <si>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</si>
  <si>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</si>
  <si>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</si>
  <si>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</si>
  <si>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</si>
  <si>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</si>
  <si>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</si>
  <si>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</si>
  <si>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</si>
  <si>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</si>
  <si>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</si>
  <si>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</si>
  <si>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</si>
  <si>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</si>
  <si>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</si>
  <si>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</si>
  <si>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</si>
  <si>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</si>
  <si>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</si>
  <si>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</si>
  <si>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</si>
  <si>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</si>
  <si>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</si>
  <si>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</si>
  <si>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</si>
  <si>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</si>
  <si>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</si>
  <si>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</si>
  <si>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</si>
  <si>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</si>
  <si>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</si>
  <si>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</si>
  <si>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</si>
  <si>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</si>
  <si>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</si>
  <si>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</si>
  <si>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</si>
  <si>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</si>
  <si>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</si>
  <si>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</si>
  <si>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</si>
  <si>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</si>
  <si>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</si>
  <si>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</si>
  <si>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</si>
  <si>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</si>
  <si>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</si>
  <si>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</si>
  <si>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</si>
  <si>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</si>
  <si>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</si>
  <si>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</si>
  <si>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</si>
  <si>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</si>
  <si>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</si>
  <si>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</si>
  <si>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</si>
  <si>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</si>
  <si>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</si>
  <si>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</si>
  <si>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</si>
  <si>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</si>
  <si>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</si>
  <si>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</si>
  <si>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</si>
  <si>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</si>
  <si>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</si>
  <si>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</si>
  <si>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</si>
  <si>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</si>
  <si>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</si>
  <si>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</si>
  <si>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</si>
  <si>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</si>
  <si>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</si>
  <si>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</si>
  <si>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</si>
  <si>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</si>
  <si>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</si>
  <si>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</si>
  <si>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</si>
  <si>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</si>
  <si>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</si>
  <si>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</si>
  <si>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</si>
  <si>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</si>
  <si>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</si>
  <si>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</si>
  <si>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</si>
  <si>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</si>
  <si>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</si>
  <si>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</si>
  <si>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</si>
  <si>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</si>
  <si>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</si>
  <si>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</si>
  <si>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</si>
  <si>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</si>
  <si>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</si>
  <si>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</si>
  <si>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</si>
  <si>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</si>
  <si>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</si>
  <si>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</si>
  <si>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</si>
  <si>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</si>
  <si>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</si>
  <si>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</si>
  <si>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</si>
  <si>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</si>
  <si>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</si>
  <si>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</si>
  <si>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</si>
  <si>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</si>
  <si>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</si>
  <si>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</si>
  <si>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</si>
  <si>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</si>
  <si>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</si>
  <si>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</si>
  <si>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</si>
  <si>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</si>
  <si>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</si>
  <si>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</si>
  <si>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</si>
  <si>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</si>
  <si>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</si>
  <si>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</si>
  <si>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</si>
  <si>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</si>
  <si>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</si>
  <si>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</si>
  <si>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</si>
  <si>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</si>
  <si>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</si>
  <si>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</si>
  <si>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</si>
  <si>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</si>
  <si>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</si>
  <si>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</si>
  <si>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</si>
  <si>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</si>
  <si>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</si>
  <si>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</si>
  <si>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</si>
  <si>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</si>
  <si>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</si>
  <si>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</si>
  <si>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</si>
  <si>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</si>
  <si>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</si>
  <si>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</si>
  <si>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</si>
  <si>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</si>
  <si>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</si>
  <si>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</si>
  <si>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</si>
  <si>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</si>
  <si>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</si>
  <si>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</si>
  <si>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</si>
  <si>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</si>
  <si>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</si>
  <si>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</si>
  <si>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</si>
  <si>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</si>
  <si>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</si>
  <si>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</si>
  <si>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</si>
  <si>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</si>
  <si>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</si>
  <si>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</si>
  <si>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</si>
  <si>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</si>
  <si>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</si>
  <si>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</si>
  <si>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</si>
  <si>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</si>
  <si>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</si>
  <si>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</si>
  <si>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</si>
  <si>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</si>
  <si>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</si>
  <si>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</si>
  <si>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</si>
  <si>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</si>
  <si>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</si>
  <si>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</si>
  <si>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</si>
  <si>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</si>
  <si>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</si>
  <si>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</si>
  <si>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</si>
  <si>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</si>
  <si>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</si>
  <si>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</si>
  <si>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</si>
  <si>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</si>
  <si>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</si>
  <si>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</si>
  <si>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</si>
  <si>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</si>
  <si>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</si>
  <si>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</si>
  <si>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</si>
  <si>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</si>
  <si>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</si>
  <si>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</si>
  <si>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</si>
  <si>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</si>
  <si>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</si>
  <si>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</si>
  <si>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</si>
  <si>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</si>
  <si>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</si>
  <si>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</si>
  <si>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</si>
  <si>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</si>
  <si>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</si>
  <si>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</si>
  <si>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</si>
  <si>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</si>
  <si>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</si>
  <si>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</si>
  <si>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</si>
  <si>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</si>
  <si>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</si>
  <si>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</si>
  <si>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</si>
  <si>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</si>
  <si>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</si>
  <si>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</si>
  <si>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</si>
  <si>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</si>
  <si>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</si>
  <si>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</si>
  <si>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</si>
  <si>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</si>
  <si>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</si>
  <si>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</si>
  <si>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</si>
  <si>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</si>
  <si>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</si>
  <si>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</si>
  <si>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</si>
  <si>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</si>
  <si>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</si>
  <si>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</si>
  <si>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</si>
  <si>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</si>
  <si>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</si>
  <si>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</si>
  <si>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</si>
  <si>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</si>
  <si>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</si>
  <si>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</si>
  <si>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</si>
  <si>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</si>
  <si>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</si>
  <si>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</si>
  <si>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</si>
  <si>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</si>
  <si>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</si>
  <si>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</si>
  <si>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</si>
  <si>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</si>
  <si>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</si>
  <si>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</si>
  <si>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</si>
  <si>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</si>
  <si>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</si>
  <si>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</si>
  <si>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</si>
  <si>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</si>
  <si>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</si>
  <si>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</si>
  <si>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</si>
  <si>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</si>
  <si>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</si>
  <si>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</si>
  <si>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</si>
  <si>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</si>
  <si>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</si>
  <si>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</si>
  <si>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</si>
  <si>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</si>
  <si>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</si>
  <si>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</si>
  <si>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</si>
  <si>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</si>
  <si>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</si>
  <si>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</si>
  <si>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</si>
  <si>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</si>
  <si>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</si>
  <si>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</si>
  <si>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</si>
  <si>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</si>
  <si>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</si>
  <si>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</si>
  <si>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</si>
  <si>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</si>
  <si>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</si>
  <si>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</si>
  <si>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</si>
  <si>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</si>
  <si>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</si>
  <si>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</si>
  <si>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</si>
  <si>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</si>
  <si>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</si>
  <si>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</si>
  <si>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</si>
  <si>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</si>
  <si>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</si>
  <si>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</si>
  <si>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</si>
  <si>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</si>
  <si>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</si>
  <si>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</si>
  <si>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</si>
  <si>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</si>
  <si>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</si>
  <si>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</si>
  <si>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</si>
  <si>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</si>
  <si>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</si>
  <si>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</si>
  <si>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</si>
  <si>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</si>
  <si>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</si>
  <si>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 based on Louise's estimates from monthly personal income for July</t>
  </si>
  <si>
    <t>reg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</si>
</sst>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2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14" fontId="15" fillId="0" borderId="0" xfId="0" applyNumberFormat="1" applyFont="1"/>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33" xfId="0" applyFill="1" applyBorder="1" applyAlignment="1">
      <alignment horizontal="center"/>
    </xf>
    <xf numFmtId="0" fontId="0" fillId="0" borderId="34" xfId="0"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baseColWidth="10" defaultColWidth="8.83203125" defaultRowHeight="15"/>
  <cols>
    <col min="2" max="2" width="29.6640625" style="977" customWidth="1"/>
    <col min="3" max="16" width="8.6640625" style="977"/>
    <col min="17" max="17" width="38.6640625" style="977" customWidth="1"/>
  </cols>
  <sheetData>
    <row r="10" spans="2:17">
      <c r="B10" s="1338" t="s">
        <v>1078</v>
      </c>
      <c r="C10" s="1339"/>
      <c r="D10" s="1339"/>
      <c r="E10" s="1339"/>
      <c r="F10" s="1339"/>
      <c r="G10" s="1339"/>
      <c r="H10" s="1339"/>
      <c r="I10" s="1339"/>
      <c r="J10" s="1339"/>
      <c r="K10" s="1339"/>
      <c r="L10" s="1339"/>
      <c r="M10" s="1339"/>
      <c r="N10" s="1339"/>
      <c r="O10" s="1339"/>
      <c r="P10" s="1339"/>
      <c r="Q10" s="1340"/>
    </row>
    <row r="11" spans="2:17">
      <c r="B11" s="1341"/>
      <c r="C11" s="1342"/>
      <c r="D11" s="1342"/>
      <c r="E11" s="1342"/>
      <c r="F11" s="1342"/>
      <c r="G11" s="1342"/>
      <c r="H11" s="1342"/>
      <c r="I11" s="1342"/>
      <c r="J11" s="1342"/>
      <c r="K11" s="1342"/>
      <c r="L11" s="1342"/>
      <c r="M11" s="1342"/>
      <c r="N11" s="1342"/>
      <c r="O11" s="1342"/>
      <c r="P11" s="1342"/>
      <c r="Q11" s="1343"/>
    </row>
    <row r="12" spans="2:17">
      <c r="B12" s="974" t="s">
        <v>1079</v>
      </c>
      <c r="C12" s="978"/>
      <c r="D12" s="978"/>
      <c r="E12" s="978"/>
      <c r="F12" s="978"/>
      <c r="G12" s="978"/>
      <c r="H12" s="978"/>
      <c r="I12" s="978"/>
      <c r="J12" s="978"/>
      <c r="K12" s="978"/>
      <c r="L12" s="978"/>
      <c r="M12" s="978"/>
      <c r="N12" s="978"/>
      <c r="O12" s="978"/>
      <c r="P12" s="978"/>
      <c r="Q12" s="979"/>
    </row>
    <row r="13" spans="2:17">
      <c r="B13" s="975" t="s">
        <v>1080</v>
      </c>
      <c r="C13" s="1344" t="s">
        <v>1094</v>
      </c>
      <c r="D13" s="1344"/>
      <c r="E13" s="1344"/>
      <c r="F13" s="1344"/>
      <c r="G13" s="1344"/>
      <c r="H13" s="1344"/>
      <c r="I13" s="1344"/>
      <c r="J13" s="1344"/>
      <c r="K13" s="1344"/>
      <c r="L13" s="1344"/>
      <c r="M13" s="1344"/>
      <c r="N13" s="1344"/>
      <c r="O13" s="1344"/>
      <c r="P13" s="1344"/>
      <c r="Q13" s="1345"/>
    </row>
    <row r="14" spans="2:17">
      <c r="B14" s="975" t="s">
        <v>1081</v>
      </c>
      <c r="C14" s="980" t="s">
        <v>1095</v>
      </c>
      <c r="D14" s="980"/>
      <c r="E14" s="980"/>
      <c r="F14" s="980"/>
      <c r="G14" s="980"/>
      <c r="H14" s="980"/>
      <c r="I14" s="980"/>
      <c r="J14" s="980"/>
      <c r="K14" s="980"/>
      <c r="L14" s="980"/>
      <c r="M14" s="980"/>
      <c r="N14" s="980"/>
      <c r="O14" s="980"/>
      <c r="P14" s="980"/>
      <c r="Q14" s="981"/>
    </row>
    <row r="15" spans="2:17" s="560" customFormat="1">
      <c r="B15" s="975" t="s">
        <v>1082</v>
      </c>
      <c r="C15" s="980" t="s">
        <v>1096</v>
      </c>
      <c r="D15" s="980"/>
      <c r="E15" s="980"/>
      <c r="F15" s="980"/>
      <c r="G15" s="980"/>
      <c r="H15" s="980"/>
      <c r="I15" s="980"/>
      <c r="J15" s="980"/>
      <c r="K15" s="980"/>
      <c r="L15" s="980"/>
      <c r="M15" s="980"/>
      <c r="N15" s="980"/>
      <c r="O15" s="980"/>
      <c r="P15" s="980"/>
      <c r="Q15" s="981"/>
    </row>
    <row r="16" spans="2:17" s="560" customFormat="1">
      <c r="B16" s="975" t="s">
        <v>1083</v>
      </c>
      <c r="C16" s="980" t="s">
        <v>1106</v>
      </c>
      <c r="D16" s="980"/>
      <c r="E16" s="980"/>
      <c r="F16" s="980"/>
      <c r="G16" s="980"/>
      <c r="H16" s="980"/>
      <c r="I16" s="980"/>
      <c r="J16" s="980"/>
      <c r="K16" s="980"/>
      <c r="L16" s="980"/>
      <c r="M16" s="980"/>
      <c r="N16" s="980"/>
      <c r="O16" s="980"/>
      <c r="P16" s="980"/>
      <c r="Q16" s="981"/>
    </row>
    <row r="17" spans="2:17" s="560" customFormat="1">
      <c r="B17" s="975" t="s">
        <v>1130</v>
      </c>
      <c r="C17" s="980" t="s">
        <v>1131</v>
      </c>
      <c r="D17" s="980"/>
      <c r="E17" s="980"/>
      <c r="F17" s="980"/>
      <c r="G17" s="980"/>
      <c r="H17" s="980"/>
      <c r="I17" s="980"/>
      <c r="J17" s="980"/>
      <c r="K17" s="980"/>
      <c r="L17" s="980"/>
      <c r="M17" s="980"/>
      <c r="N17" s="980"/>
      <c r="O17" s="980"/>
      <c r="P17" s="980"/>
      <c r="Q17" s="981"/>
    </row>
    <row r="18" spans="2:17" s="560" customFormat="1">
      <c r="B18" s="975" t="s">
        <v>1084</v>
      </c>
      <c r="C18" s="980" t="s">
        <v>1107</v>
      </c>
      <c r="D18" s="980"/>
      <c r="E18" s="980"/>
      <c r="F18" s="980"/>
      <c r="G18" s="980"/>
      <c r="H18" s="980"/>
      <c r="I18" s="980"/>
      <c r="J18" s="980"/>
      <c r="K18" s="980"/>
      <c r="L18" s="980"/>
      <c r="M18" s="980"/>
      <c r="N18" s="980"/>
      <c r="O18" s="980"/>
      <c r="P18" s="980"/>
      <c r="Q18" s="981"/>
    </row>
    <row r="19" spans="2:17" s="560" customFormat="1">
      <c r="B19" s="975" t="s">
        <v>1085</v>
      </c>
      <c r="C19" s="980" t="s">
        <v>1099</v>
      </c>
      <c r="D19" s="980"/>
      <c r="E19" s="980"/>
      <c r="F19" s="980"/>
      <c r="G19" s="980"/>
      <c r="H19" s="980"/>
      <c r="I19" s="980"/>
      <c r="J19" s="980"/>
      <c r="K19" s="980"/>
      <c r="L19" s="980"/>
      <c r="M19" s="980"/>
      <c r="N19" s="980"/>
      <c r="O19" s="980"/>
      <c r="P19" s="980"/>
      <c r="Q19" s="981"/>
    </row>
    <row r="20" spans="2:17" s="560" customFormat="1" ht="30.5" customHeight="1">
      <c r="B20" s="975" t="s">
        <v>1086</v>
      </c>
      <c r="C20" s="1336" t="s">
        <v>1100</v>
      </c>
      <c r="D20" s="1336"/>
      <c r="E20" s="1336"/>
      <c r="F20" s="1336"/>
      <c r="G20" s="1336"/>
      <c r="H20" s="1336"/>
      <c r="I20" s="1336"/>
      <c r="J20" s="1336"/>
      <c r="K20" s="1336"/>
      <c r="L20" s="1336"/>
      <c r="M20" s="1336"/>
      <c r="N20" s="1336"/>
      <c r="O20" s="1336"/>
      <c r="P20" s="1336"/>
      <c r="Q20" s="1337"/>
    </row>
    <row r="21" spans="2:17" s="560" customFormat="1">
      <c r="B21" s="975" t="s">
        <v>1189</v>
      </c>
      <c r="C21" s="980" t="s">
        <v>1188</v>
      </c>
      <c r="D21" s="980"/>
      <c r="E21" s="980"/>
      <c r="F21" s="980"/>
      <c r="G21" s="980"/>
      <c r="H21" s="980"/>
      <c r="I21" s="980"/>
      <c r="J21" s="980"/>
      <c r="K21" s="980"/>
      <c r="L21" s="980"/>
      <c r="M21" s="980"/>
      <c r="N21" s="980"/>
      <c r="O21" s="980"/>
      <c r="P21" s="980"/>
      <c r="Q21" s="981"/>
    </row>
    <row r="22" spans="2:17" s="560" customFormat="1" ht="32" customHeight="1">
      <c r="B22" s="975" t="s">
        <v>1098</v>
      </c>
      <c r="C22" s="1336" t="s">
        <v>1104</v>
      </c>
      <c r="D22" s="1336"/>
      <c r="E22" s="1336"/>
      <c r="F22" s="1336"/>
      <c r="G22" s="1336"/>
      <c r="H22" s="1336"/>
      <c r="I22" s="1336"/>
      <c r="J22" s="1336"/>
      <c r="K22" s="1336"/>
      <c r="L22" s="1336"/>
      <c r="M22" s="1336"/>
      <c r="N22" s="1336"/>
      <c r="O22" s="1336"/>
      <c r="P22" s="1336"/>
      <c r="Q22" s="1337"/>
    </row>
    <row r="23" spans="2:17" s="560" customFormat="1" ht="31" customHeight="1">
      <c r="B23" s="975" t="s">
        <v>1087</v>
      </c>
      <c r="C23" s="1336" t="s">
        <v>1105</v>
      </c>
      <c r="D23" s="1336"/>
      <c r="E23" s="1336"/>
      <c r="F23" s="1336"/>
      <c r="G23" s="1336"/>
      <c r="H23" s="1336"/>
      <c r="I23" s="1336"/>
      <c r="J23" s="1336"/>
      <c r="K23" s="1336"/>
      <c r="L23" s="1336"/>
      <c r="M23" s="1336"/>
      <c r="N23" s="1336"/>
      <c r="O23" s="1336"/>
      <c r="P23" s="1336"/>
      <c r="Q23" s="1337"/>
    </row>
    <row r="24" spans="2:17" s="560" customFormat="1">
      <c r="B24" s="975" t="s">
        <v>1088</v>
      </c>
      <c r="C24" s="980" t="s">
        <v>1115</v>
      </c>
      <c r="D24" s="980"/>
      <c r="E24" s="980"/>
      <c r="F24" s="980"/>
      <c r="G24" s="980"/>
      <c r="H24" s="980"/>
      <c r="I24" s="980"/>
      <c r="J24" s="980"/>
      <c r="K24" s="980"/>
      <c r="L24" s="980"/>
      <c r="M24" s="980"/>
      <c r="N24" s="980"/>
      <c r="O24" s="980"/>
      <c r="P24" s="980"/>
      <c r="Q24" s="981"/>
    </row>
    <row r="25" spans="2:17" s="560" customFormat="1">
      <c r="B25" s="975" t="s">
        <v>1089</v>
      </c>
      <c r="C25" s="980" t="s">
        <v>1116</v>
      </c>
      <c r="D25" s="980"/>
      <c r="E25" s="980"/>
      <c r="F25" s="980"/>
      <c r="G25" s="980"/>
      <c r="H25" s="980"/>
      <c r="I25" s="980"/>
      <c r="J25" s="980"/>
      <c r="K25" s="980"/>
      <c r="L25" s="980"/>
      <c r="M25" s="980"/>
      <c r="N25" s="980"/>
      <c r="O25" s="980"/>
      <c r="P25" s="980"/>
      <c r="Q25" s="981"/>
    </row>
    <row r="26" spans="2:17" s="560" customFormat="1">
      <c r="B26" s="975" t="s">
        <v>1090</v>
      </c>
      <c r="C26" s="980" t="s">
        <v>1103</v>
      </c>
      <c r="D26" s="980"/>
      <c r="E26" s="980"/>
      <c r="F26" s="980"/>
      <c r="G26" s="980"/>
      <c r="H26" s="980"/>
      <c r="I26" s="980"/>
      <c r="J26" s="980"/>
      <c r="K26" s="980"/>
      <c r="L26" s="980"/>
      <c r="M26" s="980"/>
      <c r="N26" s="980"/>
      <c r="O26" s="980"/>
      <c r="P26" s="980"/>
      <c r="Q26" s="981"/>
    </row>
    <row r="27" spans="2:17" s="560" customFormat="1">
      <c r="B27" s="975" t="s">
        <v>1091</v>
      </c>
      <c r="C27" s="980" t="s">
        <v>1102</v>
      </c>
      <c r="D27" s="980"/>
      <c r="E27" s="980"/>
      <c r="F27" s="980"/>
      <c r="G27" s="980"/>
      <c r="H27" s="980"/>
      <c r="I27" s="980"/>
      <c r="J27" s="980"/>
      <c r="K27" s="980"/>
      <c r="L27" s="980"/>
      <c r="M27" s="980"/>
      <c r="N27" s="980"/>
      <c r="O27" s="980"/>
      <c r="P27" s="980"/>
      <c r="Q27" s="981"/>
    </row>
    <row r="28" spans="2:17">
      <c r="B28" s="975" t="s">
        <v>1092</v>
      </c>
      <c r="C28" s="980" t="s">
        <v>1101</v>
      </c>
      <c r="D28" s="980"/>
      <c r="E28" s="980"/>
      <c r="F28" s="980"/>
      <c r="G28" s="980"/>
      <c r="H28" s="980"/>
      <c r="I28" s="980"/>
      <c r="J28" s="980"/>
      <c r="K28" s="980"/>
      <c r="L28" s="980"/>
      <c r="M28" s="980"/>
      <c r="N28" s="980"/>
      <c r="O28" s="980"/>
      <c r="P28" s="980"/>
      <c r="Q28" s="981"/>
    </row>
    <row r="29" spans="2:17">
      <c r="B29" s="975" t="s">
        <v>1093</v>
      </c>
      <c r="C29" s="980" t="s">
        <v>1097</v>
      </c>
      <c r="D29" s="980"/>
      <c r="E29" s="980"/>
      <c r="F29" s="980"/>
      <c r="G29" s="980"/>
      <c r="H29" s="980"/>
      <c r="I29" s="980"/>
      <c r="J29" s="980"/>
      <c r="K29" s="980"/>
      <c r="L29" s="980"/>
      <c r="M29" s="980"/>
      <c r="N29" s="980"/>
      <c r="O29" s="980"/>
      <c r="P29" s="980"/>
      <c r="Q29" s="981"/>
    </row>
    <row r="30" spans="2:17">
      <c r="B30" s="975"/>
      <c r="C30" s="980"/>
      <c r="D30" s="980"/>
      <c r="E30" s="980"/>
      <c r="F30" s="980"/>
      <c r="G30" s="980"/>
      <c r="H30" s="980"/>
      <c r="I30" s="980"/>
      <c r="J30" s="980"/>
      <c r="K30" s="980"/>
      <c r="L30" s="980"/>
      <c r="M30" s="980"/>
      <c r="N30" s="980"/>
      <c r="O30" s="980"/>
      <c r="P30" s="980"/>
      <c r="Q30" s="981"/>
    </row>
    <row r="31" spans="2:17">
      <c r="B31" s="976" t="s">
        <v>1114</v>
      </c>
      <c r="C31" s="980"/>
      <c r="D31" s="980"/>
      <c r="E31" s="980"/>
      <c r="F31" s="980"/>
      <c r="G31" s="980"/>
      <c r="H31" s="980"/>
      <c r="I31" s="980"/>
      <c r="J31" s="980"/>
      <c r="K31" s="980"/>
      <c r="L31" s="980"/>
      <c r="M31" s="980"/>
      <c r="N31" s="980"/>
      <c r="O31" s="980"/>
      <c r="P31" s="980"/>
      <c r="Q31" s="981"/>
    </row>
    <row r="32" spans="2:17">
      <c r="B32" s="975" t="s">
        <v>1108</v>
      </c>
      <c r="C32" s="980"/>
      <c r="D32" s="980"/>
      <c r="E32" s="980"/>
      <c r="F32" s="980"/>
      <c r="G32" s="980"/>
      <c r="H32" s="980"/>
      <c r="I32" s="980"/>
      <c r="J32" s="980"/>
      <c r="K32" s="980"/>
      <c r="L32" s="980"/>
      <c r="M32" s="980"/>
      <c r="N32" s="980"/>
      <c r="O32" s="980"/>
      <c r="P32" s="980"/>
      <c r="Q32" s="981"/>
    </row>
    <row r="33" spans="2:17" ht="30.5" customHeight="1">
      <c r="B33" s="1335" t="s">
        <v>1113</v>
      </c>
      <c r="C33" s="1336"/>
      <c r="D33" s="1336"/>
      <c r="E33" s="1336"/>
      <c r="F33" s="1336"/>
      <c r="G33" s="1336"/>
      <c r="H33" s="1336"/>
      <c r="I33" s="1336"/>
      <c r="J33" s="1336"/>
      <c r="K33" s="1336"/>
      <c r="L33" s="1336"/>
      <c r="M33" s="1336"/>
      <c r="N33" s="1336"/>
      <c r="O33" s="1336"/>
      <c r="P33" s="1336"/>
      <c r="Q33" s="1337"/>
    </row>
    <row r="34" spans="2:17">
      <c r="B34" s="985" t="s">
        <v>1109</v>
      </c>
      <c r="C34" s="980"/>
      <c r="D34" s="980"/>
      <c r="E34" s="980"/>
      <c r="F34" s="980"/>
      <c r="G34" s="980"/>
      <c r="H34" s="980"/>
      <c r="I34" s="980"/>
      <c r="J34" s="980"/>
      <c r="K34" s="980"/>
      <c r="L34" s="980"/>
      <c r="M34" s="980"/>
      <c r="N34" s="980"/>
      <c r="O34" s="980"/>
      <c r="P34" s="980"/>
      <c r="Q34" s="981"/>
    </row>
    <row r="35" spans="2:17">
      <c r="B35" s="975" t="s">
        <v>1112</v>
      </c>
      <c r="C35" s="980"/>
      <c r="D35" s="980"/>
      <c r="E35" s="980"/>
      <c r="F35" s="980"/>
      <c r="G35" s="980"/>
      <c r="H35" s="980"/>
      <c r="I35" s="980"/>
      <c r="J35" s="980"/>
      <c r="K35" s="980"/>
      <c r="L35" s="980"/>
      <c r="M35" s="980"/>
      <c r="N35" s="980"/>
      <c r="O35" s="980"/>
      <c r="P35" s="980"/>
      <c r="Q35" s="981"/>
    </row>
    <row r="36" spans="2:17">
      <c r="B36" s="975" t="s">
        <v>1110</v>
      </c>
      <c r="C36" s="980"/>
      <c r="D36" s="980"/>
      <c r="E36" s="980"/>
      <c r="F36" s="980"/>
      <c r="G36" s="980"/>
      <c r="H36" s="980"/>
      <c r="I36" s="980"/>
      <c r="J36" s="980"/>
      <c r="K36" s="980"/>
      <c r="L36" s="980"/>
      <c r="M36" s="980"/>
      <c r="N36" s="980"/>
      <c r="O36" s="980"/>
      <c r="P36" s="980"/>
      <c r="Q36" s="981"/>
    </row>
    <row r="37" spans="2:17">
      <c r="B37" s="984" t="s">
        <v>1111</v>
      </c>
      <c r="C37" s="982"/>
      <c r="D37" s="982"/>
      <c r="E37" s="982"/>
      <c r="F37" s="982"/>
      <c r="G37" s="982"/>
      <c r="H37" s="982"/>
      <c r="I37" s="982"/>
      <c r="J37" s="982"/>
      <c r="K37" s="982"/>
      <c r="L37" s="982"/>
      <c r="M37" s="982"/>
      <c r="N37" s="982"/>
      <c r="O37" s="982"/>
      <c r="P37" s="982"/>
      <c r="Q37" s="983"/>
    </row>
    <row r="40" spans="2:17">
      <c r="B40" s="986"/>
      <c r="C40" s="986"/>
      <c r="D40" s="986"/>
      <c r="E40" s="986"/>
      <c r="F40" s="986"/>
      <c r="G40" s="986"/>
      <c r="H40" s="986"/>
      <c r="I40" s="986"/>
      <c r="J40" s="986"/>
      <c r="K40" s="986"/>
      <c r="L40" s="986"/>
      <c r="M40" s="986"/>
      <c r="N40" s="986"/>
      <c r="O40" s="986"/>
      <c r="P40" s="986"/>
      <c r="Q40" s="986"/>
    </row>
    <row r="41" spans="2:17">
      <c r="B41" s="986"/>
      <c r="C41" s="986"/>
      <c r="D41" s="986"/>
      <c r="E41" s="986"/>
      <c r="F41" s="986"/>
      <c r="G41" s="986"/>
      <c r="H41" s="986"/>
      <c r="I41" s="986"/>
      <c r="J41" s="986"/>
      <c r="K41" s="986"/>
      <c r="L41" s="986"/>
      <c r="M41" s="986"/>
      <c r="N41" s="986"/>
      <c r="O41" s="986"/>
      <c r="P41" s="986"/>
      <c r="Q41" s="986"/>
    </row>
    <row r="42" spans="2:17">
      <c r="B42" s="986"/>
      <c r="C42" s="986"/>
      <c r="D42" s="986"/>
      <c r="E42" s="986"/>
      <c r="F42" s="986"/>
      <c r="G42" s="986"/>
      <c r="H42" s="986"/>
      <c r="I42" s="986"/>
      <c r="J42" s="986"/>
      <c r="K42" s="986"/>
      <c r="L42" s="986"/>
      <c r="M42" s="986"/>
      <c r="N42" s="986"/>
      <c r="O42" s="986"/>
      <c r="P42" s="986"/>
      <c r="Q42" s="986"/>
    </row>
    <row r="43" spans="2:17">
      <c r="B43" s="986"/>
      <c r="C43" s="986"/>
      <c r="D43" s="986"/>
      <c r="E43" s="986"/>
      <c r="F43" s="986"/>
      <c r="G43" s="986"/>
      <c r="H43" s="986"/>
      <c r="I43" s="986"/>
      <c r="J43" s="986"/>
      <c r="K43" s="986"/>
      <c r="L43" s="986"/>
      <c r="M43" s="986"/>
      <c r="N43" s="986"/>
      <c r="O43" s="986"/>
      <c r="P43" s="986"/>
      <c r="Q43" s="986"/>
    </row>
    <row r="44" spans="2:17">
      <c r="B44" s="986"/>
      <c r="C44" s="986"/>
      <c r="D44" s="986"/>
      <c r="E44" s="986"/>
      <c r="F44" s="986"/>
      <c r="G44" s="986"/>
      <c r="H44" s="986"/>
      <c r="I44" s="986"/>
      <c r="J44" s="986"/>
      <c r="K44" s="986"/>
      <c r="L44" s="986"/>
      <c r="M44" s="986"/>
      <c r="N44" s="986"/>
      <c r="O44" s="986"/>
      <c r="P44" s="986"/>
      <c r="Q44" s="98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591" customFormat="1">
      <c r="A1" s="550" t="s">
        <v>629</v>
      </c>
      <c r="B1" s="550" t="s">
        <v>628</v>
      </c>
      <c r="C1" s="574" t="s">
        <v>148</v>
      </c>
      <c r="D1" s="574" t="s">
        <v>149</v>
      </c>
      <c r="E1" s="574" t="s">
        <v>150</v>
      </c>
      <c r="F1" s="574" t="s">
        <v>151</v>
      </c>
      <c r="G1" s="591" t="s">
        <v>152</v>
      </c>
    </row>
    <row r="2" spans="1:7" ht="32">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tabSelected="1" workbookViewId="0">
      <selection activeCell="A9" sqref="A9"/>
    </sheetView>
  </sheetViews>
  <sheetFormatPr baseColWidth="10" defaultColWidth="10.83203125" defaultRowHeight="15"/>
  <cols>
    <col min="1" max="1" width="70.83203125" bestFit="1" customWidth="1"/>
    <col min="2" max="2" width="70.83203125" style="560" customWidth="1"/>
  </cols>
  <sheetData>
    <row r="1" spans="1:15" ht="16">
      <c r="A1" s="1362" t="s">
        <v>536</v>
      </c>
      <c r="B1" s="1362"/>
      <c r="C1" s="1362"/>
      <c r="D1" s="1362"/>
      <c r="E1" s="1362"/>
      <c r="F1" s="1362"/>
      <c r="G1" s="1362"/>
      <c r="H1" s="1362"/>
      <c r="I1" s="1362"/>
      <c r="J1" s="1362"/>
      <c r="K1" s="1362"/>
      <c r="L1" s="1362"/>
      <c r="M1" s="1362"/>
      <c r="N1" s="1362"/>
      <c r="O1" s="1362"/>
    </row>
    <row r="2" spans="1:15" ht="34">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6">
      <c r="A3" s="311" t="s">
        <v>533</v>
      </c>
      <c r="B3" s="1113" t="s">
        <v>1178</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6">
      <c r="A4" s="313" t="s">
        <v>511</v>
      </c>
      <c r="B4" s="1114" t="s">
        <v>1179</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6">
      <c r="A5" s="313" t="s">
        <v>512</v>
      </c>
      <c r="B5" s="1114" t="s">
        <v>1180</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6">
      <c r="A6" s="311" t="s">
        <v>178</v>
      </c>
      <c r="B6" s="1113"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v>0</v>
      </c>
      <c r="L6" s="331">
        <v>0</v>
      </c>
      <c r="M6" s="331">
        <v>0</v>
      </c>
      <c r="N6" s="331">
        <v>0</v>
      </c>
      <c r="O6" s="329">
        <f t="shared" si="3"/>
        <v>0.68600000000000017</v>
      </c>
    </row>
    <row r="7" spans="1:15" ht="16">
      <c r="A7" s="311" t="s">
        <v>181</v>
      </c>
      <c r="B7" s="1113" t="s">
        <v>1181</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6">
      <c r="A8" s="311" t="s">
        <v>554</v>
      </c>
      <c r="B8" s="1113" t="s">
        <v>1182</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6">
      <c r="A9" s="311" t="s">
        <v>564</v>
      </c>
      <c r="B9" s="1113" t="s">
        <v>1183</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6">
      <c r="A10" s="311" t="s">
        <v>509</v>
      </c>
      <c r="B10" s="1113"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6">
      <c r="A11" s="311" t="s">
        <v>510</v>
      </c>
      <c r="B11" s="1113" t="s">
        <v>1184</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4">
      <c r="A12" s="312" t="s">
        <v>550</v>
      </c>
      <c r="B12" s="1115" t="s">
        <v>1185</v>
      </c>
      <c r="C12" s="331">
        <v>0.2</v>
      </c>
      <c r="D12" s="331">
        <v>0.17</v>
      </c>
      <c r="E12" s="331">
        <v>0.16</v>
      </c>
      <c r="F12" s="331">
        <v>0.15</v>
      </c>
      <c r="G12" s="331">
        <v>0.09</v>
      </c>
      <c r="H12" s="331">
        <v>0.05</v>
      </c>
      <c r="I12" s="331">
        <v>0.05</v>
      </c>
      <c r="J12" s="331">
        <v>0.04</v>
      </c>
      <c r="K12" s="331">
        <v>0</v>
      </c>
      <c r="L12" s="331">
        <v>0</v>
      </c>
      <c r="M12" s="331">
        <v>0</v>
      </c>
      <c r="N12" s="331">
        <v>0</v>
      </c>
      <c r="O12" s="329">
        <f t="shared" si="3"/>
        <v>0.91000000000000014</v>
      </c>
    </row>
    <row r="13" spans="1:15" ht="34">
      <c r="A13" s="312" t="s">
        <v>535</v>
      </c>
      <c r="B13" s="1115" t="s">
        <v>1186</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34">
      <c r="A14" s="312" t="s">
        <v>565</v>
      </c>
      <c r="B14" s="1115" t="s">
        <v>1187</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baseColWidth="10" defaultColWidth="8.83203125" defaultRowHeight="15"/>
  <cols>
    <col min="2" max="2" width="38.83203125" customWidth="1"/>
    <col min="3" max="9" width="10.6640625" style="560" customWidth="1"/>
    <col min="10" max="20" width="7.1640625" customWidth="1"/>
    <col min="21" max="21" width="20.33203125" customWidth="1"/>
    <col min="22" max="22" width="11.83203125" customWidth="1"/>
  </cols>
  <sheetData>
    <row r="1" spans="1:22" s="560" customFormat="1">
      <c r="B1" s="1346" t="s">
        <v>291</v>
      </c>
      <c r="C1" s="1346"/>
      <c r="D1" s="1346"/>
      <c r="E1" s="1346"/>
      <c r="F1" s="1346"/>
      <c r="G1" s="1346"/>
      <c r="H1" s="1346"/>
      <c r="I1" s="1346"/>
      <c r="J1" s="1346"/>
      <c r="K1" s="1346"/>
      <c r="L1" s="1346"/>
      <c r="M1" s="1346"/>
      <c r="N1" s="1346"/>
      <c r="O1" s="1346"/>
      <c r="P1" s="1346"/>
      <c r="Q1" s="1346"/>
      <c r="R1" s="1346"/>
      <c r="S1" s="1346"/>
      <c r="T1" s="1346"/>
    </row>
    <row r="2" spans="1:22">
      <c r="B2" s="1363" t="s">
        <v>702</v>
      </c>
      <c r="C2" s="1363"/>
      <c r="D2" s="1363"/>
      <c r="E2" s="1363"/>
      <c r="F2" s="1363"/>
      <c r="G2" s="1363"/>
      <c r="H2" s="1363"/>
      <c r="I2" s="1363"/>
      <c r="J2" s="1363"/>
      <c r="K2" s="1363"/>
      <c r="L2" s="1363"/>
      <c r="M2" s="1363"/>
      <c r="N2" s="1363"/>
      <c r="O2" s="1363"/>
      <c r="P2" s="1363"/>
      <c r="Q2" s="1363"/>
      <c r="R2" s="1363"/>
      <c r="S2" s="1363"/>
      <c r="T2" s="1363"/>
    </row>
    <row r="3" spans="1:22">
      <c r="B3" s="1363"/>
      <c r="C3" s="1363"/>
      <c r="D3" s="1363"/>
      <c r="E3" s="1363"/>
      <c r="F3" s="1363"/>
      <c r="G3" s="1363"/>
      <c r="H3" s="1363"/>
      <c r="I3" s="1363"/>
      <c r="J3" s="1363"/>
      <c r="K3" s="1363"/>
      <c r="L3" s="1363"/>
      <c r="M3" s="1363"/>
      <c r="N3" s="1363"/>
      <c r="O3" s="1363"/>
      <c r="P3" s="1363"/>
      <c r="Q3" s="1363"/>
      <c r="R3" s="1363"/>
      <c r="S3" s="1363"/>
      <c r="T3" s="1363"/>
    </row>
    <row r="4" spans="1:22">
      <c r="B4" s="1363"/>
      <c r="C4" s="1363"/>
      <c r="D4" s="1363"/>
      <c r="E4" s="1363"/>
      <c r="F4" s="1363"/>
      <c r="G4" s="1363"/>
      <c r="H4" s="1363"/>
      <c r="I4" s="1363"/>
      <c r="J4" s="1363"/>
      <c r="K4" s="1363"/>
      <c r="L4" s="1363"/>
      <c r="M4" s="1363"/>
      <c r="N4" s="1363"/>
      <c r="O4" s="1363"/>
      <c r="P4" s="1363"/>
      <c r="Q4" s="1363"/>
      <c r="R4" s="1363"/>
      <c r="S4" s="1363"/>
      <c r="T4" s="1363"/>
    </row>
    <row r="5" spans="1:22">
      <c r="B5" s="1363"/>
      <c r="C5" s="1363"/>
      <c r="D5" s="1363"/>
      <c r="E5" s="1363"/>
      <c r="F5" s="1363"/>
      <c r="G5" s="1363"/>
      <c r="H5" s="1363"/>
      <c r="I5" s="1363"/>
      <c r="J5" s="1363"/>
      <c r="K5" s="1363"/>
      <c r="L5" s="1363"/>
      <c r="M5" s="1363"/>
      <c r="N5" s="1363"/>
      <c r="O5" s="1363"/>
      <c r="P5" s="1363"/>
      <c r="Q5" s="1363"/>
      <c r="R5" s="1363"/>
      <c r="S5" s="1363"/>
      <c r="T5" s="1363"/>
    </row>
    <row r="6" spans="1:22">
      <c r="B6" s="1363"/>
      <c r="C6" s="1363"/>
      <c r="D6" s="1363"/>
      <c r="E6" s="1363"/>
      <c r="F6" s="1363"/>
      <c r="G6" s="1363"/>
      <c r="H6" s="1363"/>
      <c r="I6" s="1363"/>
      <c r="J6" s="1363"/>
      <c r="K6" s="1363"/>
      <c r="L6" s="1363"/>
      <c r="M6" s="1363"/>
      <c r="N6" s="1363"/>
      <c r="O6" s="1363"/>
      <c r="P6" s="1363"/>
      <c r="Q6" s="1363"/>
      <c r="R6" s="1363"/>
      <c r="S6" s="1363"/>
      <c r="T6" s="1363"/>
    </row>
    <row r="7" spans="1:22">
      <c r="J7" s="298"/>
      <c r="K7" s="298"/>
      <c r="M7" s="298"/>
    </row>
    <row r="9" spans="1:22" s="301" customFormat="1" ht="14.5" customHeight="1">
      <c r="A9" s="590"/>
      <c r="B9" s="1364" t="s">
        <v>426</v>
      </c>
      <c r="C9" s="1365"/>
      <c r="D9" s="658">
        <v>2018</v>
      </c>
      <c r="E9" s="1374">
        <v>2019</v>
      </c>
      <c r="F9" s="1375"/>
      <c r="G9" s="1375"/>
      <c r="H9" s="1376"/>
      <c r="I9" s="1371">
        <v>2020</v>
      </c>
      <c r="J9" s="1372"/>
      <c r="K9" s="1372"/>
      <c r="L9" s="1373"/>
      <c r="M9" s="1377">
        <v>2021</v>
      </c>
      <c r="N9" s="1378"/>
      <c r="O9" s="1368">
        <v>2021</v>
      </c>
      <c r="P9" s="1370"/>
      <c r="Q9" s="1368">
        <v>2022</v>
      </c>
      <c r="R9" s="1369"/>
      <c r="S9" s="1369"/>
      <c r="T9" s="1370"/>
    </row>
    <row r="10" spans="1:22" s="301" customFormat="1" ht="16">
      <c r="A10" s="569"/>
      <c r="B10" s="1366"/>
      <c r="C10" s="1367"/>
      <c r="D10" s="659" t="s">
        <v>138</v>
      </c>
      <c r="E10" s="660" t="s">
        <v>135</v>
      </c>
      <c r="F10" s="655" t="s">
        <v>136</v>
      </c>
      <c r="G10" s="655" t="s">
        <v>137</v>
      </c>
      <c r="H10" s="656" t="s">
        <v>138</v>
      </c>
      <c r="I10" s="660" t="s">
        <v>135</v>
      </c>
      <c r="J10" s="655" t="s">
        <v>136</v>
      </c>
      <c r="K10" s="655" t="s">
        <v>137</v>
      </c>
      <c r="L10" s="655" t="s">
        <v>138</v>
      </c>
      <c r="M10" s="451" t="s">
        <v>135</v>
      </c>
      <c r="N10" s="948" t="s">
        <v>136</v>
      </c>
      <c r="O10" s="545" t="s">
        <v>137</v>
      </c>
      <c r="P10" s="556" t="s">
        <v>138</v>
      </c>
      <c r="Q10" s="544" t="s">
        <v>135</v>
      </c>
      <c r="R10" s="545" t="s">
        <v>136</v>
      </c>
      <c r="S10" s="545" t="s">
        <v>137</v>
      </c>
      <c r="T10" s="556" t="s">
        <v>138</v>
      </c>
    </row>
    <row r="11" spans="1:22" s="301" customFormat="1" ht="32">
      <c r="A11" s="549"/>
      <c r="B11" s="542" t="s">
        <v>695</v>
      </c>
      <c r="C11" s="597" t="s">
        <v>244</v>
      </c>
      <c r="D11" s="657"/>
      <c r="E11" s="657"/>
      <c r="F11" s="657"/>
      <c r="G11" s="657"/>
      <c r="H11" s="657"/>
      <c r="I11" s="657"/>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28"/>
    </row>
    <row r="12" spans="1:22" s="301" customFormat="1" ht="32">
      <c r="A12" s="548"/>
      <c r="B12" s="543" t="s">
        <v>697</v>
      </c>
      <c r="C12" s="541" t="s">
        <v>3</v>
      </c>
      <c r="D12" s="653"/>
      <c r="E12" s="653"/>
      <c r="F12" s="653"/>
      <c r="G12" s="653"/>
      <c r="H12" s="653"/>
      <c r="I12" s="653"/>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c r="A13" s="548"/>
      <c r="B13" s="543" t="s">
        <v>696</v>
      </c>
      <c r="C13" s="541" t="s">
        <v>250</v>
      </c>
      <c r="D13" s="653"/>
      <c r="E13" s="653"/>
      <c r="F13" s="653"/>
      <c r="G13" s="653"/>
      <c r="H13" s="653"/>
      <c r="I13" s="653"/>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06" t="s">
        <v>996</v>
      </c>
      <c r="V13" s="704" t="s">
        <v>995</v>
      </c>
    </row>
    <row r="14" spans="1:22">
      <c r="A14" s="569"/>
      <c r="B14" s="703" t="s">
        <v>5</v>
      </c>
      <c r="C14" s="552"/>
      <c r="D14" s="446"/>
      <c r="E14" s="446"/>
      <c r="F14" s="446"/>
      <c r="G14" s="446"/>
      <c r="H14" s="446"/>
      <c r="I14" s="446"/>
      <c r="J14" s="573">
        <f>J13+J12+J11</f>
        <v>321.89999999999998</v>
      </c>
      <c r="K14" s="573">
        <f>K13+K12+K11</f>
        <v>116.9</v>
      </c>
      <c r="L14" s="573">
        <f>L13+L12+L11</f>
        <v>69</v>
      </c>
      <c r="M14" s="573">
        <f>M13+M12+M11</f>
        <v>85.6</v>
      </c>
      <c r="N14" s="573">
        <f>N13+N12+N11</f>
        <v>53.2</v>
      </c>
      <c r="O14" s="947">
        <v>34.700000000000003</v>
      </c>
      <c r="P14" s="545">
        <v>27.4</v>
      </c>
      <c r="Q14" s="545">
        <v>23.1</v>
      </c>
      <c r="R14" s="545">
        <v>5.0999999999999996</v>
      </c>
      <c r="S14" s="545">
        <v>5.0999999999999996</v>
      </c>
      <c r="T14" s="556"/>
      <c r="U14" s="707">
        <v>186.5</v>
      </c>
      <c r="V14" s="705">
        <f>SUM(J14:S14)/4</f>
        <v>185.50000000000003</v>
      </c>
    </row>
    <row r="15" spans="1:22">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26">
        <f t="shared" si="4"/>
        <v>0.5</v>
      </c>
      <c r="O15" s="592">
        <f t="shared" ref="O15:P17" si="5">N15</f>
        <v>0.5</v>
      </c>
      <c r="P15" s="593">
        <f t="shared" si="5"/>
        <v>0.5</v>
      </c>
      <c r="Q15" s="593">
        <f t="shared" ref="Q15:Q17" si="6">P15</f>
        <v>0.5</v>
      </c>
      <c r="R15" s="593">
        <f t="shared" ref="R15:R17" si="7">Q15</f>
        <v>0.5</v>
      </c>
      <c r="S15" s="593">
        <f t="shared" ref="S15:S17" si="8">R15</f>
        <v>0.5</v>
      </c>
      <c r="T15" s="556"/>
    </row>
    <row r="16" spans="1:22">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26">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c r="A17" s="569"/>
      <c r="B17" s="599" t="s">
        <v>694</v>
      </c>
      <c r="C17" s="600"/>
      <c r="D17" s="654"/>
      <c r="E17" s="654"/>
      <c r="F17" s="654"/>
      <c r="G17" s="654"/>
      <c r="H17" s="654"/>
      <c r="I17" s="654"/>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c r="A18" s="569"/>
      <c r="B18" s="569"/>
      <c r="C18" s="569"/>
      <c r="D18" s="569"/>
      <c r="E18" s="569"/>
      <c r="F18" s="569"/>
      <c r="G18" s="569"/>
      <c r="H18" s="569"/>
      <c r="I18" s="569"/>
      <c r="J18" s="569"/>
      <c r="K18" s="569"/>
      <c r="L18" s="569"/>
      <c r="M18" s="569"/>
      <c r="N18" s="569"/>
      <c r="O18" s="569"/>
      <c r="P18" s="569"/>
      <c r="Q18" s="569"/>
      <c r="R18" s="569"/>
      <c r="S18" s="569"/>
      <c r="T18" s="569"/>
    </row>
    <row r="19" spans="1:20">
      <c r="A19" s="569"/>
      <c r="B19" s="569"/>
      <c r="C19" s="569"/>
      <c r="D19" s="569"/>
      <c r="E19" s="569"/>
      <c r="F19" s="569"/>
      <c r="G19" s="569"/>
      <c r="H19" s="569"/>
      <c r="I19" s="569"/>
      <c r="J19" s="569"/>
      <c r="K19" s="569"/>
      <c r="L19" s="569"/>
      <c r="M19" s="569"/>
      <c r="N19" s="569"/>
      <c r="O19" s="569"/>
      <c r="P19" s="569"/>
      <c r="Q19" s="569"/>
      <c r="R19" s="569"/>
      <c r="S19" s="569"/>
      <c r="T19" s="569"/>
    </row>
    <row r="20" spans="1:20">
      <c r="A20" s="569"/>
      <c r="B20" s="569"/>
      <c r="C20" s="569"/>
      <c r="D20" s="569"/>
      <c r="E20" s="569"/>
      <c r="F20" s="569"/>
      <c r="G20" s="569"/>
      <c r="H20" s="569"/>
      <c r="I20" s="569"/>
      <c r="J20" s="569"/>
      <c r="K20" s="569"/>
      <c r="L20" s="569"/>
      <c r="M20" s="569"/>
      <c r="N20" s="569"/>
      <c r="O20" s="569"/>
      <c r="P20" s="569"/>
      <c r="Q20" s="569"/>
      <c r="R20" s="569"/>
      <c r="S20" s="569"/>
      <c r="T20" s="569"/>
    </row>
    <row r="21" spans="1:20">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baseColWidth="10" defaultColWidth="8.6640625" defaultRowHeight="14"/>
  <cols>
    <col min="1" max="6" width="0" style="302" hidden="1" customWidth="1"/>
    <col min="7" max="7" width="8.6640625" style="302"/>
    <col min="8" max="8" width="22.6640625" style="302" customWidth="1"/>
    <col min="9" max="9" width="11.33203125" style="302" customWidth="1"/>
    <col min="10" max="10" width="13.1640625" style="302" customWidth="1"/>
    <col min="11" max="11" width="6.1640625" style="302" customWidth="1"/>
    <col min="12" max="12" width="8.83203125" style="302" bestFit="1" customWidth="1"/>
    <col min="13" max="13" width="9.33203125" style="302" bestFit="1" customWidth="1"/>
    <col min="14" max="18" width="8.83203125" style="302" bestFit="1" customWidth="1"/>
    <col min="19" max="19" width="9.5" style="302" bestFit="1" customWidth="1"/>
    <col min="20" max="16384" width="8.6640625" style="302"/>
  </cols>
  <sheetData>
    <row r="1" spans="8:22">
      <c r="H1" s="1382" t="s">
        <v>362</v>
      </c>
      <c r="I1" s="1382"/>
      <c r="J1" s="1382"/>
      <c r="K1" s="1382"/>
      <c r="L1" s="1382"/>
      <c r="M1" s="1382"/>
      <c r="N1" s="1382"/>
      <c r="O1" s="1382"/>
      <c r="P1" s="1382"/>
      <c r="Q1" s="1382"/>
      <c r="R1" s="1382"/>
      <c r="S1" s="1382"/>
    </row>
    <row r="2" spans="8:22">
      <c r="H2" s="1380" t="s">
        <v>633</v>
      </c>
      <c r="I2" s="1381"/>
      <c r="J2" s="1381"/>
      <c r="K2" s="1381"/>
      <c r="L2" s="1381"/>
      <c r="M2" s="1381"/>
      <c r="N2" s="1381"/>
      <c r="O2" s="1381"/>
      <c r="P2" s="1381"/>
      <c r="Q2" s="1381"/>
      <c r="R2" s="1381"/>
      <c r="S2" s="1381"/>
    </row>
    <row r="3" spans="8:22">
      <c r="H3" s="1381"/>
      <c r="I3" s="1381"/>
      <c r="J3" s="1381"/>
      <c r="K3" s="1381"/>
      <c r="L3" s="1381"/>
      <c r="M3" s="1381"/>
      <c r="N3" s="1381"/>
      <c r="O3" s="1381"/>
      <c r="P3" s="1381"/>
      <c r="Q3" s="1381"/>
      <c r="R3" s="1381"/>
      <c r="S3" s="1381"/>
    </row>
    <row r="4" spans="8:22">
      <c r="H4" s="1381"/>
      <c r="I4" s="1381"/>
      <c r="J4" s="1381"/>
      <c r="K4" s="1381"/>
      <c r="L4" s="1381"/>
      <c r="M4" s="1381"/>
      <c r="N4" s="1381"/>
      <c r="O4" s="1381"/>
      <c r="P4" s="1381"/>
      <c r="Q4" s="1381"/>
      <c r="R4" s="1381"/>
      <c r="S4" s="1381"/>
    </row>
    <row r="5" spans="8:22" ht="54.5" customHeight="1">
      <c r="H5" s="1381"/>
      <c r="I5" s="1381"/>
      <c r="J5" s="1381"/>
      <c r="K5" s="1381"/>
      <c r="L5" s="1381"/>
      <c r="M5" s="1381"/>
      <c r="N5" s="1381"/>
      <c r="O5" s="1381"/>
      <c r="P5" s="1381"/>
      <c r="Q5" s="1381"/>
      <c r="R5" s="1381"/>
      <c r="S5" s="1381"/>
    </row>
    <row r="6" spans="8:22">
      <c r="H6" s="412"/>
      <c r="I6" s="412"/>
      <c r="J6" s="412"/>
      <c r="K6" s="412"/>
      <c r="L6" s="412"/>
      <c r="M6" s="412"/>
      <c r="N6" s="412"/>
      <c r="O6" s="412"/>
      <c r="P6" s="412"/>
      <c r="Q6" s="412"/>
      <c r="R6" s="412"/>
      <c r="S6" s="412"/>
    </row>
    <row r="7" spans="8:22">
      <c r="H7" s="396" t="s">
        <v>490</v>
      </c>
    </row>
    <row r="8" spans="8:22" ht="16" customHeight="1"/>
    <row r="9" spans="8:22" ht="15.5" customHeight="1">
      <c r="L9" s="1383">
        <v>2020</v>
      </c>
      <c r="M9" s="1384"/>
      <c r="N9" s="1384"/>
      <c r="O9" s="925">
        <v>2021</v>
      </c>
      <c r="P9" s="1011"/>
      <c r="Q9" s="903"/>
      <c r="R9" s="904"/>
      <c r="S9" s="413"/>
    </row>
    <row r="10" spans="8:22" s="44" customFormat="1" ht="30">
      <c r="H10" s="417" t="s">
        <v>491</v>
      </c>
      <c r="I10" s="417" t="s">
        <v>492</v>
      </c>
      <c r="J10" s="445" t="s">
        <v>493</v>
      </c>
      <c r="K10" s="416"/>
      <c r="L10" s="905" t="s">
        <v>136</v>
      </c>
      <c r="M10" s="924" t="s">
        <v>137</v>
      </c>
      <c r="N10" s="924" t="s">
        <v>138</v>
      </c>
      <c r="O10" s="924" t="s">
        <v>135</v>
      </c>
      <c r="P10" s="1012" t="s">
        <v>136</v>
      </c>
      <c r="Q10" s="414" t="s">
        <v>137</v>
      </c>
      <c r="R10" s="415" t="s">
        <v>138</v>
      </c>
      <c r="S10" s="595" t="s">
        <v>703</v>
      </c>
      <c r="T10" s="416"/>
      <c r="U10" s="416"/>
      <c r="V10" s="416"/>
    </row>
    <row r="11" spans="8:22">
      <c r="H11" s="421">
        <v>43934</v>
      </c>
      <c r="I11" s="48">
        <v>248</v>
      </c>
      <c r="J11" s="379">
        <f>I11</f>
        <v>248</v>
      </c>
      <c r="K11" s="389"/>
      <c r="L11" s="439">
        <f>S11/26*J11</f>
        <v>95.384615384615387</v>
      </c>
      <c r="M11" s="440">
        <f>13/26*J11</f>
        <v>124</v>
      </c>
      <c r="N11" s="440">
        <f>J11-SUM(L11:M11)</f>
        <v>28.615384615384613</v>
      </c>
      <c r="O11" s="440"/>
      <c r="P11" s="1009"/>
      <c r="Q11" s="437"/>
      <c r="R11" s="438"/>
      <c r="S11" s="419">
        <v>10</v>
      </c>
      <c r="T11" s="389"/>
      <c r="U11" s="420"/>
      <c r="V11" s="419"/>
    </row>
    <row r="12" spans="8:22">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09"/>
      <c r="Q12" s="440"/>
      <c r="R12" s="441"/>
      <c r="S12" s="389">
        <v>10</v>
      </c>
      <c r="T12" s="389"/>
      <c r="U12" s="389"/>
      <c r="V12" s="389"/>
    </row>
    <row r="13" spans="8:22">
      <c r="H13" s="422">
        <v>43952</v>
      </c>
      <c r="I13" s="48">
        <v>518</v>
      </c>
      <c r="J13" s="379">
        <f>I13-I12</f>
        <v>176</v>
      </c>
      <c r="K13" s="389"/>
      <c r="L13" s="439">
        <f t="shared" si="0"/>
        <v>54.15384615384616</v>
      </c>
      <c r="M13" s="440">
        <f t="shared" si="1"/>
        <v>88</v>
      </c>
      <c r="N13" s="440">
        <f t="shared" si="2"/>
        <v>33.84615384615384</v>
      </c>
      <c r="O13" s="440"/>
      <c r="P13" s="1009"/>
      <c r="Q13" s="440"/>
      <c r="R13" s="441"/>
      <c r="S13" s="389">
        <v>8</v>
      </c>
      <c r="T13" s="389"/>
      <c r="U13" s="389"/>
      <c r="V13" s="389"/>
    </row>
    <row r="14" spans="8:22">
      <c r="H14" s="422">
        <v>43959</v>
      </c>
      <c r="I14" s="48">
        <v>531</v>
      </c>
      <c r="J14" s="379">
        <f t="shared" ref="J14:J45" si="3">I14-I13</f>
        <v>13</v>
      </c>
      <c r="K14" s="389"/>
      <c r="L14" s="439">
        <f t="shared" si="0"/>
        <v>3.5</v>
      </c>
      <c r="M14" s="440">
        <f t="shared" si="1"/>
        <v>6.5</v>
      </c>
      <c r="N14" s="440">
        <f t="shared" si="2"/>
        <v>3</v>
      </c>
      <c r="O14" s="440"/>
      <c r="P14" s="1009"/>
      <c r="Q14" s="440"/>
      <c r="R14" s="441"/>
      <c r="S14" s="389">
        <f t="shared" ref="S14:S20" si="4">S13-1</f>
        <v>7</v>
      </c>
      <c r="T14" s="389"/>
      <c r="U14" s="389"/>
      <c r="V14" s="389"/>
    </row>
    <row r="15" spans="8:22">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09"/>
      <c r="Q15" s="440"/>
      <c r="R15" s="441"/>
      <c r="S15" s="389">
        <f t="shared" si="4"/>
        <v>6</v>
      </c>
      <c r="T15" s="389"/>
      <c r="U15" s="389"/>
      <c r="V15" s="389"/>
    </row>
    <row r="16" spans="8:22">
      <c r="H16" s="422">
        <v>43974</v>
      </c>
      <c r="I16" s="48">
        <v>511</v>
      </c>
      <c r="J16" s="379">
        <f t="shared" si="3"/>
        <v>-2</v>
      </c>
      <c r="K16" s="389"/>
      <c r="L16" s="439">
        <f t="shared" si="5"/>
        <v>-0.38461538461538464</v>
      </c>
      <c r="M16" s="440">
        <f t="shared" si="6"/>
        <v>-1</v>
      </c>
      <c r="N16" s="440">
        <f t="shared" si="7"/>
        <v>-0.61538461538461542</v>
      </c>
      <c r="O16" s="440"/>
      <c r="P16" s="1009"/>
      <c r="Q16" s="440"/>
      <c r="R16" s="441"/>
      <c r="S16" s="389">
        <f t="shared" si="4"/>
        <v>5</v>
      </c>
      <c r="T16" s="389"/>
      <c r="U16" s="389"/>
      <c r="V16" s="389"/>
    </row>
    <row r="17" spans="8:22">
      <c r="H17" s="422">
        <v>43981</v>
      </c>
      <c r="I17" s="48">
        <v>510</v>
      </c>
      <c r="J17" s="379">
        <f t="shared" si="3"/>
        <v>-1</v>
      </c>
      <c r="K17" s="389"/>
      <c r="L17" s="439">
        <f t="shared" si="5"/>
        <v>-0.15384615384615385</v>
      </c>
      <c r="M17" s="440">
        <f t="shared" si="6"/>
        <v>-0.5</v>
      </c>
      <c r="N17" s="440">
        <f t="shared" si="7"/>
        <v>-0.34615384615384615</v>
      </c>
      <c r="O17" s="440"/>
      <c r="P17" s="1009"/>
      <c r="Q17" s="440"/>
      <c r="R17" s="441"/>
      <c r="S17" s="389">
        <f t="shared" si="4"/>
        <v>4</v>
      </c>
      <c r="T17" s="389"/>
      <c r="U17" s="389"/>
      <c r="V17" s="389"/>
    </row>
    <row r="18" spans="8:22">
      <c r="H18" s="422">
        <v>43988</v>
      </c>
      <c r="I18" s="48">
        <v>511</v>
      </c>
      <c r="J18" s="379">
        <f t="shared" si="3"/>
        <v>1</v>
      </c>
      <c r="K18" s="389"/>
      <c r="L18" s="439">
        <f t="shared" si="0"/>
        <v>0.11538461538461539</v>
      </c>
      <c r="M18" s="440">
        <f t="shared" si="1"/>
        <v>0.5</v>
      </c>
      <c r="N18" s="440">
        <f t="shared" si="2"/>
        <v>0.38461538461538458</v>
      </c>
      <c r="O18" s="440"/>
      <c r="P18" s="1009"/>
      <c r="Q18" s="440"/>
      <c r="R18" s="441"/>
      <c r="S18" s="389">
        <f t="shared" si="4"/>
        <v>3</v>
      </c>
      <c r="T18" s="389"/>
      <c r="U18" s="389"/>
      <c r="V18" s="389"/>
    </row>
    <row r="19" spans="8:22">
      <c r="H19" s="422">
        <v>43994</v>
      </c>
      <c r="I19" s="48">
        <v>512</v>
      </c>
      <c r="J19" s="379">
        <f t="shared" si="3"/>
        <v>1</v>
      </c>
      <c r="K19" s="389"/>
      <c r="L19" s="439">
        <f t="shared" si="0"/>
        <v>7.6923076923076927E-2</v>
      </c>
      <c r="M19" s="440">
        <f t="shared" si="1"/>
        <v>0.5</v>
      </c>
      <c r="N19" s="440">
        <f t="shared" si="2"/>
        <v>0.42307692307692313</v>
      </c>
      <c r="O19" s="440"/>
      <c r="P19" s="1009"/>
      <c r="Q19" s="440"/>
      <c r="R19" s="441"/>
      <c r="S19" s="389">
        <f t="shared" si="4"/>
        <v>2</v>
      </c>
      <c r="T19" s="389"/>
      <c r="U19" s="389"/>
      <c r="V19" s="389"/>
    </row>
    <row r="20" spans="8:22">
      <c r="H20" s="422">
        <v>44002</v>
      </c>
      <c r="I20" s="48">
        <v>515</v>
      </c>
      <c r="J20" s="379">
        <f t="shared" si="3"/>
        <v>3</v>
      </c>
      <c r="K20" s="389"/>
      <c r="L20" s="439">
        <f t="shared" si="0"/>
        <v>0.11538461538461539</v>
      </c>
      <c r="M20" s="440">
        <f t="shared" si="1"/>
        <v>1.5</v>
      </c>
      <c r="N20" s="440">
        <f t="shared" si="2"/>
        <v>1.3846153846153846</v>
      </c>
      <c r="O20" s="440"/>
      <c r="P20" s="1009"/>
      <c r="Q20" s="440"/>
      <c r="R20" s="441"/>
      <c r="S20" s="389">
        <f t="shared" si="4"/>
        <v>1</v>
      </c>
      <c r="T20" s="389"/>
      <c r="U20" s="389"/>
      <c r="V20" s="389"/>
    </row>
    <row r="21" spans="8:22">
      <c r="H21" s="422">
        <v>44009</v>
      </c>
      <c r="I21" s="48">
        <v>519</v>
      </c>
      <c r="J21" s="379">
        <f t="shared" si="3"/>
        <v>4</v>
      </c>
      <c r="K21" s="389"/>
      <c r="L21" s="439"/>
      <c r="M21" s="440">
        <f>S21/26*J21</f>
        <v>2</v>
      </c>
      <c r="N21" s="440">
        <f t="shared" si="2"/>
        <v>2</v>
      </c>
      <c r="O21" s="440"/>
      <c r="P21" s="1009"/>
      <c r="Q21" s="440"/>
      <c r="R21" s="441"/>
      <c r="S21" s="389">
        <v>13</v>
      </c>
      <c r="T21" s="389"/>
      <c r="U21" s="389"/>
      <c r="V21" s="389"/>
    </row>
    <row r="22" spans="8:22">
      <c r="H22" s="422">
        <v>44012</v>
      </c>
      <c r="I22" s="48">
        <v>521</v>
      </c>
      <c r="J22" s="379">
        <f t="shared" si="3"/>
        <v>2</v>
      </c>
      <c r="K22" s="389"/>
      <c r="L22" s="439"/>
      <c r="M22" s="440">
        <f t="shared" ref="M22:M26" si="8">S22/26*J22</f>
        <v>1</v>
      </c>
      <c r="N22" s="440">
        <f>J22-SUM(L22:M22)</f>
        <v>1</v>
      </c>
      <c r="O22" s="440"/>
      <c r="P22" s="1009"/>
      <c r="Q22" s="440"/>
      <c r="R22" s="441"/>
      <c r="S22" s="389">
        <v>13</v>
      </c>
      <c r="T22" s="389"/>
      <c r="U22" s="389"/>
      <c r="V22" s="389"/>
    </row>
    <row r="23" spans="8:22">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09"/>
      <c r="Q23" s="440"/>
      <c r="R23" s="441"/>
      <c r="S23" s="389">
        <f>S22-3</f>
        <v>10</v>
      </c>
      <c r="T23" s="389"/>
      <c r="U23" s="389"/>
      <c r="V23" s="389"/>
    </row>
    <row r="24" spans="8:22">
      <c r="H24" s="422">
        <v>44036</v>
      </c>
      <c r="I24" s="48">
        <v>520</v>
      </c>
      <c r="J24" s="379">
        <f t="shared" si="3"/>
        <v>2</v>
      </c>
      <c r="K24" s="389"/>
      <c r="L24" s="439"/>
      <c r="M24" s="440">
        <f t="shared" si="8"/>
        <v>0.69230769230769229</v>
      </c>
      <c r="N24" s="440">
        <f t="shared" ref="N24:N26" si="12">13/26*J24</f>
        <v>1</v>
      </c>
      <c r="O24" s="440">
        <f t="shared" ref="O24:O26" si="13">J24-N24-M24</f>
        <v>0.30769230769230771</v>
      </c>
      <c r="P24" s="1009"/>
      <c r="Q24" s="440"/>
      <c r="R24" s="441"/>
      <c r="S24" s="389">
        <f>S23-1</f>
        <v>9</v>
      </c>
      <c r="T24" s="389"/>
      <c r="U24" s="389"/>
      <c r="V24" s="389"/>
    </row>
    <row r="25" spans="8:22">
      <c r="H25" s="422">
        <v>44043</v>
      </c>
      <c r="I25" s="48">
        <v>521</v>
      </c>
      <c r="J25" s="379">
        <f t="shared" si="3"/>
        <v>1</v>
      </c>
      <c r="K25" s="389"/>
      <c r="L25" s="439"/>
      <c r="M25" s="440">
        <f t="shared" si="8"/>
        <v>0.30769230769230771</v>
      </c>
      <c r="N25" s="440">
        <f t="shared" si="12"/>
        <v>0.5</v>
      </c>
      <c r="O25" s="440">
        <f t="shared" si="13"/>
        <v>0.19230769230769229</v>
      </c>
      <c r="P25" s="1009"/>
      <c r="Q25" s="440"/>
      <c r="R25" s="441"/>
      <c r="S25" s="389">
        <f>S24-1</f>
        <v>8</v>
      </c>
      <c r="T25" s="389"/>
      <c r="U25" s="389"/>
      <c r="V25" s="389"/>
    </row>
    <row r="26" spans="8:22">
      <c r="H26" s="422">
        <v>44051</v>
      </c>
      <c r="I26" s="48">
        <v>525</v>
      </c>
      <c r="J26" s="379">
        <f t="shared" si="3"/>
        <v>4</v>
      </c>
      <c r="K26" s="389"/>
      <c r="L26" s="439"/>
      <c r="M26" s="440">
        <f t="shared" si="8"/>
        <v>1.0769230769230769</v>
      </c>
      <c r="N26" s="440">
        <f t="shared" si="12"/>
        <v>2</v>
      </c>
      <c r="O26" s="440">
        <f t="shared" si="13"/>
        <v>0.92307692307692313</v>
      </c>
      <c r="P26" s="1009"/>
      <c r="Q26" s="440"/>
      <c r="R26" s="441"/>
      <c r="S26" s="389">
        <f>S25-1</f>
        <v>7</v>
      </c>
      <c r="T26" s="389"/>
      <c r="U26" s="389"/>
      <c r="V26" s="389"/>
    </row>
    <row r="27" spans="8:22">
      <c r="H27" s="422">
        <v>44220</v>
      </c>
      <c r="I27" s="48">
        <v>558</v>
      </c>
      <c r="J27" s="379">
        <f t="shared" si="3"/>
        <v>33</v>
      </c>
      <c r="K27" s="389"/>
      <c r="L27" s="439"/>
      <c r="M27" s="440"/>
      <c r="N27" s="440"/>
      <c r="O27" s="440">
        <f>S27/26*J27</f>
        <v>12.692307692307693</v>
      </c>
      <c r="P27" s="1009">
        <f>J27/2</f>
        <v>16.5</v>
      </c>
      <c r="Q27" s="440">
        <f>J27-P27-O27</f>
        <v>3.8076923076923066</v>
      </c>
      <c r="R27" s="441"/>
      <c r="S27" s="389">
        <v>10</v>
      </c>
      <c r="T27" s="389">
        <v>10</v>
      </c>
      <c r="U27" s="389"/>
      <c r="V27" s="389"/>
    </row>
    <row r="28" spans="8:22">
      <c r="H28" s="422">
        <v>44227</v>
      </c>
      <c r="I28" s="48">
        <v>596</v>
      </c>
      <c r="J28" s="379">
        <f t="shared" si="3"/>
        <v>38</v>
      </c>
      <c r="K28" s="389"/>
      <c r="L28" s="439"/>
      <c r="M28" s="440"/>
      <c r="N28" s="440"/>
      <c r="O28" s="440">
        <f t="shared" ref="O28:O36" si="14">S28/26*J28</f>
        <v>13.153846153846153</v>
      </c>
      <c r="P28" s="1009">
        <f t="shared" ref="P28:P36" si="15">J28/2</f>
        <v>19</v>
      </c>
      <c r="Q28" s="440">
        <f t="shared" ref="Q28:Q36" si="16">J28-P28-O28</f>
        <v>5.8461538461538467</v>
      </c>
      <c r="R28" s="441"/>
      <c r="S28" s="389">
        <f>S27-1</f>
        <v>9</v>
      </c>
      <c r="T28" s="389">
        <f>T27-1</f>
        <v>9</v>
      </c>
      <c r="U28" s="389"/>
      <c r="V28" s="389"/>
    </row>
    <row r="29" spans="8:22">
      <c r="H29" s="422">
        <v>44234</v>
      </c>
      <c r="I29" s="48">
        <v>623</v>
      </c>
      <c r="J29" s="379">
        <f t="shared" si="3"/>
        <v>27</v>
      </c>
      <c r="K29" s="389"/>
      <c r="L29" s="439"/>
      <c r="M29" s="440"/>
      <c r="N29" s="440"/>
      <c r="O29" s="440">
        <f t="shared" si="14"/>
        <v>8.3076923076923084</v>
      </c>
      <c r="P29" s="1009">
        <f t="shared" si="15"/>
        <v>13.5</v>
      </c>
      <c r="Q29" s="440">
        <f t="shared" si="16"/>
        <v>5.1923076923076916</v>
      </c>
      <c r="R29" s="441"/>
      <c r="S29" s="389">
        <f t="shared" ref="S29:S36" si="17">S28-1</f>
        <v>8</v>
      </c>
      <c r="T29" s="389">
        <f t="shared" ref="T29:T36" si="18">T28-1</f>
        <v>8</v>
      </c>
      <c r="U29" s="389"/>
      <c r="V29" s="389"/>
    </row>
    <row r="30" spans="8:22">
      <c r="H30" s="422">
        <v>44242</v>
      </c>
      <c r="I30" s="48">
        <v>648</v>
      </c>
      <c r="J30" s="379">
        <f t="shared" si="3"/>
        <v>25</v>
      </c>
      <c r="K30" s="389"/>
      <c r="L30" s="439"/>
      <c r="M30" s="440"/>
      <c r="N30" s="440"/>
      <c r="O30" s="440">
        <f t="shared" si="14"/>
        <v>6.7307692307692308</v>
      </c>
      <c r="P30" s="1009">
        <f t="shared" si="15"/>
        <v>12.5</v>
      </c>
      <c r="Q30" s="440">
        <f t="shared" si="16"/>
        <v>5.7692307692307692</v>
      </c>
      <c r="R30" s="441"/>
      <c r="S30" s="389">
        <f t="shared" si="17"/>
        <v>7</v>
      </c>
      <c r="T30" s="389">
        <f t="shared" si="18"/>
        <v>7</v>
      </c>
      <c r="U30" s="389"/>
      <c r="V30" s="389"/>
    </row>
    <row r="31" spans="8:22">
      <c r="H31" s="422">
        <v>44248</v>
      </c>
      <c r="I31" s="48">
        <v>663</v>
      </c>
      <c r="J31" s="379">
        <f t="shared" si="3"/>
        <v>15</v>
      </c>
      <c r="K31" s="389"/>
      <c r="L31" s="439"/>
      <c r="M31" s="440"/>
      <c r="N31" s="440"/>
      <c r="O31" s="440">
        <f t="shared" si="14"/>
        <v>3.4615384615384617</v>
      </c>
      <c r="P31" s="1009">
        <f t="shared" si="15"/>
        <v>7.5</v>
      </c>
      <c r="Q31" s="440">
        <f t="shared" si="16"/>
        <v>4.0384615384615383</v>
      </c>
      <c r="R31" s="441"/>
      <c r="S31" s="389">
        <f t="shared" si="17"/>
        <v>6</v>
      </c>
      <c r="T31" s="389">
        <f t="shared" si="18"/>
        <v>6</v>
      </c>
      <c r="U31" s="389"/>
      <c r="V31" s="389"/>
    </row>
    <row r="32" spans="8:22">
      <c r="H32" s="422">
        <v>44255</v>
      </c>
      <c r="I32" s="48">
        <v>679</v>
      </c>
      <c r="J32" s="379">
        <f t="shared" si="3"/>
        <v>16</v>
      </c>
      <c r="K32" s="389"/>
      <c r="L32" s="439"/>
      <c r="M32" s="440"/>
      <c r="N32" s="440"/>
      <c r="O32" s="440">
        <f t="shared" si="14"/>
        <v>3.0769230769230771</v>
      </c>
      <c r="P32" s="1009">
        <f t="shared" si="15"/>
        <v>8</v>
      </c>
      <c r="Q32" s="440">
        <f t="shared" si="16"/>
        <v>4.9230769230769234</v>
      </c>
      <c r="R32" s="441"/>
      <c r="S32" s="389">
        <f t="shared" si="17"/>
        <v>5</v>
      </c>
      <c r="T32" s="389">
        <f t="shared" si="18"/>
        <v>5</v>
      </c>
      <c r="U32" s="389"/>
      <c r="V32" s="389"/>
    </row>
    <row r="33" spans="8:26">
      <c r="H33" s="422">
        <v>44262</v>
      </c>
      <c r="I33" s="48">
        <v>687</v>
      </c>
      <c r="J33" s="379">
        <f t="shared" si="3"/>
        <v>8</v>
      </c>
      <c r="K33" s="389"/>
      <c r="L33" s="439"/>
      <c r="M33" s="440"/>
      <c r="N33" s="440"/>
      <c r="O33" s="440">
        <f t="shared" si="14"/>
        <v>1.2307692307692308</v>
      </c>
      <c r="P33" s="1009">
        <f t="shared" si="15"/>
        <v>4</v>
      </c>
      <c r="Q33" s="440">
        <f t="shared" si="16"/>
        <v>2.7692307692307692</v>
      </c>
      <c r="R33" s="441"/>
      <c r="S33" s="389">
        <f t="shared" si="17"/>
        <v>4</v>
      </c>
      <c r="T33" s="389">
        <f t="shared" si="18"/>
        <v>4</v>
      </c>
      <c r="U33" s="389"/>
      <c r="V33" s="389"/>
    </row>
    <row r="34" spans="8:26">
      <c r="H34" s="422">
        <v>44269</v>
      </c>
      <c r="I34" s="48">
        <v>704</v>
      </c>
      <c r="J34" s="379">
        <f t="shared" si="3"/>
        <v>17</v>
      </c>
      <c r="K34" s="389"/>
      <c r="L34" s="439"/>
      <c r="M34" s="440"/>
      <c r="N34" s="440"/>
      <c r="O34" s="440">
        <f t="shared" si="14"/>
        <v>1.9615384615384617</v>
      </c>
      <c r="P34" s="1009">
        <f t="shared" si="15"/>
        <v>8.5</v>
      </c>
      <c r="Q34" s="440">
        <f t="shared" si="16"/>
        <v>6.5384615384615383</v>
      </c>
      <c r="R34" s="441"/>
      <c r="S34" s="389">
        <f t="shared" si="17"/>
        <v>3</v>
      </c>
      <c r="T34" s="389">
        <f t="shared" si="18"/>
        <v>3</v>
      </c>
      <c r="U34" s="389"/>
      <c r="V34" s="389"/>
    </row>
    <row r="35" spans="8:26">
      <c r="H35" s="422">
        <v>44276</v>
      </c>
      <c r="I35" s="48">
        <v>718</v>
      </c>
      <c r="J35" s="379">
        <f t="shared" si="3"/>
        <v>14</v>
      </c>
      <c r="K35" s="389"/>
      <c r="L35" s="439"/>
      <c r="M35" s="440"/>
      <c r="N35" s="440"/>
      <c r="O35" s="440">
        <f t="shared" si="14"/>
        <v>1.0769230769230771</v>
      </c>
      <c r="P35" s="1009">
        <f t="shared" si="15"/>
        <v>7</v>
      </c>
      <c r="Q35" s="440">
        <f t="shared" si="16"/>
        <v>5.9230769230769234</v>
      </c>
      <c r="R35" s="441"/>
      <c r="S35" s="389">
        <f t="shared" si="17"/>
        <v>2</v>
      </c>
      <c r="T35" s="389">
        <f t="shared" si="18"/>
        <v>2</v>
      </c>
      <c r="U35" s="389"/>
      <c r="V35" s="389"/>
    </row>
    <row r="36" spans="8:26">
      <c r="H36" s="422">
        <v>44283</v>
      </c>
      <c r="I36" s="48">
        <v>734</v>
      </c>
      <c r="J36" s="379">
        <f t="shared" si="3"/>
        <v>16</v>
      </c>
      <c r="K36" s="389"/>
      <c r="L36" s="439"/>
      <c r="M36" s="440"/>
      <c r="N36" s="440"/>
      <c r="O36" s="440">
        <f t="shared" si="14"/>
        <v>0.61538461538461542</v>
      </c>
      <c r="P36" s="1009">
        <f t="shared" si="15"/>
        <v>8</v>
      </c>
      <c r="Q36" s="440">
        <f t="shared" si="16"/>
        <v>7.384615384615385</v>
      </c>
      <c r="R36" s="441"/>
      <c r="S36" s="389">
        <f t="shared" si="17"/>
        <v>1</v>
      </c>
      <c r="T36" s="389">
        <f t="shared" si="18"/>
        <v>1</v>
      </c>
      <c r="U36" s="389"/>
      <c r="V36" s="389"/>
    </row>
    <row r="37" spans="8:26">
      <c r="H37" s="422">
        <v>44290</v>
      </c>
      <c r="I37" s="48">
        <v>746</v>
      </c>
      <c r="J37" s="379">
        <f t="shared" si="3"/>
        <v>12</v>
      </c>
      <c r="K37" s="389"/>
      <c r="L37" s="439"/>
      <c r="M37" s="440"/>
      <c r="N37" s="440"/>
      <c r="O37" s="440"/>
      <c r="P37" s="1009">
        <f>T37/26*J37</f>
        <v>6</v>
      </c>
      <c r="Q37" s="440">
        <f>J37/2</f>
        <v>6</v>
      </c>
      <c r="R37" s="441">
        <f>J37-Q37-P37</f>
        <v>0</v>
      </c>
      <c r="S37" s="389">
        <v>13</v>
      </c>
      <c r="T37" s="389">
        <v>13</v>
      </c>
      <c r="U37" s="389"/>
      <c r="V37" s="389"/>
    </row>
    <row r="38" spans="8:26">
      <c r="H38" s="422">
        <v>44297</v>
      </c>
      <c r="I38" s="48">
        <v>755</v>
      </c>
      <c r="J38" s="379">
        <f t="shared" si="3"/>
        <v>9</v>
      </c>
      <c r="K38" s="389"/>
      <c r="L38" s="439"/>
      <c r="M38" s="440"/>
      <c r="N38" s="440"/>
      <c r="O38" s="440"/>
      <c r="P38" s="1009">
        <f t="shared" ref="P38:P45" si="19">T38/26*J38</f>
        <v>4.1538461538461542</v>
      </c>
      <c r="Q38" s="440">
        <f t="shared" ref="Q38:Q45" si="20">J38/2</f>
        <v>4.5</v>
      </c>
      <c r="R38" s="441">
        <f t="shared" ref="R38:R45" si="21">J38-Q38-P38</f>
        <v>0.34615384615384581</v>
      </c>
      <c r="S38" s="389">
        <f>S37-1</f>
        <v>12</v>
      </c>
      <c r="T38" s="389">
        <f>T37-1</f>
        <v>12</v>
      </c>
      <c r="U38" s="389"/>
      <c r="V38" s="389"/>
    </row>
    <row r="39" spans="8:26">
      <c r="H39" s="422">
        <v>44304</v>
      </c>
      <c r="I39" s="48">
        <v>762</v>
      </c>
      <c r="J39" s="379">
        <f t="shared" si="3"/>
        <v>7</v>
      </c>
      <c r="K39" s="389"/>
      <c r="L39" s="439"/>
      <c r="M39" s="440"/>
      <c r="N39" s="440"/>
      <c r="O39" s="440"/>
      <c r="P39" s="1009">
        <f t="shared" si="19"/>
        <v>2.9615384615384617</v>
      </c>
      <c r="Q39" s="440">
        <f t="shared" si="20"/>
        <v>3.5</v>
      </c>
      <c r="R39" s="441">
        <f t="shared" si="21"/>
        <v>0.53846153846153832</v>
      </c>
      <c r="S39" s="389">
        <f t="shared" ref="S39:S45" si="22">S38-1</f>
        <v>11</v>
      </c>
      <c r="T39" s="389">
        <f t="shared" ref="T39:T45" si="23">T38-1</f>
        <v>11</v>
      </c>
      <c r="U39" s="389"/>
      <c r="V39" s="389"/>
    </row>
    <row r="40" spans="8:26">
      <c r="H40" s="422">
        <v>44311</v>
      </c>
      <c r="I40" s="48">
        <v>771</v>
      </c>
      <c r="J40" s="379">
        <f t="shared" si="3"/>
        <v>9</v>
      </c>
      <c r="K40" s="389"/>
      <c r="L40" s="439"/>
      <c r="M40" s="440"/>
      <c r="N40" s="440"/>
      <c r="O40" s="440"/>
      <c r="P40" s="1009">
        <f t="shared" si="19"/>
        <v>3.4615384615384617</v>
      </c>
      <c r="Q40" s="440">
        <f t="shared" si="20"/>
        <v>4.5</v>
      </c>
      <c r="R40" s="441">
        <f t="shared" si="21"/>
        <v>1.0384615384615383</v>
      </c>
      <c r="S40" s="389">
        <f t="shared" si="22"/>
        <v>10</v>
      </c>
      <c r="T40" s="389">
        <f t="shared" si="23"/>
        <v>10</v>
      </c>
      <c r="U40" s="389"/>
      <c r="V40" s="389"/>
    </row>
    <row r="41" spans="8:26">
      <c r="H41" s="422">
        <v>44318</v>
      </c>
      <c r="I41" s="48">
        <v>780</v>
      </c>
      <c r="J41" s="379">
        <f t="shared" si="3"/>
        <v>9</v>
      </c>
      <c r="K41" s="389"/>
      <c r="L41" s="439"/>
      <c r="M41" s="440"/>
      <c r="N41" s="440"/>
      <c r="O41" s="440"/>
      <c r="P41" s="1009">
        <f t="shared" si="19"/>
        <v>3.1153846153846154</v>
      </c>
      <c r="Q41" s="440">
        <f t="shared" si="20"/>
        <v>4.5</v>
      </c>
      <c r="R41" s="441">
        <f t="shared" si="21"/>
        <v>1.3846153846153846</v>
      </c>
      <c r="S41" s="389">
        <f t="shared" si="22"/>
        <v>9</v>
      </c>
      <c r="T41" s="389">
        <f t="shared" si="23"/>
        <v>9</v>
      </c>
      <c r="U41" s="389"/>
      <c r="V41" s="389"/>
    </row>
    <row r="42" spans="8:26">
      <c r="H42" s="422">
        <v>44325</v>
      </c>
      <c r="I42" s="48">
        <v>782</v>
      </c>
      <c r="J42" s="379">
        <f t="shared" si="3"/>
        <v>2</v>
      </c>
      <c r="K42" s="389"/>
      <c r="L42" s="439"/>
      <c r="M42" s="440"/>
      <c r="N42" s="440"/>
      <c r="O42" s="440"/>
      <c r="P42" s="1009">
        <f t="shared" si="19"/>
        <v>0.61538461538461542</v>
      </c>
      <c r="Q42" s="440">
        <f t="shared" si="20"/>
        <v>1</v>
      </c>
      <c r="R42" s="441">
        <f t="shared" si="21"/>
        <v>0.38461538461538458</v>
      </c>
      <c r="S42" s="389">
        <f t="shared" si="22"/>
        <v>8</v>
      </c>
      <c r="T42" s="389">
        <f t="shared" si="23"/>
        <v>8</v>
      </c>
      <c r="U42" s="389"/>
      <c r="V42" s="389"/>
    </row>
    <row r="43" spans="8:26">
      <c r="H43" s="422">
        <v>44332</v>
      </c>
      <c r="I43" s="48">
        <v>788</v>
      </c>
      <c r="J43" s="379">
        <f t="shared" si="3"/>
        <v>6</v>
      </c>
      <c r="K43" s="389"/>
      <c r="L43" s="439"/>
      <c r="M43" s="440"/>
      <c r="N43" s="440"/>
      <c r="O43" s="440"/>
      <c r="P43" s="1009">
        <f t="shared" si="19"/>
        <v>1.6153846153846154</v>
      </c>
      <c r="Q43" s="440">
        <f t="shared" si="20"/>
        <v>3</v>
      </c>
      <c r="R43" s="441">
        <f t="shared" si="21"/>
        <v>1.3846153846153846</v>
      </c>
      <c r="S43" s="389">
        <f t="shared" si="22"/>
        <v>7</v>
      </c>
      <c r="T43" s="389">
        <f t="shared" si="23"/>
        <v>7</v>
      </c>
      <c r="U43" s="389"/>
      <c r="V43" s="389"/>
    </row>
    <row r="44" spans="8:26">
      <c r="H44" s="422">
        <v>44339</v>
      </c>
      <c r="I44" s="48">
        <v>796</v>
      </c>
      <c r="J44" s="379">
        <f t="shared" si="3"/>
        <v>8</v>
      </c>
      <c r="K44" s="389"/>
      <c r="L44" s="439"/>
      <c r="M44" s="440"/>
      <c r="N44" s="440"/>
      <c r="O44" s="440"/>
      <c r="P44" s="1009">
        <f t="shared" si="19"/>
        <v>1.8461538461538463</v>
      </c>
      <c r="Q44" s="440">
        <f t="shared" si="20"/>
        <v>4</v>
      </c>
      <c r="R44" s="441">
        <f t="shared" si="21"/>
        <v>2.1538461538461537</v>
      </c>
      <c r="S44" s="389">
        <f t="shared" si="22"/>
        <v>6</v>
      </c>
      <c r="T44" s="389">
        <f t="shared" si="23"/>
        <v>6</v>
      </c>
      <c r="U44" s="389"/>
      <c r="V44" s="389"/>
    </row>
    <row r="45" spans="8:26">
      <c r="H45" s="423">
        <v>44347</v>
      </c>
      <c r="I45" s="196">
        <v>800</v>
      </c>
      <c r="J45" s="236">
        <f t="shared" si="3"/>
        <v>4</v>
      </c>
      <c r="K45" s="389"/>
      <c r="L45" s="439"/>
      <c r="M45" s="440"/>
      <c r="N45" s="440"/>
      <c r="O45" s="440"/>
      <c r="P45" s="1009">
        <f t="shared" si="19"/>
        <v>0.76923076923076927</v>
      </c>
      <c r="Q45" s="440">
        <f t="shared" si="20"/>
        <v>2</v>
      </c>
      <c r="R45" s="441">
        <f t="shared" si="21"/>
        <v>1.2307692307692308</v>
      </c>
      <c r="S45" s="389">
        <f t="shared" si="22"/>
        <v>5</v>
      </c>
      <c r="T45" s="389">
        <f t="shared" si="23"/>
        <v>5</v>
      </c>
      <c r="U45" s="389"/>
      <c r="V45" s="389"/>
    </row>
    <row r="46" spans="8:26">
      <c r="H46" s="389"/>
      <c r="I46" s="389"/>
      <c r="J46" s="389"/>
      <c r="K46" s="389"/>
      <c r="L46" s="439">
        <f>SUM(L11:L45)</f>
        <v>184.80769230769229</v>
      </c>
      <c r="M46" s="440">
        <f t="shared" ref="M46:R46" si="24">SUM(M11:M45)</f>
        <v>261.42307692307696</v>
      </c>
      <c r="N46" s="440">
        <f t="shared" si="24"/>
        <v>77.692307692307693</v>
      </c>
      <c r="O46" s="440">
        <f t="shared" si="24"/>
        <v>53.384615384615394</v>
      </c>
      <c r="P46" s="1009">
        <f t="shared" si="24"/>
        <v>129.03846153846155</v>
      </c>
      <c r="Q46" s="440">
        <f t="shared" si="24"/>
        <v>85.192307692307693</v>
      </c>
      <c r="R46" s="441">
        <f t="shared" si="24"/>
        <v>8.4615384615384599</v>
      </c>
      <c r="S46" s="389"/>
      <c r="T46" s="389"/>
      <c r="U46" s="389"/>
      <c r="V46" s="389"/>
    </row>
    <row r="47" spans="8:26">
      <c r="H47" s="389"/>
      <c r="I47" s="389"/>
      <c r="J47" s="389"/>
      <c r="K47" s="389"/>
      <c r="L47" s="442">
        <f>L46*4</f>
        <v>739.23076923076917</v>
      </c>
      <c r="M47" s="443">
        <f t="shared" ref="M47:R47" si="25">M46*4</f>
        <v>1045.6923076923078</v>
      </c>
      <c r="N47" s="443">
        <f t="shared" si="25"/>
        <v>310.76923076923077</v>
      </c>
      <c r="O47" s="443">
        <f t="shared" si="25"/>
        <v>213.53846153846158</v>
      </c>
      <c r="P47" s="1010">
        <f t="shared" si="25"/>
        <v>516.15384615384619</v>
      </c>
      <c r="Q47" s="443">
        <f t="shared" si="25"/>
        <v>340.76923076923077</v>
      </c>
      <c r="R47" s="444">
        <f t="shared" si="25"/>
        <v>33.84615384615384</v>
      </c>
      <c r="S47" s="389" t="s">
        <v>494</v>
      </c>
      <c r="T47" s="389"/>
      <c r="U47" s="389"/>
      <c r="V47" s="389"/>
    </row>
    <row r="48" spans="8:26">
      <c r="Q48" s="120"/>
      <c r="R48" s="120"/>
      <c r="S48" s="120"/>
      <c r="T48" s="120"/>
      <c r="U48" s="120"/>
      <c r="V48" s="120"/>
      <c r="W48" s="120"/>
      <c r="X48" s="120"/>
      <c r="Y48" s="120"/>
      <c r="Z48" s="120"/>
    </row>
    <row r="49" spans="7:26">
      <c r="Q49" s="120"/>
      <c r="R49" s="120"/>
      <c r="S49" s="120"/>
      <c r="T49" s="120"/>
      <c r="U49" s="120"/>
      <c r="V49" s="120"/>
      <c r="W49" s="120"/>
      <c r="X49" s="120"/>
      <c r="Y49" s="120"/>
      <c r="Z49" s="120"/>
    </row>
    <row r="50" spans="7:26">
      <c r="H50" s="1385" t="s">
        <v>601</v>
      </c>
      <c r="I50" s="1386"/>
      <c r="J50" s="1396" t="s">
        <v>261</v>
      </c>
      <c r="K50" s="1397"/>
      <c r="L50" s="1397"/>
      <c r="M50" s="1397"/>
      <c r="N50" s="1397"/>
      <c r="O50" s="1398" t="s">
        <v>143</v>
      </c>
      <c r="P50" s="1399"/>
      <c r="Q50" s="407"/>
      <c r="R50" s="407"/>
      <c r="S50" s="407"/>
      <c r="T50" s="407"/>
      <c r="U50" s="407"/>
      <c r="V50" s="407"/>
      <c r="W50" s="407"/>
      <c r="X50" s="407"/>
      <c r="Y50" s="407"/>
      <c r="Z50" s="120"/>
    </row>
    <row r="51" spans="7:26">
      <c r="H51" s="1387"/>
      <c r="I51" s="1388"/>
      <c r="J51" s="1383">
        <v>2020</v>
      </c>
      <c r="K51" s="1384"/>
      <c r="L51" s="1384"/>
      <c r="M51" s="1383">
        <v>2021</v>
      </c>
      <c r="N51" s="1393"/>
      <c r="O51" s="1394">
        <v>2021</v>
      </c>
      <c r="P51" s="1395"/>
      <c r="Q51" s="1391"/>
      <c r="R51" s="1392"/>
      <c r="S51" s="1392"/>
      <c r="T51" s="1392"/>
      <c r="U51" s="1379"/>
      <c r="V51" s="1379"/>
      <c r="W51" s="1379"/>
      <c r="X51" s="1379"/>
      <c r="Y51" s="120"/>
      <c r="Z51" s="120"/>
    </row>
    <row r="52" spans="7:26">
      <c r="H52" s="1389"/>
      <c r="I52" s="139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c r="H53" s="72" t="s">
        <v>991</v>
      </c>
      <c r="I53" s="381" t="s">
        <v>243</v>
      </c>
      <c r="J53" s="897">
        <f>'Haver Pivoted'!GU47</f>
        <v>57.2</v>
      </c>
      <c r="K53" s="397">
        <f>'Haver Pivoted'!GV47</f>
        <v>81.2</v>
      </c>
      <c r="L53" s="397">
        <f>'Haver Pivoted'!GW47</f>
        <v>24.4</v>
      </c>
      <c r="M53" s="397">
        <f>'Haver Pivoted'!GX47</f>
        <v>10.8</v>
      </c>
      <c r="N53" s="882">
        <f>'Haver Pivoted'!GY47</f>
        <v>24.7</v>
      </c>
      <c r="O53" s="353">
        <f>N56*O55</f>
        <v>22.137795972560305</v>
      </c>
      <c r="P53" s="354">
        <f>O56*R47</f>
        <v>1.8499668068156667</v>
      </c>
      <c r="Q53" s="397"/>
      <c r="R53" s="397"/>
      <c r="S53" s="120"/>
      <c r="T53" s="120"/>
      <c r="U53" s="120"/>
      <c r="V53" s="120"/>
      <c r="W53" s="120"/>
      <c r="X53" s="120"/>
      <c r="Y53" s="120"/>
      <c r="Z53" s="120"/>
    </row>
    <row r="54" spans="7:26" ht="33.5" customHeight="1">
      <c r="H54" s="61" t="s">
        <v>992</v>
      </c>
      <c r="I54" s="69" t="s">
        <v>245</v>
      </c>
      <c r="J54" s="897">
        <f>'Haver Pivoted'!GU49</f>
        <v>576.9</v>
      </c>
      <c r="K54" s="397">
        <f>'Haver Pivoted'!GV49</f>
        <v>819.5</v>
      </c>
      <c r="L54" s="397">
        <f>'Haver Pivoted'!GW49</f>
        <v>246.3</v>
      </c>
      <c r="M54" s="397">
        <f>'Haver Pivoted'!GX49</f>
        <v>184.6</v>
      </c>
      <c r="N54" s="882">
        <f>'Haver Pivoted'!GY49</f>
        <v>427.2</v>
      </c>
      <c r="O54" s="356">
        <f>O55-O53</f>
        <v>382.88528095051669</v>
      </c>
      <c r="P54" s="400">
        <f>R47-P53</f>
        <v>31.996187039338174</v>
      </c>
      <c r="Q54" s="397"/>
      <c r="R54" s="397"/>
      <c r="S54" s="120"/>
      <c r="T54" s="120"/>
      <c r="U54" s="120"/>
      <c r="V54" s="120"/>
      <c r="W54" s="120"/>
      <c r="X54" s="120"/>
      <c r="Y54" s="120"/>
      <c r="Z54" s="120"/>
    </row>
    <row r="55" spans="7:26">
      <c r="H55" s="46" t="s">
        <v>5</v>
      </c>
      <c r="I55" s="48"/>
      <c r="J55" s="897">
        <f>J54+J53</f>
        <v>634.1</v>
      </c>
      <c r="K55" s="397">
        <f t="shared" ref="K55:M55" si="26">K54+K53</f>
        <v>900.7</v>
      </c>
      <c r="L55" s="397">
        <f t="shared" si="26"/>
        <v>270.7</v>
      </c>
      <c r="M55" s="882">
        <f t="shared" si="26"/>
        <v>195.4</v>
      </c>
      <c r="N55" s="902">
        <f t="shared" ref="N55" si="27">N54+N53</f>
        <v>451.9</v>
      </c>
      <c r="O55" s="356">
        <f>Q47 + (P47-N55)</f>
        <v>405.02307692307699</v>
      </c>
      <c r="P55" s="400">
        <f t="shared" ref="P55" si="28">P54+P53</f>
        <v>33.84615384615384</v>
      </c>
      <c r="Q55" s="397"/>
      <c r="R55" s="397"/>
    </row>
    <row r="56" spans="7:26">
      <c r="H56" s="228" t="s">
        <v>571</v>
      </c>
      <c r="I56" s="196"/>
      <c r="J56" s="898">
        <f>J53/J55</f>
        <v>9.0206592020186091E-2</v>
      </c>
      <c r="K56" s="899">
        <f>K53/K55</f>
        <v>9.015210391917397E-2</v>
      </c>
      <c r="L56" s="899">
        <f>L53/L55</f>
        <v>9.0136682674547469E-2</v>
      </c>
      <c r="M56" s="900">
        <f>M53/M55</f>
        <v>5.527123848515865E-2</v>
      </c>
      <c r="N56" s="900">
        <f>N53/N55</f>
        <v>5.4658110201371984E-2</v>
      </c>
      <c r="O56" s="403">
        <f t="shared" ref="O56:P56" si="29">N56</f>
        <v>5.4658110201371984E-2</v>
      </c>
      <c r="P56" s="404">
        <f t="shared" si="29"/>
        <v>5.4658110201371984E-2</v>
      </c>
      <c r="Q56" s="405" t="s">
        <v>603</v>
      </c>
      <c r="R56" s="406"/>
    </row>
    <row r="57" spans="7:26">
      <c r="S57" s="37"/>
      <c r="T57" s="37"/>
    </row>
    <row r="58" spans="7:26">
      <c r="L58" s="37"/>
      <c r="M58" s="37"/>
      <c r="N58" s="37"/>
      <c r="O58" s="37"/>
      <c r="P58" s="37"/>
      <c r="Q58" s="37"/>
      <c r="R58" s="37"/>
      <c r="S58" s="37"/>
      <c r="T58" s="37"/>
      <c r="U58" s="37"/>
    </row>
    <row r="59" spans="7:26">
      <c r="G59" s="37"/>
      <c r="H59" s="137"/>
      <c r="I59" s="1048"/>
      <c r="J59" s="397"/>
      <c r="K59" s="397"/>
      <c r="L59" s="397"/>
      <c r="M59" s="397"/>
      <c r="N59" s="397"/>
      <c r="O59" s="397"/>
      <c r="P59" s="397"/>
      <c r="Q59" s="397"/>
      <c r="R59" s="397"/>
      <c r="S59" s="397"/>
      <c r="T59" s="37"/>
      <c r="U59" s="37"/>
    </row>
    <row r="60" spans="7:26">
      <c r="G60" s="37"/>
      <c r="H60" s="137"/>
      <c r="I60" s="73"/>
      <c r="J60" s="397"/>
      <c r="K60" s="397"/>
      <c r="L60" s="397"/>
      <c r="M60" s="397"/>
      <c r="N60" s="397"/>
      <c r="O60" s="397"/>
      <c r="P60" s="397"/>
      <c r="Q60" s="397"/>
      <c r="R60" s="397"/>
      <c r="S60" s="397"/>
      <c r="T60" s="37"/>
      <c r="U60" s="37"/>
    </row>
    <row r="61" spans="7:26">
      <c r="G61" s="37"/>
      <c r="H61" s="37"/>
      <c r="I61" s="1048"/>
      <c r="J61" s="397"/>
      <c r="K61" s="397"/>
      <c r="L61" s="397"/>
      <c r="M61" s="397"/>
      <c r="N61" s="397"/>
      <c r="O61" s="397"/>
      <c r="P61" s="397"/>
      <c r="Q61" s="397"/>
      <c r="R61" s="397"/>
      <c r="S61" s="397"/>
      <c r="T61" s="37"/>
      <c r="U61" s="37"/>
    </row>
    <row r="62" spans="7:26">
      <c r="G62" s="37"/>
      <c r="H62" s="37"/>
      <c r="I62" s="1048"/>
      <c r="J62" s="406"/>
      <c r="K62" s="406"/>
      <c r="L62" s="406"/>
      <c r="M62" s="406"/>
      <c r="N62" s="406"/>
      <c r="O62" s="406"/>
      <c r="P62" s="406"/>
      <c r="Q62" s="405"/>
      <c r="R62" s="406"/>
      <c r="S62" s="405"/>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baseColWidth="10" defaultColWidth="8.6640625" defaultRowHeight="14"/>
  <cols>
    <col min="1" max="1" width="8.6640625" style="120" customWidth="1"/>
    <col min="2" max="2" width="40.5" style="36" customWidth="1"/>
    <col min="3" max="3" width="7.1640625" style="36" customWidth="1"/>
    <col min="4" max="4" width="11.1640625" style="302" customWidth="1"/>
    <col min="5" max="5" width="12.33203125" style="302" customWidth="1"/>
    <col min="6" max="7" width="7.1640625" style="302" customWidth="1"/>
    <col min="8" max="8" width="10.33203125" style="36" customWidth="1"/>
    <col min="9" max="9" width="11.33203125" style="36" customWidth="1"/>
    <col min="10" max="13" width="7.6640625" style="36" customWidth="1"/>
    <col min="14" max="25" width="8.1640625" style="36" customWidth="1"/>
    <col min="26" max="29" width="8.1640625" style="302" customWidth="1"/>
    <col min="30" max="30" width="29.6640625" style="302" customWidth="1"/>
    <col min="31" max="31" width="31.1640625" style="302" customWidth="1"/>
    <col min="32" max="32" width="114.83203125" style="36" customWidth="1"/>
    <col min="33" max="16384" width="8.6640625" style="36"/>
  </cols>
  <sheetData>
    <row r="1" spans="1:88">
      <c r="B1" s="1382" t="s">
        <v>0</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801"/>
      <c r="AA1" s="857"/>
      <c r="AB1" s="857"/>
      <c r="AC1" s="857"/>
      <c r="AD1" s="671"/>
      <c r="AE1" s="671"/>
    </row>
    <row r="2" spans="1:88" ht="14" customHeight="1">
      <c r="B2" s="1407" t="s">
        <v>989</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305"/>
      <c r="AE2" s="305"/>
    </row>
    <row r="3" spans="1:88" ht="50.5" customHeight="1">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305"/>
      <c r="AE3" s="305"/>
    </row>
    <row r="4" spans="1:88" ht="5" customHeight="1">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305"/>
      <c r="AE4" s="305"/>
    </row>
    <row r="5" spans="1:88" ht="15">
      <c r="B5" s="176" t="s">
        <v>399</v>
      </c>
    </row>
    <row r="6" spans="1:88" ht="14.5" customHeight="1">
      <c r="B6" s="1400" t="s">
        <v>357</v>
      </c>
      <c r="C6" s="1401"/>
      <c r="D6" s="1412" t="s">
        <v>261</v>
      </c>
      <c r="E6" s="1413"/>
      <c r="F6" s="1413"/>
      <c r="G6" s="1413"/>
      <c r="H6" s="1413"/>
      <c r="I6" s="1413"/>
      <c r="J6" s="1413"/>
      <c r="K6" s="1413"/>
      <c r="L6" s="1413"/>
      <c r="M6" s="1413"/>
      <c r="N6" s="1414"/>
      <c r="O6" s="1408" t="s">
        <v>143</v>
      </c>
      <c r="P6" s="1409"/>
      <c r="Q6" s="1409"/>
      <c r="R6" s="1409"/>
      <c r="S6" s="1409"/>
      <c r="T6" s="1409"/>
      <c r="U6" s="1409"/>
      <c r="V6" s="1409"/>
      <c r="W6" s="1409"/>
      <c r="X6" s="1409"/>
      <c r="Y6" s="1409"/>
      <c r="Z6" s="1409"/>
      <c r="AA6" s="1409"/>
      <c r="AB6" s="1409"/>
      <c r="AC6" s="1410"/>
      <c r="AD6" s="1419" t="s">
        <v>987</v>
      </c>
      <c r="AE6" s="1422" t="s">
        <v>986</v>
      </c>
    </row>
    <row r="7" spans="1:88" ht="24" customHeight="1">
      <c r="B7" s="1402"/>
      <c r="C7" s="1403"/>
      <c r="D7" s="805">
        <v>2018</v>
      </c>
      <c r="E7" s="1383">
        <v>2019</v>
      </c>
      <c r="F7" s="1384"/>
      <c r="G7" s="1384"/>
      <c r="H7" s="1393"/>
      <c r="I7" s="1383">
        <v>2020</v>
      </c>
      <c r="J7" s="1384"/>
      <c r="K7" s="1384"/>
      <c r="L7" s="1393"/>
      <c r="M7" s="1383">
        <v>2021</v>
      </c>
      <c r="N7" s="1393"/>
      <c r="O7" s="1406">
        <v>2021</v>
      </c>
      <c r="P7" s="1395"/>
      <c r="Q7" s="1406">
        <v>2022</v>
      </c>
      <c r="R7" s="1394"/>
      <c r="S7" s="1394"/>
      <c r="T7" s="1395"/>
      <c r="U7" s="1406">
        <v>2023</v>
      </c>
      <c r="V7" s="1394"/>
      <c r="W7" s="1394"/>
      <c r="X7" s="1411"/>
      <c r="Y7" s="1406">
        <v>2024</v>
      </c>
      <c r="Z7" s="1411"/>
      <c r="AA7" s="1411"/>
      <c r="AB7" s="1395"/>
      <c r="AC7" s="475">
        <v>2025</v>
      </c>
      <c r="AD7" s="1420"/>
      <c r="AE7" s="1423"/>
    </row>
    <row r="8" spans="1:88" ht="14" customHeight="1">
      <c r="B8" s="1404"/>
      <c r="C8" s="1405"/>
      <c r="D8" s="224" t="s">
        <v>138</v>
      </c>
      <c r="E8" s="224" t="s">
        <v>135</v>
      </c>
      <c r="F8" s="200" t="s">
        <v>136</v>
      </c>
      <c r="G8" s="200" t="s">
        <v>137</v>
      </c>
      <c r="H8" s="208" t="s">
        <v>138</v>
      </c>
      <c r="I8" s="201" t="s">
        <v>135</v>
      </c>
      <c r="J8" s="201" t="s">
        <v>136</v>
      </c>
      <c r="K8" s="201" t="s">
        <v>137</v>
      </c>
      <c r="L8" s="201" t="s">
        <v>138</v>
      </c>
      <c r="M8" s="216" t="s">
        <v>135</v>
      </c>
      <c r="N8" s="208" t="s">
        <v>136</v>
      </c>
      <c r="O8" s="810" t="s">
        <v>137</v>
      </c>
      <c r="P8" s="811" t="s">
        <v>138</v>
      </c>
      <c r="Q8" s="809" t="s">
        <v>135</v>
      </c>
      <c r="R8" s="810" t="s">
        <v>136</v>
      </c>
      <c r="S8" s="810" t="s">
        <v>137</v>
      </c>
      <c r="T8" s="810" t="s">
        <v>138</v>
      </c>
      <c r="U8" s="809" t="s">
        <v>135</v>
      </c>
      <c r="V8" s="810" t="s">
        <v>136</v>
      </c>
      <c r="W8" s="810" t="s">
        <v>137</v>
      </c>
      <c r="X8" s="810" t="s">
        <v>138</v>
      </c>
      <c r="Y8" s="858" t="s">
        <v>135</v>
      </c>
      <c r="Z8" s="577" t="s">
        <v>136</v>
      </c>
      <c r="AA8" s="859" t="s">
        <v>137</v>
      </c>
      <c r="AB8" s="860" t="s">
        <v>138</v>
      </c>
      <c r="AC8" s="82" t="s">
        <v>135</v>
      </c>
      <c r="AD8" s="1421"/>
      <c r="AE8" s="1424"/>
    </row>
    <row r="9" spans="1:88" ht="23.5" customHeight="1">
      <c r="B9" s="355" t="s">
        <v>558</v>
      </c>
      <c r="C9" s="991" t="s">
        <v>228</v>
      </c>
      <c r="D9" s="992"/>
      <c r="E9" s="993"/>
      <c r="F9" s="993"/>
      <c r="G9" s="993"/>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957.55960719684811</v>
      </c>
      <c r="P9" s="353">
        <f t="shared" si="0"/>
        <v>921.76813055062223</v>
      </c>
      <c r="Q9" s="353">
        <f t="shared" si="0"/>
        <v>1621.3004191075643</v>
      </c>
      <c r="R9" s="353">
        <f t="shared" si="0"/>
        <v>973.92838179490252</v>
      </c>
      <c r="S9" s="353">
        <f t="shared" si="0"/>
        <v>936.35742969101284</v>
      </c>
      <c r="T9" s="353">
        <f t="shared" si="0"/>
        <v>924.86977240997408</v>
      </c>
      <c r="U9" s="353">
        <f t="shared" si="0"/>
        <v>937.00960980575826</v>
      </c>
      <c r="V9" s="353">
        <f t="shared" si="0"/>
        <v>949.57253874471155</v>
      </c>
      <c r="W9" s="353">
        <f t="shared" si="0"/>
        <v>962.57529309144593</v>
      </c>
      <c r="X9" s="353">
        <f t="shared" si="0"/>
        <v>976.09167669755493</v>
      </c>
      <c r="Y9" s="353">
        <f t="shared" si="0"/>
        <v>987.27931608518247</v>
      </c>
      <c r="Z9" s="353">
        <f t="shared" si="0"/>
        <v>1005.9376542669939</v>
      </c>
      <c r="AA9" s="353">
        <f t="shared" si="0"/>
        <v>1045.1264693708445</v>
      </c>
      <c r="AB9" s="353">
        <f t="shared" si="0"/>
        <v>1072.031969576366</v>
      </c>
      <c r="AC9" s="559">
        <f t="shared" si="0"/>
        <v>1114.4708919117793</v>
      </c>
      <c r="AD9" s="901"/>
      <c r="AE9" s="684"/>
    </row>
    <row r="10" spans="1:88" s="93" customFormat="1" ht="30">
      <c r="A10" s="136"/>
      <c r="B10" s="166" t="s">
        <v>180</v>
      </c>
      <c r="C10" s="818" t="s">
        <v>236</v>
      </c>
      <c r="D10" s="161"/>
      <c r="E10" s="177"/>
      <c r="F10" s="177"/>
      <c r="G10" s="177"/>
      <c r="H10" s="871">
        <f>'Haver Pivoted'!GS40</f>
        <v>413.80599999999998</v>
      </c>
      <c r="I10" s="871">
        <f>'Haver Pivoted'!GT40</f>
        <v>428.11799999999999</v>
      </c>
      <c r="J10" s="871">
        <f>'Haver Pivoted'!GU40</f>
        <v>502.49</v>
      </c>
      <c r="K10" s="871">
        <f>'Haver Pivoted'!GV40</f>
        <v>481.71699999999998</v>
      </c>
      <c r="L10" s="871">
        <f>'Haver Pivoted'!GW40</f>
        <v>507.83699999999999</v>
      </c>
      <c r="M10" s="871">
        <f>'Haver Pivoted'!GX40</f>
        <v>511.34500000000003</v>
      </c>
      <c r="N10" s="871">
        <f>'Haver Pivoted'!GY40</f>
        <v>520.72900000000004</v>
      </c>
      <c r="O10" s="585">
        <f>Medicaid!K26</f>
        <v>552.98943075574527</v>
      </c>
      <c r="P10" s="586">
        <f>Medicaid!L26</f>
        <v>561.55321472104822</v>
      </c>
      <c r="Q10" s="586">
        <f>Medicaid!M26</f>
        <v>595.71048950195052</v>
      </c>
      <c r="R10" s="586">
        <f>Medicaid!N26</f>
        <v>604.93586643363528</v>
      </c>
      <c r="S10" s="586">
        <f>Medicaid!O26</f>
        <v>557.70430033183629</v>
      </c>
      <c r="T10" s="586">
        <f>Medicaid!P26</f>
        <v>556.8347699065057</v>
      </c>
      <c r="U10" s="586">
        <f>Medicaid!Q26</f>
        <v>558.52568720215106</v>
      </c>
      <c r="V10" s="586">
        <f>Medicaid!R26</f>
        <v>560.22173923696005</v>
      </c>
      <c r="W10" s="586">
        <f>Medicaid!S26</f>
        <v>561.92294160338429</v>
      </c>
      <c r="X10" s="586">
        <f>Medicaid!T26</f>
        <v>584.9437111499708</v>
      </c>
      <c r="Y10" s="586">
        <f>Medicaid!U26</f>
        <v>608.90759191569498</v>
      </c>
      <c r="Z10" s="586">
        <f>Medicaid!V26</f>
        <v>633.85322113072698</v>
      </c>
      <c r="AA10" s="586">
        <f>Medicaid!W26</f>
        <v>659.82081890912684</v>
      </c>
      <c r="AB10" s="586">
        <f>Medicaid!X26</f>
        <v>686.85225309617954</v>
      </c>
      <c r="AC10" s="587">
        <f>Medicaid!Y26</f>
        <v>714.99110677238536</v>
      </c>
      <c r="AD10" s="994"/>
      <c r="AE10" s="685"/>
    </row>
    <row r="11" spans="1:88" s="93" customFormat="1" ht="17" customHeight="1">
      <c r="A11" s="136"/>
      <c r="B11" s="54" t="s">
        <v>350</v>
      </c>
      <c r="C11" s="818"/>
      <c r="D11" s="161"/>
      <c r="E11" s="177"/>
      <c r="F11" s="177"/>
      <c r="G11" s="177"/>
      <c r="H11" s="871">
        <f>H9-H10</f>
        <v>208.59399999999999</v>
      </c>
      <c r="I11" s="871">
        <f t="shared" ref="I11:N11" si="1">I9-I10</f>
        <v>212.48200000000003</v>
      </c>
      <c r="J11" s="871">
        <f t="shared" si="1"/>
        <v>897.51</v>
      </c>
      <c r="K11" s="871">
        <f t="shared" si="1"/>
        <v>256.78300000000002</v>
      </c>
      <c r="L11" s="871">
        <f t="shared" si="1"/>
        <v>235.16300000000001</v>
      </c>
      <c r="M11" s="871">
        <f t="shared" si="1"/>
        <v>270.15499999999997</v>
      </c>
      <c r="N11" s="871">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994"/>
      <c r="AE11" s="685"/>
    </row>
    <row r="12" spans="1:88" s="93" customFormat="1" ht="16" customHeight="1">
      <c r="A12" s="136"/>
      <c r="B12" s="94" t="s">
        <v>289</v>
      </c>
      <c r="C12" s="362" t="s">
        <v>1</v>
      </c>
      <c r="D12" s="917"/>
      <c r="E12" s="872"/>
      <c r="F12" s="872"/>
      <c r="G12" s="872"/>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994">
        <f>SUM(I12:Y12)/4</f>
        <v>149.47499999999999</v>
      </c>
      <c r="AE12" s="685">
        <f>AD25</f>
        <v>150</v>
      </c>
    </row>
    <row r="13" spans="1:88" s="93" customFormat="1" ht="15">
      <c r="A13" s="136"/>
      <c r="B13" s="94" t="s">
        <v>290</v>
      </c>
      <c r="C13" s="362" t="s">
        <v>2</v>
      </c>
      <c r="D13" s="917"/>
      <c r="E13" s="872"/>
      <c r="F13" s="872"/>
      <c r="G13" s="872"/>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994">
        <f t="shared" ref="AD13:AD19" si="4">SUM(I13:Y13)/4</f>
        <v>212.07333333333327</v>
      </c>
      <c r="AE13" s="685">
        <f>AD26+AD30+AD36</f>
        <v>218.26349999999994</v>
      </c>
    </row>
    <row r="14" spans="1:88" s="93" customFormat="1" ht="15">
      <c r="A14" s="136"/>
      <c r="B14" s="95" t="s">
        <v>291</v>
      </c>
      <c r="C14" s="117" t="s">
        <v>3</v>
      </c>
      <c r="D14" s="916"/>
      <c r="E14" s="870"/>
      <c r="F14" s="870"/>
      <c r="G14" s="870"/>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994">
        <f t="shared" si="4"/>
        <v>37.077067669172934</v>
      </c>
      <c r="AE14" s="685">
        <f>AD27+AD31+AD37</f>
        <v>34.125000000000007</v>
      </c>
    </row>
    <row r="15" spans="1:88" s="93" customFormat="1" ht="15.5" customHeight="1">
      <c r="A15" s="136"/>
      <c r="B15" s="95" t="s">
        <v>288</v>
      </c>
      <c r="C15" s="117"/>
      <c r="D15" s="916"/>
      <c r="E15" s="870"/>
      <c r="F15" s="870"/>
      <c r="G15" s="870"/>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994">
        <f t="shared" si="4"/>
        <v>29.000000000000004</v>
      </c>
      <c r="AE15" s="686">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c r="A16" s="136"/>
      <c r="B16" s="95" t="s">
        <v>713</v>
      </c>
      <c r="C16" s="117"/>
      <c r="D16" s="916"/>
      <c r="E16" s="870"/>
      <c r="F16" s="870"/>
      <c r="G16" s="870"/>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994">
        <f t="shared" si="4"/>
        <v>36</v>
      </c>
      <c r="AE16" s="685">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ht="15">
      <c r="A17" s="136"/>
      <c r="B17" s="95" t="s">
        <v>715</v>
      </c>
      <c r="C17" s="117"/>
      <c r="D17" s="916"/>
      <c r="E17" s="870"/>
      <c r="F17" s="870"/>
      <c r="G17" s="870"/>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994">
        <f t="shared" si="4"/>
        <v>94.336500000000001</v>
      </c>
      <c r="AE17" s="68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30">
      <c r="A18" s="136"/>
      <c r="B18" s="1051" t="s">
        <v>1150</v>
      </c>
      <c r="C18" s="117"/>
      <c r="D18" s="916"/>
      <c r="E18" s="870"/>
      <c r="F18" s="870"/>
      <c r="G18" s="870"/>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994"/>
      <c r="AE18" s="68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c r="A19" s="136"/>
      <c r="B19" s="94" t="s">
        <v>367</v>
      </c>
      <c r="C19" s="362" t="s">
        <v>1149</v>
      </c>
      <c r="D19" s="916"/>
      <c r="E19" s="870"/>
      <c r="F19" s="870"/>
      <c r="G19" s="870"/>
      <c r="H19" s="368"/>
      <c r="I19" s="368"/>
      <c r="J19" s="368"/>
      <c r="K19" s="368">
        <f>'Haver Pivoted'!GV56</f>
        <v>0</v>
      </c>
      <c r="L19" s="368">
        <f>'Haver Pivoted'!GW56</f>
        <v>0</v>
      </c>
      <c r="M19" s="368">
        <f>'Haver Pivoted'!GX56</f>
        <v>0</v>
      </c>
      <c r="N19" s="368">
        <f>'Haver Pivoted'!GY56</f>
        <v>785.9</v>
      </c>
      <c r="O19" s="998">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94">
        <f t="shared" si="4"/>
        <v>362.04999999999995</v>
      </c>
      <c r="AE19" s="68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c r="A20" s="144"/>
      <c r="B20" s="139" t="s">
        <v>557</v>
      </c>
      <c r="C20" s="366"/>
      <c r="D20" s="918"/>
      <c r="E20" s="919"/>
      <c r="F20" s="919"/>
      <c r="G20" s="919"/>
      <c r="H20" s="995">
        <f>H11-SUM(H12:H19)</f>
        <v>208.59399999999999</v>
      </c>
      <c r="I20" s="995">
        <f t="shared" ref="I20:M20" si="9">I11-SUM(I12:I19)</f>
        <v>212.48200000000003</v>
      </c>
      <c r="J20" s="995">
        <f t="shared" si="9"/>
        <v>206.81000000000006</v>
      </c>
      <c r="K20" s="995">
        <f t="shared" si="9"/>
        <v>217.58300000000003</v>
      </c>
      <c r="L20" s="995">
        <f t="shared" si="9"/>
        <v>206.16300000000001</v>
      </c>
      <c r="M20" s="995">
        <f t="shared" si="9"/>
        <v>202.48833333333332</v>
      </c>
      <c r="N20" s="995">
        <f>N11-SUM(N12:N19)</f>
        <v>206.44833333333338</v>
      </c>
      <c r="O20" s="694">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996"/>
      <c r="AE20" s="687"/>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ht="1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c r="A23" s="143"/>
      <c r="B23" s="1425" t="s">
        <v>562</v>
      </c>
      <c r="C23" s="1426"/>
      <c r="D23" s="1426"/>
      <c r="E23" s="1426"/>
      <c r="F23" s="1426"/>
      <c r="G23" s="1426"/>
      <c r="H23" s="1426"/>
      <c r="I23" s="1426"/>
      <c r="J23" s="1426"/>
      <c r="K23" s="1426"/>
      <c r="L23" s="1426"/>
      <c r="M23" s="1426"/>
      <c r="N23" s="1426"/>
      <c r="O23" s="1427"/>
      <c r="P23" s="1427"/>
      <c r="Q23" s="1427"/>
      <c r="R23" s="1427"/>
      <c r="S23" s="1427"/>
      <c r="T23" s="1427"/>
      <c r="U23" s="1427"/>
      <c r="V23" s="1427"/>
      <c r="W23" s="1427"/>
      <c r="X23" s="1427"/>
      <c r="Y23" s="1427"/>
      <c r="Z23" s="1427"/>
      <c r="AA23" s="1427"/>
      <c r="AB23" s="1427"/>
      <c r="AC23" s="1428"/>
      <c r="AD23" s="689" t="s">
        <v>987</v>
      </c>
      <c r="AE23" s="688"/>
    </row>
    <row r="24" spans="1:88" s="99" customFormat="1" ht="17.5" customHeight="1">
      <c r="A24" s="143"/>
      <c r="B24" s="85" t="s">
        <v>293</v>
      </c>
      <c r="C24" s="117"/>
      <c r="D24" s="916"/>
      <c r="E24" s="870"/>
      <c r="F24" s="870"/>
      <c r="G24" s="870"/>
      <c r="H24" s="135"/>
      <c r="I24" s="135"/>
      <c r="J24" s="174">
        <f>SUM(J25:J27)</f>
        <v>692.8</v>
      </c>
      <c r="K24" s="174">
        <f t="shared" ref="K24:P24" si="15">SUM(K25:K27)</f>
        <v>39.200000000000003</v>
      </c>
      <c r="L24" s="174">
        <f t="shared" si="15"/>
        <v>29</v>
      </c>
      <c r="M24" s="174">
        <f t="shared" si="15"/>
        <v>27</v>
      </c>
      <c r="N24" s="174">
        <f t="shared" si="15"/>
        <v>18</v>
      </c>
      <c r="O24" s="997">
        <f t="shared" si="15"/>
        <v>0</v>
      </c>
      <c r="P24" s="1027">
        <f t="shared" si="15"/>
        <v>0</v>
      </c>
      <c r="Q24" s="1027"/>
      <c r="R24" s="1027"/>
      <c r="S24" s="1027"/>
      <c r="T24" s="1027"/>
      <c r="U24" s="1027"/>
      <c r="V24" s="1027"/>
      <c r="W24" s="1027"/>
      <c r="X24" s="1027"/>
      <c r="Y24" s="1027"/>
      <c r="Z24" s="1027"/>
      <c r="AA24" s="1027"/>
      <c r="AB24" s="1027"/>
      <c r="AC24" s="181"/>
      <c r="AD24" s="994">
        <f t="shared" ref="AD24:AD38" si="16">SUM(I24:Y24)/4</f>
        <v>201.5</v>
      </c>
      <c r="AE24" s="1417" t="s">
        <v>404</v>
      </c>
      <c r="AF24" s="1418"/>
    </row>
    <row r="25" spans="1:88" s="99" customFormat="1" ht="15">
      <c r="A25" s="143"/>
      <c r="B25" s="145" t="s">
        <v>289</v>
      </c>
      <c r="C25" s="117"/>
      <c r="D25" s="916"/>
      <c r="E25" s="870"/>
      <c r="F25" s="870"/>
      <c r="G25" s="870"/>
      <c r="H25" s="135"/>
      <c r="I25" s="135"/>
      <c r="J25" s="174">
        <f>C45*4</f>
        <v>600</v>
      </c>
      <c r="K25" s="174"/>
      <c r="L25" s="174"/>
      <c r="M25" s="174"/>
      <c r="N25" s="174"/>
      <c r="O25" s="998"/>
      <c r="P25" s="86"/>
      <c r="Q25" s="86"/>
      <c r="R25" s="86"/>
      <c r="S25" s="86"/>
      <c r="T25" s="86"/>
      <c r="U25" s="86"/>
      <c r="V25" s="86"/>
      <c r="W25" s="86"/>
      <c r="X25" s="86"/>
      <c r="Y25" s="86"/>
      <c r="Z25" s="86"/>
      <c r="AA25" s="86"/>
      <c r="AB25" s="86"/>
      <c r="AC25" s="87"/>
      <c r="AD25" s="994">
        <f t="shared" si="16"/>
        <v>150</v>
      </c>
      <c r="AE25" s="174"/>
    </row>
    <row r="26" spans="1:88" s="99" customFormat="1" ht="15" customHeight="1">
      <c r="A26" s="143"/>
      <c r="B26" s="145" t="s">
        <v>290</v>
      </c>
      <c r="C26" s="117"/>
      <c r="D26" s="916"/>
      <c r="E26" s="870"/>
      <c r="F26" s="870"/>
      <c r="G26" s="870"/>
      <c r="H26" s="135"/>
      <c r="I26" s="135"/>
      <c r="J26" s="174">
        <v>28.4</v>
      </c>
      <c r="K26" s="174">
        <v>15.8</v>
      </c>
      <c r="L26" s="174">
        <v>15.2</v>
      </c>
      <c r="M26" s="174">
        <v>10.9</v>
      </c>
      <c r="N26" s="174">
        <v>18</v>
      </c>
      <c r="O26" s="998"/>
      <c r="P26" s="86"/>
      <c r="Q26" s="86"/>
      <c r="R26" s="86"/>
      <c r="S26" s="86"/>
      <c r="T26" s="86"/>
      <c r="U26" s="86"/>
      <c r="V26" s="86"/>
      <c r="W26" s="86"/>
      <c r="X26" s="86"/>
      <c r="Y26" s="86"/>
      <c r="Z26" s="86"/>
      <c r="AA26" s="86"/>
      <c r="AB26" s="86"/>
      <c r="AC26" s="87"/>
      <c r="AD26" s="994">
        <f t="shared" si="16"/>
        <v>22.075000000000003</v>
      </c>
      <c r="AE26" s="174"/>
    </row>
    <row r="27" spans="1:88" s="99" customFormat="1" ht="15">
      <c r="A27" s="143"/>
      <c r="B27" s="167" t="s">
        <v>291</v>
      </c>
      <c r="C27" s="117"/>
      <c r="D27" s="916"/>
      <c r="E27" s="870"/>
      <c r="F27" s="870"/>
      <c r="G27" s="870"/>
      <c r="H27" s="135"/>
      <c r="I27" s="135"/>
      <c r="J27" s="177">
        <v>64.400000000000006</v>
      </c>
      <c r="K27" s="177">
        <v>23.4</v>
      </c>
      <c r="L27" s="177">
        <v>13.8</v>
      </c>
      <c r="M27" s="177">
        <v>16.100000000000001</v>
      </c>
      <c r="N27" s="174"/>
      <c r="O27" s="998"/>
      <c r="P27" s="86"/>
      <c r="Q27" s="86"/>
      <c r="R27" s="86"/>
      <c r="S27" s="86"/>
      <c r="T27" s="86"/>
      <c r="U27" s="86"/>
      <c r="V27" s="86"/>
      <c r="W27" s="86"/>
      <c r="X27" s="86"/>
      <c r="Y27" s="86"/>
      <c r="Z27" s="86"/>
      <c r="AA27" s="86"/>
      <c r="AB27" s="86"/>
      <c r="AC27" s="87"/>
      <c r="AD27" s="994">
        <f t="shared" si="16"/>
        <v>29.425000000000004</v>
      </c>
      <c r="AE27" s="174"/>
    </row>
    <row r="28" spans="1:88" s="99" customFormat="1" ht="16.5" customHeight="1">
      <c r="A28" s="143"/>
      <c r="B28" s="168" t="s">
        <v>294</v>
      </c>
      <c r="C28" s="117"/>
      <c r="D28" s="916"/>
      <c r="E28" s="870"/>
      <c r="F28" s="870"/>
      <c r="G28" s="870"/>
      <c r="H28" s="135"/>
      <c r="I28" s="135"/>
      <c r="J28" s="135"/>
      <c r="K28" s="135"/>
      <c r="L28" s="135"/>
      <c r="M28" s="174">
        <f>SUM(M29:M33)</f>
        <v>43</v>
      </c>
      <c r="N28" s="174">
        <f t="shared" ref="N28:AC28" si="17">SUM(N29:N33)</f>
        <v>70</v>
      </c>
      <c r="O28" s="998">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94">
        <f t="shared" si="16"/>
        <v>150.49999999999991</v>
      </c>
      <c r="AE28" s="1417" t="s">
        <v>403</v>
      </c>
      <c r="AF28" s="1418"/>
    </row>
    <row r="29" spans="1:88" s="99" customFormat="1" ht="15">
      <c r="A29" s="143"/>
      <c r="B29" s="167" t="s">
        <v>288</v>
      </c>
      <c r="C29" s="117"/>
      <c r="D29" s="916"/>
      <c r="E29" s="870"/>
      <c r="F29" s="870"/>
      <c r="G29" s="870"/>
      <c r="H29" s="135"/>
      <c r="I29" s="135"/>
      <c r="J29" s="135"/>
      <c r="K29" s="135"/>
      <c r="L29" s="135"/>
      <c r="M29" s="174">
        <f>C48/12*4</f>
        <v>9.6666666666666661</v>
      </c>
      <c r="N29" s="174">
        <f>M29</f>
        <v>9.6666666666666661</v>
      </c>
      <c r="O29" s="998">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994">
        <f t="shared" si="16"/>
        <v>29.000000000000004</v>
      </c>
      <c r="AE29" s="1417"/>
      <c r="AF29" s="1418"/>
    </row>
    <row r="30" spans="1:88" s="99" customFormat="1" ht="45">
      <c r="A30" s="143"/>
      <c r="B30" s="145" t="s">
        <v>290</v>
      </c>
      <c r="C30" s="117"/>
      <c r="D30" s="916"/>
      <c r="E30" s="870"/>
      <c r="F30" s="870"/>
      <c r="G30" s="870"/>
      <c r="H30" s="135"/>
      <c r="I30" s="135"/>
      <c r="J30" s="135"/>
      <c r="K30" s="135"/>
      <c r="L30" s="135"/>
      <c r="M30" s="987">
        <f>C59/12*4 - 7</f>
        <v>20.333333333333332</v>
      </c>
      <c r="N30" s="987">
        <f>C59/12*4 + 20</f>
        <v>47.333333333333329</v>
      </c>
      <c r="O30" s="999">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94">
        <f>SUM(I30:Y30)/4</f>
        <v>82.499999999999943</v>
      </c>
      <c r="AE30" s="690" t="s">
        <v>1151</v>
      </c>
    </row>
    <row r="31" spans="1:88" s="99" customFormat="1" ht="15">
      <c r="A31" s="143"/>
      <c r="B31" s="145" t="s">
        <v>291</v>
      </c>
      <c r="C31" s="117"/>
      <c r="D31" s="916"/>
      <c r="E31" s="870"/>
      <c r="F31" s="870"/>
      <c r="G31" s="870"/>
      <c r="H31" s="135"/>
      <c r="I31" s="135"/>
      <c r="J31" s="135"/>
      <c r="K31" s="135"/>
      <c r="L31" s="135"/>
      <c r="M31" s="174">
        <f>C60/12*4</f>
        <v>1</v>
      </c>
      <c r="N31" s="174">
        <f>C60/12*4</f>
        <v>1</v>
      </c>
      <c r="O31" s="998">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994">
        <f t="shared" si="16"/>
        <v>3</v>
      </c>
      <c r="AE31" s="135"/>
    </row>
    <row r="32" spans="1:88" s="99" customFormat="1" ht="13" customHeight="1">
      <c r="A32" s="143"/>
      <c r="B32" s="145" t="s">
        <v>392</v>
      </c>
      <c r="C32" s="117"/>
      <c r="D32" s="916"/>
      <c r="E32" s="870"/>
      <c r="F32" s="870"/>
      <c r="G32" s="870"/>
      <c r="H32" s="135"/>
      <c r="I32" s="135"/>
      <c r="J32" s="135"/>
      <c r="K32" s="135"/>
      <c r="L32" s="135"/>
      <c r="M32" s="174">
        <f t="shared" ref="M32:X32" si="20">$C$61/12*4</f>
        <v>11.333333333333334</v>
      </c>
      <c r="N32" s="174">
        <f t="shared" si="20"/>
        <v>11.333333333333334</v>
      </c>
      <c r="O32" s="998">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994">
        <f t="shared" si="16"/>
        <v>33.999999999999993</v>
      </c>
      <c r="AE32" s="135"/>
    </row>
    <row r="33" spans="1:88" s="99" customFormat="1" ht="15">
      <c r="A33" s="143"/>
      <c r="B33" s="145" t="s">
        <v>389</v>
      </c>
      <c r="C33" s="117"/>
      <c r="D33" s="916"/>
      <c r="E33" s="870"/>
      <c r="F33" s="870"/>
      <c r="G33" s="870"/>
      <c r="H33" s="135"/>
      <c r="I33" s="135"/>
      <c r="J33" s="135"/>
      <c r="K33" s="135"/>
      <c r="L33" s="135"/>
      <c r="M33" s="174">
        <f t="shared" ref="M33:X33" si="21">$C$62/12*4</f>
        <v>0.66666666666666663</v>
      </c>
      <c r="N33" s="174">
        <f t="shared" si="21"/>
        <v>0.66666666666666663</v>
      </c>
      <c r="O33" s="998">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994">
        <f t="shared" si="16"/>
        <v>2</v>
      </c>
      <c r="AE33" s="135"/>
    </row>
    <row r="34" spans="1:88" s="99" customFormat="1" ht="44" customHeight="1">
      <c r="A34" s="143"/>
      <c r="B34" s="85" t="s">
        <v>347</v>
      </c>
      <c r="C34" s="117"/>
      <c r="D34" s="916"/>
      <c r="E34" s="870"/>
      <c r="F34" s="870"/>
      <c r="G34" s="870"/>
      <c r="H34" s="135"/>
      <c r="I34" s="135"/>
      <c r="J34" s="135"/>
      <c r="K34" s="135"/>
      <c r="L34" s="135"/>
      <c r="M34" s="174"/>
      <c r="N34" s="174">
        <f t="shared" ref="N34:AC34" si="22">SUM(N35:N39)</f>
        <v>953.63159999999982</v>
      </c>
      <c r="O34" s="998">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94">
        <f t="shared" si="16"/>
        <v>571.77499999999986</v>
      </c>
      <c r="AE34" s="1417" t="s">
        <v>988</v>
      </c>
      <c r="AF34" s="1418"/>
    </row>
    <row r="35" spans="1:88" s="99" customFormat="1" ht="17.5" customHeight="1">
      <c r="A35" s="143"/>
      <c r="B35" s="145" t="s">
        <v>367</v>
      </c>
      <c r="C35" s="870"/>
      <c r="D35" s="916"/>
      <c r="E35" s="870"/>
      <c r="F35" s="870"/>
      <c r="G35" s="870"/>
      <c r="H35" s="135"/>
      <c r="I35" s="135"/>
      <c r="J35" s="135"/>
      <c r="K35" s="135"/>
      <c r="L35" s="135"/>
      <c r="M35" s="174"/>
      <c r="N35" s="174">
        <f>0.6*C64*4</f>
        <v>868.91999999999985</v>
      </c>
      <c r="O35" s="998"/>
      <c r="P35" s="86"/>
      <c r="Q35" s="86">
        <f>0.4*C64*4</f>
        <v>579.28</v>
      </c>
      <c r="R35" s="86"/>
      <c r="S35" s="86"/>
      <c r="T35" s="86"/>
      <c r="U35" s="86"/>
      <c r="V35" s="86"/>
      <c r="W35" s="86"/>
      <c r="X35" s="86"/>
      <c r="Y35" s="86"/>
      <c r="Z35" s="86"/>
      <c r="AA35" s="86"/>
      <c r="AB35" s="86"/>
      <c r="AC35" s="87"/>
      <c r="AD35" s="994">
        <f t="shared" si="16"/>
        <v>362.04999999999995</v>
      </c>
      <c r="AE35" s="169" t="s">
        <v>395</v>
      </c>
      <c r="AF35" s="169"/>
    </row>
    <row r="36" spans="1:88" s="99" customFormat="1" ht="15">
      <c r="A36" s="143"/>
      <c r="B36" s="145" t="s">
        <v>290</v>
      </c>
      <c r="C36" s="870"/>
      <c r="D36" s="916"/>
      <c r="E36" s="870"/>
      <c r="F36" s="870"/>
      <c r="G36" s="870"/>
      <c r="H36" s="135"/>
      <c r="I36" s="135"/>
      <c r="J36" s="135"/>
      <c r="K36" s="135"/>
      <c r="L36" s="135"/>
      <c r="M36" s="174"/>
      <c r="N36" s="174">
        <f>'ARP Quarterly'!D9</f>
        <v>24.693999999999999</v>
      </c>
      <c r="O36" s="998">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94">
        <f t="shared" si="16"/>
        <v>113.68849999999999</v>
      </c>
      <c r="AE36" s="174"/>
    </row>
    <row r="37" spans="1:88" s="99" customFormat="1" ht="15">
      <c r="A37" s="143"/>
      <c r="B37" s="145" t="s">
        <v>291</v>
      </c>
      <c r="C37" s="870"/>
      <c r="D37" s="916"/>
      <c r="E37" s="870"/>
      <c r="F37" s="870"/>
      <c r="G37" s="870"/>
      <c r="H37" s="135"/>
      <c r="I37" s="135"/>
      <c r="J37" s="135"/>
      <c r="K37" s="135"/>
      <c r="L37" s="135"/>
      <c r="M37" s="174"/>
      <c r="N37" s="174">
        <f>'ARP Quarterly'!D14</f>
        <v>0.76160000000000005</v>
      </c>
      <c r="O37" s="998">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94">
        <f t="shared" si="16"/>
        <v>1.6999999999999997</v>
      </c>
      <c r="AE37" s="174"/>
    </row>
    <row r="38" spans="1:88" s="99" customFormat="1" ht="15">
      <c r="A38" s="143"/>
      <c r="B38" s="145" t="s">
        <v>394</v>
      </c>
      <c r="C38" s="870"/>
      <c r="D38" s="916"/>
      <c r="E38" s="870"/>
      <c r="F38" s="870"/>
      <c r="G38" s="870"/>
      <c r="H38" s="135"/>
      <c r="I38" s="135"/>
      <c r="J38" s="135"/>
      <c r="K38" s="135"/>
      <c r="L38" s="135"/>
      <c r="M38" s="174"/>
      <c r="N38" s="174">
        <f>'ARP Quarterly'!D10</f>
        <v>59.256</v>
      </c>
      <c r="O38" s="998">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94">
        <f t="shared" si="16"/>
        <v>94.336500000000001</v>
      </c>
      <c r="AE38" s="174"/>
    </row>
    <row r="39" spans="1:88" s="141" customFormat="1">
      <c r="A39" s="143"/>
      <c r="B39" s="159"/>
      <c r="C39" s="366"/>
      <c r="D39" s="918"/>
      <c r="E39" s="919"/>
      <c r="F39" s="919"/>
      <c r="G39" s="919"/>
      <c r="H39" s="988"/>
      <c r="I39" s="988"/>
      <c r="J39" s="988"/>
      <c r="K39" s="988"/>
      <c r="L39" s="988"/>
      <c r="M39" s="990"/>
      <c r="N39" s="990"/>
      <c r="O39" s="1000"/>
      <c r="P39" s="172"/>
      <c r="Q39" s="172"/>
      <c r="R39" s="172"/>
      <c r="S39" s="172"/>
      <c r="T39" s="172"/>
      <c r="U39" s="172"/>
      <c r="V39" s="172"/>
      <c r="W39" s="172"/>
      <c r="X39" s="172"/>
      <c r="Y39" s="172"/>
      <c r="Z39" s="172"/>
      <c r="AA39" s="172"/>
      <c r="AB39" s="172"/>
      <c r="AC39" s="173"/>
      <c r="AD39" s="989"/>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c r="A43" s="131"/>
      <c r="B43" s="146" t="s">
        <v>359</v>
      </c>
      <c r="C43" s="147" t="s">
        <v>348</v>
      </c>
      <c r="D43" s="179" t="s">
        <v>361</v>
      </c>
      <c r="E43" s="661"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ht="15">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ht="15">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416"/>
      <c r="R47" s="1416"/>
      <c r="S47" s="1416"/>
      <c r="T47" s="1416"/>
      <c r="U47" s="1416"/>
      <c r="V47" s="1416"/>
      <c r="W47" s="1416"/>
      <c r="X47" s="1416"/>
      <c r="Y47" s="1416"/>
      <c r="Z47" s="1416"/>
      <c r="AA47" s="1416"/>
      <c r="AB47" s="1416"/>
      <c r="AC47" s="1416"/>
      <c r="AD47" s="1416"/>
      <c r="AE47" s="1416"/>
      <c r="AF47" s="1416"/>
      <c r="AG47" s="1416"/>
      <c r="AH47" s="1416"/>
    </row>
    <row r="48" spans="1:88" s="44" customFormat="1" ht="17" customHeight="1">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392"/>
      <c r="R48" s="1392"/>
      <c r="S48" s="1392"/>
      <c r="T48" s="1392"/>
      <c r="U48" s="1392"/>
      <c r="V48" s="1392"/>
      <c r="W48" s="1392"/>
      <c r="X48" s="1392"/>
      <c r="Y48" s="1392"/>
      <c r="Z48" s="815"/>
      <c r="AA48" s="856"/>
      <c r="AB48" s="856"/>
      <c r="AC48" s="856"/>
      <c r="AD48" s="1392"/>
      <c r="AE48" s="1392"/>
      <c r="AF48" s="1392"/>
      <c r="AG48" s="1392"/>
      <c r="AH48" s="96"/>
    </row>
    <row r="49" spans="1:34" s="44" customFormat="1" ht="15.5" customHeight="1">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15"/>
      <c r="AA49" s="856"/>
      <c r="AB49" s="856"/>
      <c r="AC49" s="856"/>
      <c r="AD49" s="96"/>
      <c r="AE49" s="96"/>
      <c r="AF49" s="96"/>
      <c r="AG49" s="96"/>
      <c r="AH49" s="96"/>
    </row>
    <row r="50" spans="1:34" s="44" customFormat="1" ht="15" customHeight="1">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ht="15">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ht="15">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ht="15">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ht="15">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ht="15">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c r="A65" s="1415"/>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ht="15">
      <c r="A66" s="1415"/>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c r="A71" s="137"/>
      <c r="B71" s="1400" t="s">
        <v>366</v>
      </c>
      <c r="C71" s="1401"/>
      <c r="D71" s="1412" t="s">
        <v>261</v>
      </c>
      <c r="E71" s="1413"/>
      <c r="F71" s="1413"/>
      <c r="G71" s="1413"/>
      <c r="H71" s="1413"/>
      <c r="I71" s="1413"/>
      <c r="J71" s="1413"/>
      <c r="K71" s="1413"/>
      <c r="L71" s="1413"/>
      <c r="M71" s="1413"/>
      <c r="N71" s="1414"/>
      <c r="O71" s="1408" t="s">
        <v>143</v>
      </c>
      <c r="P71" s="1409"/>
      <c r="Q71" s="1409"/>
      <c r="R71" s="1409"/>
      <c r="S71" s="1409"/>
      <c r="T71" s="1409"/>
      <c r="U71" s="1409"/>
      <c r="V71" s="1409"/>
      <c r="W71" s="1409"/>
      <c r="X71" s="1409"/>
      <c r="Y71" s="1409"/>
      <c r="Z71" s="1409"/>
      <c r="AA71" s="1409"/>
      <c r="AB71" s="1409"/>
      <c r="AC71" s="1410"/>
      <c r="AD71" s="303"/>
      <c r="AE71" s="303"/>
      <c r="AF71" s="137"/>
    </row>
    <row r="72" spans="1:32" s="44" customFormat="1">
      <c r="A72" s="131"/>
      <c r="B72" s="1402"/>
      <c r="C72" s="1403"/>
      <c r="D72" s="805">
        <v>2018</v>
      </c>
      <c r="E72" s="1383">
        <v>2019</v>
      </c>
      <c r="F72" s="1384"/>
      <c r="G72" s="1384"/>
      <c r="H72" s="1393"/>
      <c r="I72" s="1383">
        <v>2020</v>
      </c>
      <c r="J72" s="1384"/>
      <c r="K72" s="1384"/>
      <c r="L72" s="1393"/>
      <c r="M72" s="1383">
        <v>2021</v>
      </c>
      <c r="N72" s="1393"/>
      <c r="O72" s="1406">
        <v>2021</v>
      </c>
      <c r="P72" s="1395"/>
      <c r="Q72" s="1406">
        <v>2022</v>
      </c>
      <c r="R72" s="1394"/>
      <c r="S72" s="1394"/>
      <c r="T72" s="1395"/>
      <c r="U72" s="1406">
        <v>2023</v>
      </c>
      <c r="V72" s="1394"/>
      <c r="W72" s="1394"/>
      <c r="X72" s="1411"/>
      <c r="Y72" s="1406">
        <v>2024</v>
      </c>
      <c r="Z72" s="1411"/>
      <c r="AA72" s="1411"/>
      <c r="AB72" s="1395"/>
      <c r="AC72" s="475">
        <v>2025</v>
      </c>
      <c r="AD72" s="304"/>
      <c r="AE72" s="304"/>
    </row>
    <row r="73" spans="1:32" s="44" customFormat="1">
      <c r="A73" s="131"/>
      <c r="B73" s="1404"/>
      <c r="C73" s="1405"/>
      <c r="D73" s="224" t="s">
        <v>138</v>
      </c>
      <c r="E73" s="224" t="s">
        <v>135</v>
      </c>
      <c r="F73" s="200" t="s">
        <v>136</v>
      </c>
      <c r="G73" s="200" t="s">
        <v>137</v>
      </c>
      <c r="H73" s="208" t="s">
        <v>138</v>
      </c>
      <c r="I73" s="201" t="s">
        <v>135</v>
      </c>
      <c r="J73" s="201" t="s">
        <v>136</v>
      </c>
      <c r="K73" s="201" t="s">
        <v>137</v>
      </c>
      <c r="L73" s="201" t="s">
        <v>138</v>
      </c>
      <c r="M73" s="216" t="s">
        <v>135</v>
      </c>
      <c r="N73" s="208" t="s">
        <v>136</v>
      </c>
      <c r="O73" s="859" t="s">
        <v>137</v>
      </c>
      <c r="P73" s="860" t="s">
        <v>138</v>
      </c>
      <c r="Q73" s="858" t="s">
        <v>135</v>
      </c>
      <c r="R73" s="859" t="s">
        <v>136</v>
      </c>
      <c r="S73" s="859" t="s">
        <v>137</v>
      </c>
      <c r="T73" s="859" t="s">
        <v>138</v>
      </c>
      <c r="U73" s="858" t="s">
        <v>135</v>
      </c>
      <c r="V73" s="859" t="s">
        <v>136</v>
      </c>
      <c r="W73" s="859" t="s">
        <v>137</v>
      </c>
      <c r="X73" s="859" t="s">
        <v>138</v>
      </c>
      <c r="Y73" s="858" t="s">
        <v>135</v>
      </c>
      <c r="Z73" s="577" t="s">
        <v>136</v>
      </c>
      <c r="AA73" s="859" t="s">
        <v>137</v>
      </c>
      <c r="AB73" s="860" t="s">
        <v>138</v>
      </c>
      <c r="AC73" s="82" t="s">
        <v>135</v>
      </c>
      <c r="AD73" s="304"/>
      <c r="AE73" s="304"/>
    </row>
    <row r="74" spans="1:32" s="44" customFormat="1" ht="29" customHeight="1">
      <c r="A74" s="131"/>
      <c r="B74" s="682" t="s">
        <v>563</v>
      </c>
      <c r="C74" s="1001"/>
      <c r="D74" s="1002"/>
      <c r="E74" s="1001"/>
      <c r="F74" s="1001"/>
      <c r="G74" s="1001"/>
      <c r="H74" s="1003">
        <f t="shared" ref="H74:AC74" si="23">SUM(H76:H83)</f>
        <v>208.59399999999999</v>
      </c>
      <c r="I74" s="1003">
        <f t="shared" si="23"/>
        <v>212.48200000000003</v>
      </c>
      <c r="J74" s="1003">
        <f t="shared" si="23"/>
        <v>334.61</v>
      </c>
      <c r="K74" s="1003">
        <f t="shared" si="23"/>
        <v>301.78300000000002</v>
      </c>
      <c r="L74" s="1003">
        <f t="shared" si="23"/>
        <v>280.16300000000001</v>
      </c>
      <c r="M74" s="1003">
        <f t="shared" si="23"/>
        <v>310.15499999999997</v>
      </c>
      <c r="N74" s="1005">
        <f t="shared" si="23"/>
        <v>346.31500000000005</v>
      </c>
      <c r="O74" s="678">
        <f t="shared" si="23"/>
        <v>357.37317644110277</v>
      </c>
      <c r="P74" s="1006">
        <f t="shared" si="23"/>
        <v>393.13708782957406</v>
      </c>
      <c r="Q74" s="1006">
        <f t="shared" si="23"/>
        <v>401.59684440561404</v>
      </c>
      <c r="R74" s="1006">
        <f t="shared" si="23"/>
        <v>419.69377636126723</v>
      </c>
      <c r="S74" s="1006">
        <f t="shared" si="23"/>
        <v>438.34081535917659</v>
      </c>
      <c r="T74" s="1006">
        <f t="shared" si="23"/>
        <v>458.27990750346845</v>
      </c>
      <c r="U74" s="1006">
        <f t="shared" si="23"/>
        <v>478.97760180360723</v>
      </c>
      <c r="V74" s="1006">
        <f t="shared" si="23"/>
        <v>471.71644350775153</v>
      </c>
      <c r="W74" s="1006">
        <f t="shared" si="23"/>
        <v>479.39300748806158</v>
      </c>
      <c r="X74" s="1006">
        <f t="shared" si="23"/>
        <v>492.73634954758404</v>
      </c>
      <c r="Y74" s="1006">
        <f t="shared" si="23"/>
        <v>481.54983616948743</v>
      </c>
      <c r="Z74" s="1006">
        <f t="shared" si="23"/>
        <v>473.87554213626697</v>
      </c>
      <c r="AA74" s="1006">
        <f t="shared" si="23"/>
        <v>489.00698046171772</v>
      </c>
      <c r="AB74" s="1006">
        <f t="shared" si="23"/>
        <v>503.86304218018643</v>
      </c>
      <c r="AC74" s="679">
        <f t="shared" si="23"/>
        <v>511.23178213939389</v>
      </c>
      <c r="AD74" s="360"/>
      <c r="AE74" s="360"/>
    </row>
    <row r="75" spans="1:32" s="44" customFormat="1" ht="19" customHeight="1">
      <c r="A75" s="131"/>
      <c r="B75" s="118" t="s">
        <v>559</v>
      </c>
      <c r="C75" s="244"/>
      <c r="D75" s="1004"/>
      <c r="E75" s="244"/>
      <c r="F75" s="244"/>
      <c r="G75" s="244"/>
      <c r="H75" s="178"/>
      <c r="I75" s="178"/>
      <c r="J75" s="178"/>
      <c r="K75" s="178"/>
      <c r="L75" s="178"/>
      <c r="M75" s="178"/>
      <c r="N75" s="360"/>
      <c r="O75" s="680"/>
      <c r="P75" s="358"/>
      <c r="Q75" s="358"/>
      <c r="R75" s="358"/>
      <c r="S75" s="358"/>
      <c r="T75" s="358"/>
      <c r="U75" s="358"/>
      <c r="V75" s="358"/>
      <c r="W75" s="358"/>
      <c r="X75" s="358"/>
      <c r="Y75" s="358"/>
      <c r="Z75" s="358"/>
      <c r="AA75" s="358"/>
      <c r="AB75" s="358"/>
      <c r="AC75" s="359"/>
      <c r="AD75" s="360"/>
      <c r="AE75" s="360"/>
    </row>
    <row r="76" spans="1:32" s="44" customFormat="1" ht="15">
      <c r="A76" s="131"/>
      <c r="B76" s="95" t="s">
        <v>291</v>
      </c>
      <c r="C76" s="117"/>
      <c r="D76" s="66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ht="15">
      <c r="A77" s="131"/>
      <c r="B77" s="95" t="s">
        <v>288</v>
      </c>
      <c r="C77" s="117"/>
      <c r="D77" s="669"/>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ht="15">
      <c r="A78" s="131"/>
      <c r="B78" s="95" t="s">
        <v>714</v>
      </c>
      <c r="C78" s="117"/>
      <c r="D78" s="669"/>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ht="15">
      <c r="A79" s="137"/>
      <c r="B79" s="95" t="s">
        <v>561</v>
      </c>
      <c r="C79" s="117"/>
      <c r="D79" s="66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c r="A80" s="131"/>
      <c r="B80" s="683" t="s">
        <v>560</v>
      </c>
      <c r="C80" s="117"/>
      <c r="D80" s="669"/>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c r="A81" s="131"/>
      <c r="B81" s="94" t="s">
        <v>290</v>
      </c>
      <c r="C81" s="117"/>
      <c r="D81" s="669"/>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ht="15">
      <c r="A82" s="131"/>
      <c r="B82" s="94" t="s">
        <v>289</v>
      </c>
      <c r="C82" s="362"/>
      <c r="D82" s="699"/>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c r="A83" s="131"/>
      <c r="B83" s="1109" t="s">
        <v>1007</v>
      </c>
      <c r="C83" s="919"/>
      <c r="D83" s="918"/>
      <c r="E83" s="919"/>
      <c r="F83" s="919"/>
      <c r="G83" s="919"/>
      <c r="H83" s="990"/>
      <c r="I83" s="990"/>
      <c r="J83" s="990"/>
      <c r="K83" s="990"/>
      <c r="L83" s="990"/>
      <c r="M83" s="990"/>
      <c r="N83" s="990">
        <f>'ARP Quarterly'!D47</f>
        <v>0</v>
      </c>
      <c r="O83" s="1106">
        <f>'ARP Quarterly'!E47</f>
        <v>0</v>
      </c>
      <c r="P83" s="1107">
        <f>'ARP Quarterly'!F47</f>
        <v>34.620851999999999</v>
      </c>
      <c r="Q83" s="1107">
        <f>'ARP Quarterly'!G47</f>
        <v>45.996274799999995</v>
      </c>
      <c r="R83" s="1107">
        <f>'ARP Quarterly'!H47</f>
        <v>59.350031999999992</v>
      </c>
      <c r="S83" s="1107">
        <f>'ARP Quarterly'!I47</f>
        <v>64.295867999999999</v>
      </c>
      <c r="T83" s="1107">
        <f>'ARP Quarterly'!J47</f>
        <v>72.538927999999999</v>
      </c>
      <c r="U83" s="1107">
        <f>'ARP Quarterly'!K47</f>
        <v>80.122543199999996</v>
      </c>
      <c r="V83" s="1107">
        <f>'ARP Quarterly'!L47</f>
        <v>98.916719999999998</v>
      </c>
      <c r="W83" s="1107">
        <f>'ARP Quarterly'!M47</f>
        <v>102.213944</v>
      </c>
      <c r="X83" s="1107">
        <f>'ARP Quarterly'!N47</f>
        <v>102.213944</v>
      </c>
      <c r="Y83" s="1107">
        <f>'ARP Quarterly'!O47</f>
        <v>102.213944</v>
      </c>
      <c r="Z83" s="1107">
        <f>'ARP Quarterly'!P47</f>
        <v>98.916719999999998</v>
      </c>
      <c r="AA83" s="1107">
        <f>'ARP Quarterly'!Q47</f>
        <v>98.916719999999998</v>
      </c>
      <c r="AB83" s="1107">
        <f>'ARP Quarterly'!R47</f>
        <v>99.081581199999988</v>
      </c>
      <c r="AC83" s="1108">
        <f>'ARP Quarterly'!S47</f>
        <v>93.146578000000005</v>
      </c>
    </row>
    <row r="85" spans="1:32" ht="12.5" customHeight="1">
      <c r="I85" s="1103"/>
      <c r="J85" s="1103"/>
      <c r="K85" s="1103"/>
      <c r="L85" s="1103"/>
      <c r="M85" s="1103"/>
      <c r="N85" s="1103"/>
      <c r="O85" s="1103"/>
      <c r="P85" s="1103"/>
      <c r="Q85" s="1103"/>
      <c r="R85" s="1103"/>
      <c r="S85" s="1103"/>
      <c r="T85" s="1103"/>
      <c r="U85" s="1103"/>
      <c r="V85" s="1103"/>
      <c r="W85" s="1103"/>
      <c r="X85" s="1103"/>
      <c r="Y85" s="1103"/>
      <c r="Z85" s="1103"/>
      <c r="AA85" s="1103"/>
      <c r="AB85" s="1103"/>
      <c r="AC85" s="1103"/>
      <c r="AD85" s="306"/>
      <c r="AE85" s="306"/>
    </row>
    <row r="86" spans="1:32">
      <c r="V86" s="120"/>
      <c r="W86" s="120"/>
      <c r="X86" s="120"/>
      <c r="Y86" s="120"/>
      <c r="Z86" s="120"/>
      <c r="AA86" s="120"/>
      <c r="AB86" s="120"/>
      <c r="AC86" s="120"/>
      <c r="AD86" s="120"/>
      <c r="AE86" s="120"/>
    </row>
    <row r="87" spans="1:32">
      <c r="B87" s="1382" t="s">
        <v>6</v>
      </c>
      <c r="C87" s="1382"/>
      <c r="D87" s="1382"/>
      <c r="E87" s="1382"/>
      <c r="F87" s="1382"/>
      <c r="G87" s="1382"/>
      <c r="H87" s="1382"/>
      <c r="I87" s="1382"/>
      <c r="J87" s="1382"/>
      <c r="K87" s="1382"/>
      <c r="L87" s="1382"/>
      <c r="M87" s="1382"/>
      <c r="N87" s="1382"/>
      <c r="O87" s="1382"/>
      <c r="P87" s="1382"/>
      <c r="Q87" s="1382"/>
      <c r="R87" s="1382"/>
      <c r="S87" s="1382"/>
      <c r="T87" s="1382"/>
      <c r="U87" s="1382"/>
      <c r="V87" s="1382"/>
      <c r="W87" s="1382"/>
      <c r="X87" s="1382"/>
      <c r="Y87" s="1382"/>
      <c r="Z87" s="801"/>
      <c r="AA87" s="857"/>
      <c r="AB87" s="857"/>
      <c r="AC87" s="857"/>
      <c r="AD87" s="671"/>
      <c r="AE87" s="671"/>
    </row>
    <row r="88" spans="1:32" ht="19" customHeight="1">
      <c r="B88" s="1407" t="s">
        <v>985</v>
      </c>
      <c r="C88" s="1407"/>
      <c r="D88" s="1407"/>
      <c r="E88" s="1407"/>
      <c r="F88" s="1407"/>
      <c r="G88" s="1407"/>
      <c r="H88" s="1407"/>
      <c r="I88" s="1407"/>
      <c r="J88" s="1407"/>
      <c r="K88" s="1407"/>
      <c r="L88" s="1407"/>
      <c r="M88" s="1407"/>
      <c r="N88" s="1407"/>
      <c r="O88" s="1407"/>
      <c r="P88" s="1407"/>
      <c r="Q88" s="1407"/>
      <c r="R88" s="1407"/>
      <c r="S88" s="1407"/>
      <c r="T88" s="1407"/>
      <c r="U88" s="1407"/>
      <c r="V88" s="1407"/>
      <c r="W88" s="1407"/>
      <c r="X88" s="1407"/>
      <c r="Y88" s="1407"/>
      <c r="Z88" s="1407"/>
      <c r="AA88" s="1407"/>
      <c r="AB88" s="1407"/>
      <c r="AC88" s="1407"/>
      <c r="AD88" s="305"/>
      <c r="AE88" s="305"/>
    </row>
    <row r="89" spans="1:32" ht="11.5" customHeight="1">
      <c r="B89" s="74"/>
      <c r="C89" s="74"/>
      <c r="D89" s="640"/>
      <c r="E89" s="640"/>
      <c r="F89" s="640"/>
      <c r="G89" s="640"/>
      <c r="H89" s="74"/>
      <c r="I89" s="74"/>
      <c r="J89" s="74"/>
      <c r="K89" s="74"/>
      <c r="L89" s="74"/>
      <c r="M89" s="74"/>
      <c r="V89" s="148"/>
      <c r="W89" s="148"/>
      <c r="X89" s="148"/>
      <c r="Y89" s="148"/>
      <c r="Z89" s="820"/>
      <c r="AA89" s="864"/>
      <c r="AB89" s="864"/>
      <c r="AC89" s="864"/>
      <c r="AD89" s="646"/>
      <c r="AE89" s="646"/>
      <c r="AF89" s="120"/>
    </row>
    <row r="90" spans="1:32" ht="14.5" customHeight="1">
      <c r="B90" s="1400" t="s">
        <v>260</v>
      </c>
      <c r="C90" s="1401"/>
      <c r="D90" s="1412" t="s">
        <v>261</v>
      </c>
      <c r="E90" s="1413"/>
      <c r="F90" s="1413"/>
      <c r="G90" s="1413"/>
      <c r="H90" s="1413"/>
      <c r="I90" s="1413"/>
      <c r="J90" s="1413"/>
      <c r="K90" s="1413"/>
      <c r="L90" s="1413"/>
      <c r="M90" s="1413"/>
      <c r="N90" s="1414"/>
      <c r="O90" s="1408" t="s">
        <v>143</v>
      </c>
      <c r="P90" s="1409"/>
      <c r="Q90" s="1409"/>
      <c r="R90" s="1409"/>
      <c r="S90" s="1409"/>
      <c r="T90" s="1409"/>
      <c r="U90" s="1409"/>
      <c r="V90" s="1409"/>
      <c r="W90" s="1409"/>
      <c r="X90" s="1409"/>
      <c r="Y90" s="1409"/>
      <c r="Z90" s="1409"/>
      <c r="AA90" s="1409"/>
      <c r="AB90" s="1409"/>
      <c r="AC90" s="1410"/>
      <c r="AD90" s="644"/>
      <c r="AE90" s="644"/>
      <c r="AF90" s="120"/>
    </row>
    <row r="91" spans="1:32">
      <c r="B91" s="1402"/>
      <c r="C91" s="1403"/>
      <c r="D91" s="805">
        <v>2018</v>
      </c>
      <c r="E91" s="1383">
        <v>2019</v>
      </c>
      <c r="F91" s="1384"/>
      <c r="G91" s="1384"/>
      <c r="H91" s="1393"/>
      <c r="I91" s="1383">
        <v>2020</v>
      </c>
      <c r="J91" s="1384"/>
      <c r="K91" s="1384"/>
      <c r="L91" s="1393"/>
      <c r="M91" s="1383">
        <v>2021</v>
      </c>
      <c r="N91" s="1393"/>
      <c r="O91" s="1406">
        <v>2021</v>
      </c>
      <c r="P91" s="1395"/>
      <c r="Q91" s="1406">
        <v>2022</v>
      </c>
      <c r="R91" s="1394"/>
      <c r="S91" s="1394"/>
      <c r="T91" s="1395"/>
      <c r="U91" s="1406">
        <v>2023</v>
      </c>
      <c r="V91" s="1394"/>
      <c r="W91" s="1394"/>
      <c r="X91" s="1411"/>
      <c r="Y91" s="1406">
        <v>2024</v>
      </c>
      <c r="Z91" s="1411"/>
      <c r="AA91" s="1411"/>
      <c r="AB91" s="1395"/>
      <c r="AC91" s="475">
        <v>2025</v>
      </c>
      <c r="AD91" s="672"/>
      <c r="AE91" s="672"/>
      <c r="AF91" s="120"/>
    </row>
    <row r="92" spans="1:32">
      <c r="B92" s="1404"/>
      <c r="C92" s="1405"/>
      <c r="D92" s="224" t="s">
        <v>138</v>
      </c>
      <c r="E92" s="224" t="s">
        <v>135</v>
      </c>
      <c r="F92" s="200" t="s">
        <v>136</v>
      </c>
      <c r="G92" s="200" t="s">
        <v>137</v>
      </c>
      <c r="H92" s="208" t="s">
        <v>138</v>
      </c>
      <c r="I92" s="201" t="s">
        <v>135</v>
      </c>
      <c r="J92" s="201" t="s">
        <v>136</v>
      </c>
      <c r="K92" s="201" t="s">
        <v>137</v>
      </c>
      <c r="L92" s="201" t="s">
        <v>138</v>
      </c>
      <c r="M92" s="216" t="s">
        <v>135</v>
      </c>
      <c r="N92" s="208" t="s">
        <v>136</v>
      </c>
      <c r="O92" s="859" t="s">
        <v>137</v>
      </c>
      <c r="P92" s="860" t="s">
        <v>138</v>
      </c>
      <c r="Q92" s="858" t="s">
        <v>135</v>
      </c>
      <c r="R92" s="859" t="s">
        <v>136</v>
      </c>
      <c r="S92" s="859" t="s">
        <v>137</v>
      </c>
      <c r="T92" s="859" t="s">
        <v>138</v>
      </c>
      <c r="U92" s="858" t="s">
        <v>135</v>
      </c>
      <c r="V92" s="859" t="s">
        <v>136</v>
      </c>
      <c r="W92" s="859" t="s">
        <v>137</v>
      </c>
      <c r="X92" s="859" t="s">
        <v>138</v>
      </c>
      <c r="Y92" s="858" t="s">
        <v>135</v>
      </c>
      <c r="Z92" s="577" t="s">
        <v>136</v>
      </c>
      <c r="AA92" s="859" t="s">
        <v>137</v>
      </c>
      <c r="AB92" s="860" t="s">
        <v>138</v>
      </c>
      <c r="AC92" s="82" t="s">
        <v>135</v>
      </c>
      <c r="AD92" s="645"/>
      <c r="AE92" s="645"/>
      <c r="AF92" s="120"/>
    </row>
    <row r="93" spans="1:32" ht="15">
      <c r="B93" s="673" t="s">
        <v>284</v>
      </c>
      <c r="C93" s="674" t="s">
        <v>237</v>
      </c>
      <c r="D93" s="675"/>
      <c r="E93" s="676"/>
      <c r="F93" s="676"/>
      <c r="G93" s="676"/>
      <c r="H93" s="677">
        <f>'Haver Pivoted'!GS41</f>
        <v>70.894000000000005</v>
      </c>
      <c r="I93" s="677">
        <f>'Haver Pivoted'!GT41</f>
        <v>72.774000000000001</v>
      </c>
      <c r="J93" s="677">
        <f>'Haver Pivoted'!GU41</f>
        <v>75.275000000000006</v>
      </c>
      <c r="K93" s="677">
        <f>'Haver Pivoted'!GV41</f>
        <v>78.766999999999996</v>
      </c>
      <c r="L93" s="677">
        <f>'Haver Pivoted'!GW41</f>
        <v>76.995000000000005</v>
      </c>
      <c r="M93" s="677">
        <f>'Haver Pivoted'!GX41</f>
        <v>75.03</v>
      </c>
      <c r="N93" s="677">
        <f>'Haver Pivoted'!GY41</f>
        <v>76.701999999999998</v>
      </c>
      <c r="O93" s="1013">
        <f>AVERAGE($H$93:$N$93)</f>
        <v>75.205285714285722</v>
      </c>
      <c r="P93" s="1169">
        <f t="shared" ref="P93:AC93" si="29">AVERAGE($H$93:$N$93)</f>
        <v>75.205285714285722</v>
      </c>
      <c r="Q93" s="1169">
        <f t="shared" si="29"/>
        <v>75.205285714285722</v>
      </c>
      <c r="R93" s="1169">
        <f t="shared" si="29"/>
        <v>75.205285714285722</v>
      </c>
      <c r="S93" s="1169">
        <f t="shared" si="29"/>
        <v>75.205285714285722</v>
      </c>
      <c r="T93" s="1169">
        <f t="shared" si="29"/>
        <v>75.205285714285722</v>
      </c>
      <c r="U93" s="1169">
        <f t="shared" si="29"/>
        <v>75.205285714285722</v>
      </c>
      <c r="V93" s="1169">
        <f t="shared" si="29"/>
        <v>75.205285714285722</v>
      </c>
      <c r="W93" s="1169">
        <f t="shared" si="29"/>
        <v>75.205285714285722</v>
      </c>
      <c r="X93" s="1169">
        <f t="shared" si="29"/>
        <v>75.205285714285722</v>
      </c>
      <c r="Y93" s="1169">
        <f t="shared" si="29"/>
        <v>75.205285714285722</v>
      </c>
      <c r="Z93" s="1169">
        <f t="shared" si="29"/>
        <v>75.205285714285722</v>
      </c>
      <c r="AA93" s="1169">
        <f t="shared" si="29"/>
        <v>75.205285714285722</v>
      </c>
      <c r="AB93" s="1169">
        <f t="shared" si="29"/>
        <v>75.205285714285722</v>
      </c>
      <c r="AC93" s="1170">
        <f t="shared" si="29"/>
        <v>75.205285714285722</v>
      </c>
      <c r="AD93" s="512"/>
      <c r="AE93" s="512"/>
      <c r="AF93" s="120"/>
    </row>
    <row r="94" spans="1:32">
      <c r="AD94" s="120"/>
      <c r="AE94" s="120"/>
      <c r="AF94" s="120"/>
    </row>
    <row r="95" spans="1:32" ht="11" customHeight="1">
      <c r="AD95" s="120"/>
      <c r="AE95" s="120"/>
      <c r="AF95" s="120"/>
    </row>
    <row r="96" spans="1:32" hidden="1"/>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baseColWidth="10" defaultColWidth="8.6640625" defaultRowHeight="14"/>
  <cols>
    <col min="1" max="1" width="8.6640625" style="36"/>
    <col min="2" max="2" width="44.5" style="36" customWidth="1"/>
    <col min="3" max="3" width="13.33203125" style="36" customWidth="1"/>
    <col min="4" max="7" width="10" style="302" customWidth="1"/>
    <col min="8" max="13" width="8.6640625" style="36"/>
    <col min="14" max="19" width="9" style="36" bestFit="1" customWidth="1"/>
    <col min="20" max="21" width="8.83203125" style="36" bestFit="1" customWidth="1"/>
    <col min="22" max="25" width="8.83203125" style="252" customWidth="1"/>
    <col min="26" max="26" width="8.83203125" style="302"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82" t="s">
        <v>144</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47" ht="14" customHeight="1">
      <c r="B2" s="1380" t="s">
        <v>1071</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47" ht="9" customHeight="1">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47" ht="27" customHeight="1">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c r="AD4" s="120"/>
      <c r="AE4" s="183"/>
      <c r="AF4" s="183"/>
      <c r="AG4" s="183"/>
      <c r="AH4" s="183"/>
      <c r="AI4" s="183"/>
      <c r="AJ4" s="183"/>
      <c r="AK4" s="183"/>
      <c r="AL4" s="183"/>
      <c r="AM4" s="183"/>
      <c r="AN4" s="120"/>
      <c r="AO4" s="120"/>
      <c r="AP4" s="120"/>
      <c r="AQ4" s="120"/>
      <c r="AR4" s="120"/>
      <c r="AS4" s="120"/>
      <c r="AT4" s="120"/>
      <c r="AU4" s="120"/>
    </row>
    <row r="5" spans="2:47">
      <c r="B5" s="44"/>
      <c r="AC5" s="184"/>
      <c r="AD5" s="184"/>
      <c r="AE5" s="184"/>
      <c r="AF5" s="184"/>
      <c r="AG5" s="184"/>
      <c r="AH5" s="184"/>
      <c r="AI5" s="184"/>
      <c r="AJ5" s="184"/>
      <c r="AK5" s="184"/>
      <c r="AL5" s="184"/>
      <c r="AM5" s="184"/>
      <c r="AN5" s="184"/>
      <c r="AO5" s="184"/>
      <c r="AP5" s="184"/>
      <c r="AQ5" s="184"/>
      <c r="AR5" s="184"/>
      <c r="AS5" s="184"/>
      <c r="AT5" s="184"/>
      <c r="AU5" s="120"/>
    </row>
    <row r="6" spans="2:47" ht="14.5" customHeight="1">
      <c r="B6" s="1400" t="s">
        <v>260</v>
      </c>
      <c r="C6" s="1401"/>
      <c r="D6" s="806" t="s">
        <v>261</v>
      </c>
      <c r="E6" s="807"/>
      <c r="F6" s="807"/>
      <c r="G6" s="807"/>
      <c r="H6" s="807"/>
      <c r="I6" s="807"/>
      <c r="J6" s="807"/>
      <c r="K6" s="807"/>
      <c r="L6" s="807"/>
      <c r="M6" s="928"/>
      <c r="N6" s="814"/>
      <c r="O6" s="1408" t="s">
        <v>143</v>
      </c>
      <c r="P6" s="1409"/>
      <c r="Q6" s="1409"/>
      <c r="R6" s="1409"/>
      <c r="S6" s="1409"/>
      <c r="T6" s="1409"/>
      <c r="U6" s="1409"/>
      <c r="V6" s="1409"/>
      <c r="W6" s="1409"/>
      <c r="X6" s="1409"/>
      <c r="Y6" s="1409"/>
      <c r="Z6" s="1409"/>
      <c r="AA6" s="1409"/>
      <c r="AB6" s="1409"/>
      <c r="AC6" s="1410"/>
      <c r="AD6" s="120"/>
      <c r="AE6" s="120"/>
      <c r="AF6" s="120"/>
      <c r="AG6" s="120"/>
      <c r="AH6" s="120"/>
      <c r="AI6" s="120"/>
      <c r="AJ6" s="120"/>
      <c r="AK6" s="120"/>
      <c r="AL6" s="120"/>
      <c r="AM6" s="120"/>
      <c r="AN6" s="120"/>
      <c r="AO6" s="120"/>
      <c r="AP6" s="120"/>
      <c r="AQ6" s="120"/>
      <c r="AR6" s="120"/>
      <c r="AS6" s="120"/>
      <c r="AT6" s="120"/>
      <c r="AU6" s="120"/>
    </row>
    <row r="7" spans="2:47" ht="14.5" customHeight="1">
      <c r="B7" s="1402"/>
      <c r="C7" s="1403"/>
      <c r="D7" s="805">
        <v>2018</v>
      </c>
      <c r="E7" s="808">
        <v>2019</v>
      </c>
      <c r="F7" s="802"/>
      <c r="G7" s="802"/>
      <c r="H7" s="804"/>
      <c r="I7" s="802">
        <v>2020</v>
      </c>
      <c r="J7" s="803"/>
      <c r="K7" s="803"/>
      <c r="L7" s="803"/>
      <c r="M7" s="808">
        <v>2021</v>
      </c>
      <c r="N7" s="804"/>
      <c r="O7" s="1406">
        <v>2021</v>
      </c>
      <c r="P7" s="1395"/>
      <c r="Q7" s="1406">
        <v>2022</v>
      </c>
      <c r="R7" s="1394"/>
      <c r="S7" s="1394"/>
      <c r="T7" s="1395"/>
      <c r="U7" s="1406">
        <v>2023</v>
      </c>
      <c r="V7" s="1394"/>
      <c r="W7" s="1394"/>
      <c r="X7" s="1411"/>
      <c r="Y7" s="1406">
        <v>2024</v>
      </c>
      <c r="Z7" s="1411"/>
      <c r="AA7" s="1411"/>
      <c r="AB7" s="1395"/>
      <c r="AC7" s="475">
        <v>2025</v>
      </c>
      <c r="AD7" s="120"/>
      <c r="AE7" s="120"/>
      <c r="AF7" s="120"/>
      <c r="AG7" s="120"/>
      <c r="AH7" s="120"/>
      <c r="AI7" s="120"/>
      <c r="AJ7" s="120"/>
      <c r="AK7" s="120"/>
      <c r="AL7" s="120"/>
      <c r="AM7" s="120"/>
      <c r="AN7" s="120"/>
      <c r="AO7" s="120"/>
      <c r="AP7" s="120"/>
      <c r="AQ7" s="120"/>
      <c r="AR7" s="120"/>
      <c r="AS7" s="120"/>
      <c r="AT7" s="120"/>
      <c r="AU7" s="120"/>
    </row>
    <row r="8" spans="2:47">
      <c r="B8" s="1404"/>
      <c r="C8" s="1405"/>
      <c r="D8" s="224" t="s">
        <v>138</v>
      </c>
      <c r="E8" s="224" t="s">
        <v>135</v>
      </c>
      <c r="F8" s="200" t="s">
        <v>136</v>
      </c>
      <c r="G8" s="200" t="s">
        <v>137</v>
      </c>
      <c r="H8" s="208" t="s">
        <v>138</v>
      </c>
      <c r="I8" s="201" t="s">
        <v>135</v>
      </c>
      <c r="J8" s="201" t="s">
        <v>136</v>
      </c>
      <c r="K8" s="201" t="s">
        <v>137</v>
      </c>
      <c r="L8" s="201" t="s">
        <v>138</v>
      </c>
      <c r="M8" s="216" t="s">
        <v>135</v>
      </c>
      <c r="N8" s="208" t="s">
        <v>136</v>
      </c>
      <c r="O8" s="859" t="s">
        <v>137</v>
      </c>
      <c r="P8" s="860" t="s">
        <v>138</v>
      </c>
      <c r="Q8" s="858" t="s">
        <v>135</v>
      </c>
      <c r="R8" s="859" t="s">
        <v>136</v>
      </c>
      <c r="S8" s="859" t="s">
        <v>137</v>
      </c>
      <c r="T8" s="859" t="s">
        <v>138</v>
      </c>
      <c r="U8" s="858" t="s">
        <v>135</v>
      </c>
      <c r="V8" s="859" t="s">
        <v>136</v>
      </c>
      <c r="W8" s="859" t="s">
        <v>137</v>
      </c>
      <c r="X8" s="859" t="s">
        <v>138</v>
      </c>
      <c r="Y8" s="858" t="s">
        <v>135</v>
      </c>
      <c r="Z8" s="577" t="s">
        <v>136</v>
      </c>
      <c r="AA8" s="859" t="s">
        <v>137</v>
      </c>
      <c r="AB8" s="86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c r="B9" s="61" t="s">
        <v>1056</v>
      </c>
      <c r="C9" s="60" t="s">
        <v>199</v>
      </c>
      <c r="D9" s="877"/>
      <c r="E9" s="878"/>
      <c r="F9" s="878"/>
      <c r="G9" s="878"/>
      <c r="H9" s="878">
        <f>'Haver Pivoted'!GS23</f>
        <v>1441.7</v>
      </c>
      <c r="I9" s="878">
        <f>'Haver Pivoted'!GT23</f>
        <v>1454.7</v>
      </c>
      <c r="J9" s="878">
        <f>'Haver Pivoted'!GU23</f>
        <v>1525</v>
      </c>
      <c r="K9" s="878">
        <f>'Haver Pivoted'!GV23</f>
        <v>1515.1</v>
      </c>
      <c r="L9" s="878">
        <f>'Haver Pivoted'!GW23</f>
        <v>1512.3</v>
      </c>
      <c r="M9" s="879">
        <f>'Haver Pivoted'!GX23</f>
        <v>1568.6</v>
      </c>
      <c r="N9" s="873">
        <f>'Haver Pivoted'!GY23</f>
        <v>1563.3</v>
      </c>
      <c r="O9" s="876">
        <f t="shared" ref="O9:Y9" si="0">N9*((100 + O11)/100)^(0.25)</f>
        <v>1574.4706324651618</v>
      </c>
      <c r="P9" s="876">
        <f t="shared" si="0"/>
        <v>1586.3910806856957</v>
      </c>
      <c r="Q9" s="876">
        <f t="shared" si="0"/>
        <v>1598.4948253539787</v>
      </c>
      <c r="R9" s="876">
        <f t="shared" si="0"/>
        <v>1600.4852269719188</v>
      </c>
      <c r="S9" s="876">
        <f t="shared" si="0"/>
        <v>1599.8246179233195</v>
      </c>
      <c r="T9" s="876">
        <f t="shared" si="0"/>
        <v>1599.9925730575819</v>
      </c>
      <c r="U9" s="876">
        <f t="shared" si="0"/>
        <v>1604.2713586599725</v>
      </c>
      <c r="V9" s="876">
        <f t="shared" si="0"/>
        <v>1610.249863080161</v>
      </c>
      <c r="W9" s="876">
        <f t="shared" si="0"/>
        <v>1617.9041839311014</v>
      </c>
      <c r="X9" s="876">
        <f t="shared" si="0"/>
        <v>1626.9012547503785</v>
      </c>
      <c r="Y9" s="876">
        <f t="shared" si="0"/>
        <v>1635.7763242754954</v>
      </c>
      <c r="Z9" s="876">
        <f t="shared" ref="Z9" si="1">Y9*((100 + Z11)/100)^(0.25)</f>
        <v>1644.6998090678856</v>
      </c>
      <c r="AA9" s="876">
        <f t="shared" ref="AA9" si="2">Z9*((100 + AA11)/100)^(0.25)</f>
        <v>1654.0763434825342</v>
      </c>
      <c r="AB9" s="876">
        <f t="shared" ref="AB9" si="3">AA9*((100 + AB11)/100)^(0.25)</f>
        <v>1663.0996585149583</v>
      </c>
      <c r="AC9" s="1042">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c r="B10" s="72" t="s">
        <v>1021</v>
      </c>
      <c r="C10" s="60"/>
      <c r="D10" s="880"/>
      <c r="E10" s="62"/>
      <c r="F10" s="62"/>
      <c r="G10" s="62"/>
      <c r="H10" s="62">
        <v>1447.9</v>
      </c>
      <c r="I10" s="62">
        <v>1452.6</v>
      </c>
      <c r="J10" s="62">
        <v>1504.8</v>
      </c>
      <c r="K10" s="62">
        <v>1487</v>
      </c>
      <c r="L10" s="62">
        <v>1493.4</v>
      </c>
      <c r="M10" s="80">
        <v>1557</v>
      </c>
      <c r="N10" s="874">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59">
        <v>1636</v>
      </c>
      <c r="AB10" s="859">
        <v>1645</v>
      </c>
      <c r="AC10" s="86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c r="B11" s="72" t="s">
        <v>1022</v>
      </c>
      <c r="C11" s="825"/>
      <c r="D11" s="824"/>
      <c r="E11" s="825"/>
      <c r="F11" s="825"/>
      <c r="G11" s="825"/>
      <c r="H11" s="68">
        <v>5.3259999999999996</v>
      </c>
      <c r="I11" s="68">
        <v>1.278</v>
      </c>
      <c r="J11" s="68">
        <v>15.177</v>
      </c>
      <c r="K11" s="566">
        <v>-4.6340000000000003</v>
      </c>
      <c r="L11" s="566">
        <v>1.732</v>
      </c>
      <c r="M11" s="73">
        <v>18.143999999999998</v>
      </c>
      <c r="N11" s="875">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59">
        <v>2.2999999999999998</v>
      </c>
      <c r="AB11" s="859">
        <v>2.2000000000000002</v>
      </c>
      <c r="AC11" s="860">
        <v>2.5</v>
      </c>
      <c r="AD11" s="302"/>
    </row>
    <row r="12" spans="2:47" s="302" customFormat="1">
      <c r="B12" s="563" t="s">
        <v>724</v>
      </c>
      <c r="C12" s="562"/>
      <c r="D12" s="563"/>
      <c r="E12" s="562"/>
      <c r="F12" s="562"/>
      <c r="G12" s="562"/>
      <c r="H12" s="566"/>
      <c r="I12" s="566"/>
      <c r="J12" s="566"/>
      <c r="K12" s="566"/>
      <c r="L12" s="566"/>
      <c r="M12" s="73"/>
      <c r="N12" s="875"/>
      <c r="O12" s="565"/>
      <c r="P12" s="565"/>
      <c r="Q12" s="565"/>
      <c r="R12" s="565"/>
      <c r="S12" s="565"/>
      <c r="T12" s="565"/>
      <c r="U12" s="565"/>
      <c r="V12" s="565"/>
      <c r="W12" s="565"/>
      <c r="X12" s="565"/>
      <c r="Y12" s="565"/>
      <c r="Z12" s="565"/>
      <c r="AA12" s="565"/>
      <c r="AB12" s="565"/>
      <c r="AC12" s="567"/>
      <c r="AD12" s="302" t="s">
        <v>990</v>
      </c>
    </row>
    <row r="13" spans="2:47" ht="30">
      <c r="B13" s="55" t="s">
        <v>277</v>
      </c>
      <c r="C13" s="825"/>
      <c r="D13" s="824"/>
      <c r="E13" s="825"/>
      <c r="F13" s="825"/>
      <c r="G13" s="825"/>
      <c r="H13" s="62">
        <f t="shared" ref="H13:N13" si="5">H9</f>
        <v>1441.7</v>
      </c>
      <c r="I13" s="62">
        <f t="shared" si="5"/>
        <v>1454.7</v>
      </c>
      <c r="J13" s="62">
        <f t="shared" si="5"/>
        <v>1525</v>
      </c>
      <c r="K13" s="62">
        <f t="shared" si="5"/>
        <v>1515.1</v>
      </c>
      <c r="L13" s="62">
        <f t="shared" si="5"/>
        <v>1512.3</v>
      </c>
      <c r="M13" s="80">
        <f t="shared" si="5"/>
        <v>1568.6</v>
      </c>
      <c r="N13" s="874">
        <f t="shared" si="5"/>
        <v>1563.3</v>
      </c>
      <c r="O13" s="577">
        <f t="shared" ref="O13:AC13" si="6">O9 +O12</f>
        <v>1574.4706324651618</v>
      </c>
      <c r="P13" s="577">
        <f t="shared" si="6"/>
        <v>1586.3910806856957</v>
      </c>
      <c r="Q13" s="577">
        <f t="shared" si="6"/>
        <v>1598.4948253539787</v>
      </c>
      <c r="R13" s="577">
        <f t="shared" si="6"/>
        <v>1600.4852269719188</v>
      </c>
      <c r="S13" s="577">
        <f t="shared" si="6"/>
        <v>1599.8246179233195</v>
      </c>
      <c r="T13" s="577">
        <f t="shared" si="6"/>
        <v>1599.9925730575819</v>
      </c>
      <c r="U13" s="577">
        <f t="shared" si="6"/>
        <v>1604.2713586599725</v>
      </c>
      <c r="V13" s="577">
        <f t="shared" si="6"/>
        <v>1610.249863080161</v>
      </c>
      <c r="W13" s="577">
        <f t="shared" si="6"/>
        <v>1617.9041839311014</v>
      </c>
      <c r="X13" s="577">
        <f t="shared" si="6"/>
        <v>1626.9012547503785</v>
      </c>
      <c r="Y13" s="577">
        <f t="shared" si="6"/>
        <v>1635.7763242754954</v>
      </c>
      <c r="Z13" s="577">
        <f t="shared" si="6"/>
        <v>1644.6998090678856</v>
      </c>
      <c r="AA13" s="577">
        <f t="shared" si="6"/>
        <v>1654.0763434825342</v>
      </c>
      <c r="AB13" s="577">
        <f t="shared" si="6"/>
        <v>1663.0996585149583</v>
      </c>
      <c r="AC13" s="578">
        <f t="shared" si="6"/>
        <v>1673.3979812645641</v>
      </c>
      <c r="AD13" s="36" t="s">
        <v>278</v>
      </c>
    </row>
    <row r="14" spans="2:47" ht="15">
      <c r="B14" s="105" t="s">
        <v>295</v>
      </c>
      <c r="C14" s="823"/>
      <c r="D14" s="822"/>
      <c r="E14" s="823"/>
      <c r="F14" s="823"/>
      <c r="G14" s="823"/>
      <c r="H14" s="697">
        <f t="shared" ref="H14:AC14" si="7">H13+H48</f>
        <v>1721.1880000000001</v>
      </c>
      <c r="I14" s="697">
        <f t="shared" si="7"/>
        <v>1739.9560000000001</v>
      </c>
      <c r="J14" s="697">
        <f t="shared" si="7"/>
        <v>1934.885</v>
      </c>
      <c r="K14" s="697">
        <f t="shared" si="7"/>
        <v>1895.6499999999999</v>
      </c>
      <c r="L14" s="697">
        <f t="shared" si="7"/>
        <v>1869.4580000000001</v>
      </c>
      <c r="M14" s="697">
        <f t="shared" si="7"/>
        <v>1953.7849999999999</v>
      </c>
      <c r="N14" s="698">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566</v>
      </c>
    </row>
    <row r="17" spans="2:30" ht="21.5" customHeight="1">
      <c r="B17" s="1382" t="s">
        <v>130</v>
      </c>
      <c r="C17" s="1382"/>
      <c r="D17" s="1382"/>
      <c r="E17" s="1382"/>
      <c r="F17" s="1382"/>
      <c r="G17" s="1382"/>
      <c r="H17" s="1382"/>
      <c r="I17" s="1382"/>
      <c r="J17" s="1382"/>
      <c r="K17" s="1382"/>
      <c r="L17" s="1382"/>
      <c r="M17" s="1382"/>
      <c r="N17" s="1382"/>
      <c r="O17" s="1382"/>
      <c r="P17" s="1382"/>
      <c r="Q17" s="1382"/>
      <c r="R17" s="1382"/>
      <c r="S17" s="1382"/>
      <c r="T17" s="1382"/>
      <c r="U17" s="1382"/>
      <c r="V17" s="1382"/>
      <c r="W17" s="1382"/>
      <c r="X17" s="1382"/>
      <c r="Y17" s="1382"/>
      <c r="Z17" s="1382"/>
      <c r="AA17" s="1382"/>
      <c r="AB17" s="1382"/>
      <c r="AC17" s="1382"/>
    </row>
    <row r="18" spans="2:30" ht="14" customHeight="1">
      <c r="B18" s="1407" t="s">
        <v>405</v>
      </c>
      <c r="C18" s="1407"/>
      <c r="D18" s="1407"/>
      <c r="E18" s="1407"/>
      <c r="F18" s="1407"/>
      <c r="G18" s="1407"/>
      <c r="H18" s="1407"/>
      <c r="I18" s="1407"/>
      <c r="J18" s="1407"/>
      <c r="K18" s="1407"/>
      <c r="L18" s="1407"/>
      <c r="M18" s="1407"/>
      <c r="N18" s="1407"/>
      <c r="O18" s="1407"/>
      <c r="P18" s="1407"/>
      <c r="Q18" s="1407"/>
      <c r="R18" s="1407"/>
      <c r="S18" s="1407"/>
      <c r="T18" s="1407"/>
      <c r="U18" s="1407"/>
      <c r="V18" s="1407"/>
      <c r="W18" s="1407"/>
      <c r="X18" s="1407"/>
      <c r="Y18" s="1407"/>
      <c r="Z18" s="1407"/>
      <c r="AA18" s="1407"/>
      <c r="AB18" s="1407"/>
      <c r="AC18" s="1407"/>
    </row>
    <row r="19" spans="2:30">
      <c r="B19" s="1407"/>
      <c r="C19" s="1407"/>
      <c r="D19" s="1407"/>
      <c r="E19" s="1407"/>
      <c r="F19" s="1407"/>
      <c r="G19" s="1407"/>
      <c r="H19" s="1407"/>
      <c r="I19" s="1407"/>
      <c r="J19" s="1407"/>
      <c r="K19" s="1407"/>
      <c r="L19" s="1407"/>
      <c r="M19" s="1407"/>
      <c r="N19" s="1407"/>
      <c r="O19" s="1407"/>
      <c r="P19" s="1407"/>
      <c r="Q19" s="1407"/>
      <c r="R19" s="1407"/>
      <c r="S19" s="1407"/>
      <c r="T19" s="1407"/>
      <c r="U19" s="1407"/>
      <c r="V19" s="1407"/>
      <c r="W19" s="1407"/>
      <c r="X19" s="1407"/>
      <c r="Y19" s="1407"/>
      <c r="Z19" s="1407"/>
      <c r="AA19" s="1407"/>
      <c r="AB19" s="1407"/>
      <c r="AC19" s="1407"/>
    </row>
    <row r="20" spans="2:30">
      <c r="B20" s="1407"/>
      <c r="C20" s="1407"/>
      <c r="D20" s="1407"/>
      <c r="E20" s="1407"/>
      <c r="F20" s="1407"/>
      <c r="G20" s="1407"/>
      <c r="H20" s="1407"/>
      <c r="I20" s="1407"/>
      <c r="J20" s="1407"/>
      <c r="K20" s="1407"/>
      <c r="L20" s="1407"/>
      <c r="M20" s="1407"/>
      <c r="N20" s="1407"/>
      <c r="O20" s="1407"/>
      <c r="P20" s="1407"/>
      <c r="Q20" s="1407"/>
      <c r="R20" s="1407"/>
      <c r="S20" s="1407"/>
      <c r="T20" s="1407"/>
      <c r="U20" s="1407"/>
      <c r="V20" s="1407"/>
      <c r="W20" s="1407"/>
      <c r="X20" s="1407"/>
      <c r="Y20" s="1407"/>
      <c r="Z20" s="1407"/>
      <c r="AA20" s="1407"/>
      <c r="AB20" s="1407"/>
      <c r="AC20" s="1407"/>
    </row>
    <row r="22" spans="2:30">
      <c r="B22" s="1400" t="s">
        <v>260</v>
      </c>
      <c r="C22" s="1401"/>
      <c r="D22" s="1412" t="s">
        <v>261</v>
      </c>
      <c r="E22" s="1413"/>
      <c r="F22" s="1413"/>
      <c r="G22" s="1413"/>
      <c r="H22" s="1413"/>
      <c r="I22" s="1413"/>
      <c r="J22" s="1413"/>
      <c r="K22" s="1413"/>
      <c r="L22" s="1413"/>
      <c r="M22" s="1397"/>
      <c r="N22" s="1435"/>
      <c r="O22" s="1408" t="s">
        <v>143</v>
      </c>
      <c r="P22" s="1409"/>
      <c r="Q22" s="1409"/>
      <c r="R22" s="1409"/>
      <c r="S22" s="1409"/>
      <c r="T22" s="1409"/>
      <c r="U22" s="1409"/>
      <c r="V22" s="1409"/>
      <c r="W22" s="1409"/>
      <c r="X22" s="1409"/>
      <c r="Y22" s="1409"/>
      <c r="Z22" s="1409"/>
      <c r="AA22" s="1409"/>
      <c r="AB22" s="1409"/>
      <c r="AC22" s="1410"/>
    </row>
    <row r="23" spans="2:30">
      <c r="B23" s="1402"/>
      <c r="C23" s="1403"/>
      <c r="D23" s="805">
        <v>2018</v>
      </c>
      <c r="E23" s="1383">
        <v>2019</v>
      </c>
      <c r="F23" s="1436"/>
      <c r="G23" s="1436"/>
      <c r="H23" s="1393"/>
      <c r="I23" s="1436">
        <v>2020</v>
      </c>
      <c r="J23" s="1384"/>
      <c r="K23" s="1384"/>
      <c r="L23" s="1384"/>
      <c r="M23" s="1383">
        <v>2021</v>
      </c>
      <c r="N23" s="1393"/>
      <c r="O23" s="1406">
        <v>2021</v>
      </c>
      <c r="P23" s="1395"/>
      <c r="Q23" s="1406">
        <v>2022</v>
      </c>
      <c r="R23" s="1394"/>
      <c r="S23" s="1394"/>
      <c r="T23" s="1395"/>
      <c r="U23" s="1406">
        <v>2023</v>
      </c>
      <c r="V23" s="1394"/>
      <c r="W23" s="1394"/>
      <c r="X23" s="1411"/>
      <c r="Y23" s="1406">
        <v>2024</v>
      </c>
      <c r="Z23" s="1411"/>
      <c r="AA23" s="1411"/>
      <c r="AB23" s="1395"/>
      <c r="AC23" s="475">
        <v>2025</v>
      </c>
    </row>
    <row r="24" spans="2:30">
      <c r="B24" s="1404"/>
      <c r="C24" s="1405"/>
      <c r="D24" s="224" t="s">
        <v>138</v>
      </c>
      <c r="E24" s="224" t="s">
        <v>135</v>
      </c>
      <c r="F24" s="200" t="s">
        <v>136</v>
      </c>
      <c r="G24" s="200" t="s">
        <v>137</v>
      </c>
      <c r="H24" s="208" t="s">
        <v>138</v>
      </c>
      <c r="I24" s="201" t="s">
        <v>135</v>
      </c>
      <c r="J24" s="201" t="s">
        <v>136</v>
      </c>
      <c r="K24" s="201" t="s">
        <v>137</v>
      </c>
      <c r="L24" s="201" t="s">
        <v>138</v>
      </c>
      <c r="M24" s="216" t="s">
        <v>135</v>
      </c>
      <c r="N24" s="208" t="s">
        <v>136</v>
      </c>
      <c r="O24" s="859" t="s">
        <v>137</v>
      </c>
      <c r="P24" s="860" t="s">
        <v>138</v>
      </c>
      <c r="Q24" s="858" t="s">
        <v>135</v>
      </c>
      <c r="R24" s="859" t="s">
        <v>136</v>
      </c>
      <c r="S24" s="859" t="s">
        <v>137</v>
      </c>
      <c r="T24" s="859" t="s">
        <v>138</v>
      </c>
      <c r="U24" s="858" t="s">
        <v>135</v>
      </c>
      <c r="V24" s="859" t="s">
        <v>136</v>
      </c>
      <c r="W24" s="859" t="s">
        <v>137</v>
      </c>
      <c r="X24" s="859" t="s">
        <v>138</v>
      </c>
      <c r="Y24" s="858" t="s">
        <v>135</v>
      </c>
      <c r="Z24" s="577" t="s">
        <v>136</v>
      </c>
      <c r="AA24" s="859" t="s">
        <v>137</v>
      </c>
      <c r="AB24" s="860" t="s">
        <v>138</v>
      </c>
      <c r="AC24" s="82" t="s">
        <v>135</v>
      </c>
    </row>
    <row r="25" spans="2:30" ht="15">
      <c r="B25" s="71" t="s">
        <v>275</v>
      </c>
      <c r="C25" s="881" t="s">
        <v>220</v>
      </c>
      <c r="D25" s="507"/>
      <c r="E25" s="508"/>
      <c r="F25" s="508"/>
      <c r="G25" s="508"/>
      <c r="H25" s="879">
        <f>'Haver Pivoted'!GS24</f>
        <v>2329.1999999999998</v>
      </c>
      <c r="I25" s="879">
        <f>'Haver Pivoted'!GT24</f>
        <v>2376.9</v>
      </c>
      <c r="J25" s="879">
        <f>'Haver Pivoted'!GU24</f>
        <v>2334.6</v>
      </c>
      <c r="K25" s="879">
        <f>'Haver Pivoted'!GV24</f>
        <v>2346.5</v>
      </c>
      <c r="L25" s="879">
        <f>'Haver Pivoted'!GW24</f>
        <v>2373</v>
      </c>
      <c r="M25" s="879">
        <f>'Haver Pivoted'!GX24</f>
        <v>2408.6999999999998</v>
      </c>
      <c r="N25" s="873">
        <f>'Haver Pivoted'!GY24</f>
        <v>2452.6999999999998</v>
      </c>
      <c r="O25" s="98"/>
      <c r="P25" s="98"/>
      <c r="Q25" s="98"/>
      <c r="R25" s="98"/>
      <c r="S25" s="98"/>
      <c r="T25" s="98"/>
      <c r="U25" s="98"/>
      <c r="V25" s="98"/>
      <c r="W25" s="98"/>
      <c r="X25" s="98"/>
      <c r="Y25" s="98"/>
      <c r="Z25" s="98"/>
      <c r="AA25" s="98"/>
      <c r="AB25" s="98"/>
      <c r="AC25" s="101"/>
    </row>
    <row r="26" spans="2:30" ht="21" customHeight="1">
      <c r="B26" s="72" t="s">
        <v>280</v>
      </c>
      <c r="C26" s="825"/>
      <c r="D26" s="259"/>
      <c r="E26" s="511"/>
      <c r="F26" s="511"/>
      <c r="G26" s="511"/>
      <c r="H26" s="512"/>
      <c r="I26" s="512"/>
      <c r="J26" s="512"/>
      <c r="K26" s="73"/>
      <c r="L26" s="73"/>
      <c r="M26" s="73">
        <v>9.5846503665249383</v>
      </c>
      <c r="N26" s="875">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c r="B27" s="106" t="s">
        <v>299</v>
      </c>
      <c r="C27" s="825"/>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874">
        <f t="shared" si="8"/>
        <v>2452.6999999999998</v>
      </c>
      <c r="O27" s="577">
        <f t="shared" ref="O27:U27" si="9">N27*((100+O26)/100)^0.25</f>
        <v>2511.8436452174183</v>
      </c>
      <c r="P27" s="577">
        <f t="shared" si="9"/>
        <v>2572.4134619069305</v>
      </c>
      <c r="Q27" s="577">
        <f t="shared" si="9"/>
        <v>2628.4359475389774</v>
      </c>
      <c r="R27" s="577">
        <f t="shared" si="9"/>
        <v>2679.4973817692357</v>
      </c>
      <c r="S27" s="577">
        <f t="shared" si="9"/>
        <v>2725.2056548484343</v>
      </c>
      <c r="T27" s="577">
        <f t="shared" si="9"/>
        <v>2761.9282764357772</v>
      </c>
      <c r="U27" s="577">
        <f t="shared" si="9"/>
        <v>2795.8233077203895</v>
      </c>
      <c r="V27" s="577">
        <f t="shared" ref="V27" si="10">U27*((100+V26)/100)^0.25</f>
        <v>2830.1343067749062</v>
      </c>
      <c r="W27" s="577">
        <f t="shared" ref="W27" si="11">V27*((100+W26)/100)^0.25</f>
        <v>2864.8663784533146</v>
      </c>
      <c r="X27" s="577">
        <f t="shared" ref="X27" si="12">W27*((100+X26)/100)^0.25</f>
        <v>2900.0246902575668</v>
      </c>
      <c r="Y27" s="577">
        <f t="shared" ref="Y27" si="13">X27*((100+Y26)/100)^0.25</f>
        <v>2935.6144731064101</v>
      </c>
      <c r="Z27" s="577">
        <f t="shared" ref="Z27" si="14">Y27*((100+Z26)/100)^0.25</f>
        <v>2935.6144731064101</v>
      </c>
      <c r="AA27" s="577">
        <f t="shared" ref="AA27" si="15">Z27*((100+AA26)/100)^0.25</f>
        <v>2935.6144731064101</v>
      </c>
      <c r="AB27" s="577">
        <f t="shared" ref="AB27" si="16">AA27*((100+AB26)/100)^0.25</f>
        <v>2935.6144731064101</v>
      </c>
      <c r="AC27" s="578">
        <f t="shared" ref="AC27" si="17">AB27*((100+AC26)/100)^0.25</f>
        <v>2935.6144731064101</v>
      </c>
    </row>
    <row r="28" spans="2:30" ht="15">
      <c r="B28" s="105" t="s">
        <v>301</v>
      </c>
      <c r="C28" s="823"/>
      <c r="D28" s="883"/>
      <c r="E28" s="884"/>
      <c r="F28" s="884"/>
      <c r="G28" s="884"/>
      <c r="H28" s="697">
        <f t="shared" ref="H28:N28" si="18">H25-H48</f>
        <v>2049.712</v>
      </c>
      <c r="I28" s="697">
        <f t="shared" si="18"/>
        <v>2091.6440000000002</v>
      </c>
      <c r="J28" s="697">
        <f t="shared" si="18"/>
        <v>1924.7149999999999</v>
      </c>
      <c r="K28" s="697">
        <f t="shared" si="18"/>
        <v>1965.95</v>
      </c>
      <c r="L28" s="697">
        <f t="shared" si="18"/>
        <v>2015.8420000000001</v>
      </c>
      <c r="M28" s="697">
        <f t="shared" si="18"/>
        <v>2023.5149999999999</v>
      </c>
      <c r="N28" s="698">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279</v>
      </c>
    </row>
    <row r="29" spans="2:30" s="302" customFormat="1">
      <c r="B29" s="649"/>
      <c r="C29" s="649"/>
      <c r="D29" s="649"/>
      <c r="E29" s="649"/>
      <c r="F29" s="649"/>
      <c r="G29" s="649"/>
      <c r="H29" s="1102" t="e">
        <f t="shared" ref="H29:L29" si="20">(H28/G28)^4-1</f>
        <v>#DIV/0!</v>
      </c>
      <c r="I29" s="1102">
        <f t="shared" si="20"/>
        <v>8.4375512359762039E-2</v>
      </c>
      <c r="J29" s="1102">
        <f t="shared" si="20"/>
        <v>-0.28300744302674896</v>
      </c>
      <c r="K29" s="1102">
        <f t="shared" si="20"/>
        <v>8.848926220761677E-2</v>
      </c>
      <c r="L29" s="1102">
        <f t="shared" si="20"/>
        <v>0.10544231537179294</v>
      </c>
      <c r="M29" s="1102">
        <f>(M28/L28)^4-1</f>
        <v>1.5312550207230657E-2</v>
      </c>
      <c r="N29" s="1102">
        <f>(N28/M28)^4-1</f>
        <v>1.2248506070200227E-2</v>
      </c>
      <c r="O29" s="1102">
        <f>(O28/N28)^4-1</f>
        <v>0.10135332910276085</v>
      </c>
      <c r="P29" s="1102">
        <f t="shared" ref="P29:R29" si="21">(P28/O28)^4-1</f>
        <v>4.8581302950745142E-2</v>
      </c>
      <c r="Q29" s="1102">
        <f t="shared" si="21"/>
        <v>9.3532791476390598E-2</v>
      </c>
      <c r="R29" s="1102">
        <f t="shared" si="21"/>
        <v>6.270551665674895E-2</v>
      </c>
      <c r="S29" s="1102">
        <f t="shared" ref="S29" si="22">(S28/R28)^4-1</f>
        <v>5.0477420544534413E-2</v>
      </c>
      <c r="T29" s="1102">
        <f t="shared" ref="T29" si="23">(T28/S28)^4-1</f>
        <v>3.0701912484763838E-2</v>
      </c>
      <c r="U29" s="1102">
        <f t="shared" ref="U29" si="24">(U28/T28)^4-1</f>
        <v>2.3900160603576914E-2</v>
      </c>
      <c r="V29" s="1102">
        <f t="shared" ref="V29" si="25">(V28/U28)^4-1</f>
        <v>7.6270896599283322E-2</v>
      </c>
      <c r="W29" s="1102">
        <f t="shared" ref="W29" si="26">(W28/V28)^4-1</f>
        <v>4.8248191936735241E-2</v>
      </c>
      <c r="X29" s="1102">
        <f t="shared" ref="X29" si="27">(X28/W28)^4-1</f>
        <v>3.8308809393508669E-2</v>
      </c>
      <c r="Y29" s="1102">
        <f t="shared" ref="Y29" si="28">(Y28/X28)^4-1</f>
        <v>8.2677242188014866E-2</v>
      </c>
      <c r="Z29" s="1102">
        <f t="shared" ref="Z29" si="29">(Z28/Y28)^4-1</f>
        <v>1.2966736053817707E-2</v>
      </c>
    </row>
    <row r="30" spans="2:30" s="302" customFormat="1">
      <c r="B30" s="649"/>
      <c r="C30" s="649"/>
      <c r="D30" s="649"/>
      <c r="E30" s="649"/>
      <c r="F30" s="649"/>
      <c r="G30" s="649"/>
      <c r="H30" s="62"/>
      <c r="I30" s="62"/>
      <c r="J30" s="62"/>
      <c r="K30" s="62"/>
      <c r="L30" s="62"/>
      <c r="M30" s="62"/>
      <c r="N30" s="80"/>
      <c r="O30" s="80"/>
      <c r="P30" s="80"/>
      <c r="Q30" s="80"/>
      <c r="R30" s="80"/>
      <c r="S30" s="80"/>
      <c r="T30" s="80"/>
      <c r="U30" s="80"/>
      <c r="V30" s="80"/>
      <c r="W30" s="80"/>
      <c r="X30" s="80"/>
      <c r="Y30" s="80"/>
      <c r="Z30" s="80"/>
    </row>
    <row r="31" spans="2:30" s="302" customFormat="1" ht="39" customHeight="1">
      <c r="B31" s="757" t="s">
        <v>1018</v>
      </c>
      <c r="C31" s="889" t="s">
        <v>1016</v>
      </c>
      <c r="D31" s="890">
        <v>44197</v>
      </c>
      <c r="E31" s="891">
        <v>44228</v>
      </c>
      <c r="F31" s="891">
        <v>44256</v>
      </c>
      <c r="G31" s="891">
        <v>44287</v>
      </c>
      <c r="H31" s="891">
        <v>44317</v>
      </c>
      <c r="I31" s="891">
        <v>44348</v>
      </c>
      <c r="J31" s="892">
        <v>44378</v>
      </c>
      <c r="K31" s="755"/>
      <c r="L31" s="755"/>
      <c r="M31" s="755"/>
      <c r="N31" s="755"/>
      <c r="O31" s="755"/>
      <c r="P31" s="80"/>
      <c r="Q31" s="80"/>
      <c r="R31" s="80"/>
      <c r="S31" s="80"/>
      <c r="T31" s="80"/>
      <c r="U31" s="80"/>
      <c r="V31" s="80"/>
      <c r="W31" s="80"/>
      <c r="X31" s="80"/>
      <c r="Y31" s="80"/>
      <c r="Z31" s="80"/>
    </row>
    <row r="32" spans="2:30" s="302" customFormat="1" ht="19.5" customHeight="1">
      <c r="B32" s="355" t="s">
        <v>1019</v>
      </c>
      <c r="C32" s="187" t="s">
        <v>257</v>
      </c>
      <c r="D32" s="759">
        <v>5008</v>
      </c>
      <c r="E32" s="893">
        <v>4955</v>
      </c>
      <c r="F32" s="893">
        <v>4967</v>
      </c>
      <c r="G32" s="893">
        <v>4977</v>
      </c>
      <c r="H32" s="893">
        <v>5024</v>
      </c>
      <c r="I32" s="893">
        <v>5093</v>
      </c>
      <c r="J32" s="894"/>
      <c r="K32" s="560"/>
      <c r="L32" s="758"/>
      <c r="M32" s="758"/>
      <c r="N32" s="758"/>
      <c r="O32" s="758"/>
      <c r="P32" s="758"/>
      <c r="Q32" s="758"/>
      <c r="R32" s="80"/>
      <c r="S32" s="80"/>
      <c r="T32" s="80"/>
      <c r="U32" s="80"/>
      <c r="V32" s="80"/>
      <c r="W32" s="80"/>
      <c r="X32" s="80"/>
      <c r="Y32" s="80"/>
      <c r="Z32" s="80"/>
    </row>
    <row r="33" spans="2:29" s="302" customFormat="1" ht="18" customHeight="1">
      <c r="B33" s="648" t="s">
        <v>1020</v>
      </c>
      <c r="C33" s="562" t="s">
        <v>258</v>
      </c>
      <c r="D33" s="760">
        <v>13683</v>
      </c>
      <c r="E33" s="826">
        <v>13644</v>
      </c>
      <c r="F33" s="826">
        <v>13687</v>
      </c>
      <c r="G33" s="826">
        <v>13717</v>
      </c>
      <c r="H33" s="826">
        <v>13747</v>
      </c>
      <c r="I33" s="826">
        <v>13871</v>
      </c>
      <c r="J33" s="895"/>
      <c r="K33" s="560"/>
      <c r="L33" s="560"/>
      <c r="M33" s="560"/>
      <c r="N33" s="560"/>
      <c r="O33" s="560"/>
      <c r="P33" s="560"/>
      <c r="Q33" s="560"/>
      <c r="R33" s="80"/>
      <c r="S33" s="80"/>
      <c r="T33" s="80"/>
      <c r="U33" s="80"/>
      <c r="V33" s="80"/>
      <c r="W33" s="80"/>
      <c r="X33" s="80"/>
      <c r="Y33" s="80"/>
      <c r="Z33" s="80"/>
    </row>
    <row r="34" spans="2:29" ht="19.5" customHeight="1">
      <c r="B34" s="647" t="s">
        <v>1017</v>
      </c>
      <c r="C34" s="47" t="s">
        <v>259</v>
      </c>
      <c r="D34" s="761">
        <v>328517</v>
      </c>
      <c r="E34" s="394">
        <v>320118</v>
      </c>
      <c r="F34" s="394">
        <v>319991</v>
      </c>
      <c r="G34" s="394">
        <v>320027</v>
      </c>
      <c r="H34" s="394">
        <v>319593</v>
      </c>
      <c r="I34" s="373">
        <f>AVERAGE(G34:H34)</f>
        <v>319810</v>
      </c>
      <c r="J34" s="896"/>
      <c r="K34" s="560"/>
      <c r="L34" s="560"/>
      <c r="M34" s="560"/>
      <c r="N34" s="560"/>
      <c r="O34" s="560"/>
      <c r="P34" s="560"/>
      <c r="Q34" s="560"/>
      <c r="R34" s="80"/>
      <c r="S34" s="80"/>
      <c r="T34" s="80"/>
      <c r="U34" s="80"/>
      <c r="V34" s="80"/>
      <c r="W34" s="80"/>
      <c r="X34" s="80"/>
      <c r="Y34" s="80"/>
      <c r="Z34" s="80"/>
    </row>
    <row r="35" spans="2:29" s="302" customFormat="1" ht="15">
      <c r="B35" s="77"/>
      <c r="C35" s="649"/>
      <c r="D35" s="649"/>
      <c r="E35" s="649"/>
      <c r="F35" s="649"/>
      <c r="G35" s="649"/>
      <c r="H35" s="62"/>
      <c r="I35" s="62"/>
      <c r="J35" s="62"/>
      <c r="K35" s="560"/>
      <c r="L35" s="560"/>
      <c r="M35" s="560"/>
      <c r="N35" s="560"/>
      <c r="O35" s="560"/>
      <c r="P35" s="560"/>
      <c r="Q35" s="560"/>
      <c r="R35" s="80"/>
      <c r="S35" s="80"/>
      <c r="T35" s="80"/>
      <c r="U35" s="80"/>
      <c r="V35" s="80"/>
      <c r="W35" s="80"/>
      <c r="X35" s="80"/>
      <c r="Y35" s="80"/>
      <c r="Z35" s="80"/>
    </row>
    <row r="36" spans="2:29" ht="12.5" customHeight="1">
      <c r="N36" s="37"/>
    </row>
    <row r="37" spans="2:29">
      <c r="B37" s="1382" t="s">
        <v>285</v>
      </c>
      <c r="C37" s="1382"/>
      <c r="D37" s="1382"/>
      <c r="E37" s="1382"/>
      <c r="F37" s="1382"/>
      <c r="G37" s="1382"/>
      <c r="H37" s="1382"/>
      <c r="I37" s="1382"/>
      <c r="J37" s="1382"/>
      <c r="K37" s="1382"/>
      <c r="L37" s="1382"/>
      <c r="M37" s="1382"/>
      <c r="N37" s="1382"/>
      <c r="O37" s="1382"/>
      <c r="P37" s="1382"/>
      <c r="Q37" s="1382"/>
      <c r="R37" s="1382"/>
      <c r="S37" s="1382"/>
      <c r="T37" s="1382"/>
      <c r="U37" s="1382"/>
      <c r="V37" s="1382"/>
      <c r="W37" s="1382"/>
      <c r="X37" s="1382"/>
      <c r="Y37" s="1382"/>
      <c r="Z37" s="1382"/>
      <c r="AA37" s="1382"/>
      <c r="AB37" s="1382"/>
      <c r="AC37" s="1382"/>
    </row>
    <row r="38" spans="2:29" ht="9" customHeight="1">
      <c r="B38" s="1382"/>
      <c r="C38" s="1382"/>
      <c r="D38" s="1382"/>
      <c r="E38" s="1382"/>
      <c r="F38" s="1382"/>
      <c r="G38" s="1382"/>
      <c r="H38" s="1382"/>
      <c r="I38" s="1382"/>
      <c r="J38" s="1382"/>
      <c r="K38" s="1382"/>
      <c r="L38" s="1382"/>
      <c r="M38" s="1382"/>
      <c r="N38" s="1382"/>
      <c r="O38" s="1382"/>
      <c r="P38" s="1382"/>
      <c r="Q38" s="1382"/>
      <c r="R38" s="1382"/>
      <c r="S38" s="1382"/>
      <c r="T38" s="1382"/>
      <c r="U38" s="1382"/>
      <c r="V38" s="1382"/>
      <c r="W38" s="1382"/>
      <c r="X38" s="1382"/>
      <c r="Y38" s="1382"/>
      <c r="Z38" s="1382"/>
      <c r="AA38" s="1382"/>
      <c r="AB38" s="1382"/>
      <c r="AC38" s="1382"/>
    </row>
    <row r="39" spans="2:29" ht="14" customHeight="1">
      <c r="B39" s="1439" t="s">
        <v>286</v>
      </c>
      <c r="C39" s="1439"/>
      <c r="D39" s="1439"/>
      <c r="E39" s="1439"/>
      <c r="F39" s="1439"/>
      <c r="G39" s="1439"/>
      <c r="H39" s="1439"/>
      <c r="I39" s="1439"/>
      <c r="J39" s="1439"/>
      <c r="K39" s="1439"/>
      <c r="L39" s="1439"/>
      <c r="M39" s="1439"/>
      <c r="N39" s="1439"/>
      <c r="O39" s="1439"/>
      <c r="P39" s="1439"/>
      <c r="Q39" s="1439"/>
      <c r="R39" s="1439"/>
      <c r="S39" s="1439"/>
      <c r="T39" s="1439"/>
      <c r="U39" s="1439"/>
      <c r="V39" s="1439"/>
      <c r="W39" s="1439"/>
      <c r="X39" s="1439"/>
      <c r="Y39" s="1439"/>
      <c r="Z39" s="1439"/>
      <c r="AA39" s="1439"/>
      <c r="AB39" s="1439"/>
      <c r="AC39" s="1439"/>
    </row>
    <row r="40" spans="2:29">
      <c r="B40" s="1439"/>
      <c r="C40" s="1439"/>
      <c r="D40" s="1439"/>
      <c r="E40" s="1439"/>
      <c r="F40" s="1439"/>
      <c r="G40" s="1439"/>
      <c r="H40" s="1439"/>
      <c r="I40" s="1439"/>
      <c r="J40" s="1439"/>
      <c r="K40" s="1439"/>
      <c r="L40" s="1439"/>
      <c r="M40" s="1439"/>
      <c r="N40" s="1439"/>
      <c r="O40" s="1439"/>
      <c r="P40" s="1439"/>
      <c r="Q40" s="1439"/>
      <c r="R40" s="1439"/>
      <c r="S40" s="1439"/>
      <c r="T40" s="1439"/>
      <c r="U40" s="1439"/>
      <c r="V40" s="1439"/>
      <c r="W40" s="1439"/>
      <c r="X40" s="1439"/>
      <c r="Y40" s="1439"/>
      <c r="Z40" s="1439"/>
      <c r="AA40" s="1439"/>
      <c r="AB40" s="1439"/>
      <c r="AC40" s="1439"/>
    </row>
    <row r="41" spans="2:29" ht="8.5" customHeight="1">
      <c r="B41" s="1439"/>
      <c r="C41" s="1439"/>
      <c r="D41" s="1439"/>
      <c r="E41" s="1439"/>
      <c r="F41" s="1439"/>
      <c r="G41" s="1439"/>
      <c r="H41" s="1439"/>
      <c r="I41" s="1439"/>
      <c r="J41" s="1439"/>
      <c r="K41" s="1439"/>
      <c r="L41" s="1439"/>
      <c r="M41" s="1439"/>
      <c r="N41" s="1439"/>
      <c r="O41" s="1439"/>
      <c r="P41" s="1439"/>
      <c r="Q41" s="1439"/>
      <c r="R41" s="1439"/>
      <c r="S41" s="1439"/>
      <c r="T41" s="1439"/>
      <c r="U41" s="1439"/>
      <c r="V41" s="1439"/>
      <c r="W41" s="1439"/>
      <c r="X41" s="1439"/>
      <c r="Y41" s="1439"/>
      <c r="Z41" s="1439"/>
      <c r="AA41" s="1439"/>
      <c r="AB41" s="1439"/>
      <c r="AC41" s="1439"/>
    </row>
    <row r="42" spans="2:29" ht="12.5" customHeight="1"/>
    <row r="43" spans="2:29" ht="30.5" customHeight="1">
      <c r="B43" s="1400" t="s">
        <v>260</v>
      </c>
      <c r="C43" s="1440"/>
      <c r="D43" s="1412" t="s">
        <v>261</v>
      </c>
      <c r="E43" s="1413"/>
      <c r="F43" s="1413"/>
      <c r="G43" s="1413"/>
      <c r="H43" s="1413"/>
      <c r="I43" s="1413"/>
      <c r="J43" s="1413"/>
      <c r="K43" s="1413"/>
      <c r="L43" s="1413"/>
      <c r="M43" s="1397"/>
      <c r="N43" s="1435"/>
      <c r="O43" s="1408" t="s">
        <v>143</v>
      </c>
      <c r="P43" s="1409"/>
      <c r="Q43" s="1409"/>
      <c r="R43" s="1409"/>
      <c r="S43" s="1409"/>
      <c r="T43" s="1409"/>
      <c r="U43" s="1409"/>
      <c r="V43" s="1409"/>
      <c r="W43" s="1409"/>
      <c r="X43" s="1409"/>
      <c r="Y43" s="1409"/>
      <c r="Z43" s="1409"/>
      <c r="AA43" s="1409"/>
      <c r="AB43" s="1409"/>
      <c r="AC43" s="1410"/>
    </row>
    <row r="44" spans="2:29">
      <c r="B44" s="1402"/>
      <c r="C44" s="1441"/>
      <c r="D44" s="805">
        <v>2018</v>
      </c>
      <c r="E44" s="1383">
        <v>2019</v>
      </c>
      <c r="F44" s="1384"/>
      <c r="G44" s="1384"/>
      <c r="H44" s="1393"/>
      <c r="I44" s="1384">
        <v>2020</v>
      </c>
      <c r="J44" s="1384"/>
      <c r="K44" s="1384"/>
      <c r="L44" s="1384"/>
      <c r="M44" s="1383">
        <v>2021</v>
      </c>
      <c r="N44" s="1393"/>
      <c r="O44" s="1406">
        <v>2021</v>
      </c>
      <c r="P44" s="1395"/>
      <c r="Q44" s="1406">
        <v>2022</v>
      </c>
      <c r="R44" s="1394"/>
      <c r="S44" s="1394"/>
      <c r="T44" s="1395"/>
      <c r="U44" s="1406">
        <v>2023</v>
      </c>
      <c r="V44" s="1394"/>
      <c r="W44" s="1394"/>
      <c r="X44" s="1411"/>
      <c r="Y44" s="1406">
        <v>2024</v>
      </c>
      <c r="Z44" s="1411"/>
      <c r="AA44" s="1411"/>
      <c r="AB44" s="1395"/>
      <c r="AC44" s="475">
        <v>2025</v>
      </c>
    </row>
    <row r="45" spans="2:29">
      <c r="B45" s="1404"/>
      <c r="C45" s="1442"/>
      <c r="D45" s="224" t="s">
        <v>138</v>
      </c>
      <c r="E45" s="224" t="s">
        <v>135</v>
      </c>
      <c r="F45" s="200" t="s">
        <v>136</v>
      </c>
      <c r="G45" s="200" t="s">
        <v>137</v>
      </c>
      <c r="H45" s="208" t="s">
        <v>138</v>
      </c>
      <c r="I45" s="201" t="s">
        <v>135</v>
      </c>
      <c r="J45" s="201" t="s">
        <v>136</v>
      </c>
      <c r="K45" s="201" t="s">
        <v>137</v>
      </c>
      <c r="L45" s="201" t="s">
        <v>138</v>
      </c>
      <c r="M45" s="216" t="s">
        <v>135</v>
      </c>
      <c r="N45" s="208" t="s">
        <v>136</v>
      </c>
      <c r="O45" s="859" t="s">
        <v>137</v>
      </c>
      <c r="P45" s="860" t="s">
        <v>138</v>
      </c>
      <c r="Q45" s="858" t="s">
        <v>135</v>
      </c>
      <c r="R45" s="859" t="s">
        <v>136</v>
      </c>
      <c r="S45" s="859" t="s">
        <v>137</v>
      </c>
      <c r="T45" s="859" t="s">
        <v>138</v>
      </c>
      <c r="U45" s="858" t="s">
        <v>135</v>
      </c>
      <c r="V45" s="859" t="s">
        <v>136</v>
      </c>
      <c r="W45" s="859" t="s">
        <v>137</v>
      </c>
      <c r="X45" s="859" t="s">
        <v>138</v>
      </c>
      <c r="Y45" s="858" t="s">
        <v>135</v>
      </c>
      <c r="Z45" s="577" t="s">
        <v>136</v>
      </c>
      <c r="AA45" s="859" t="s">
        <v>137</v>
      </c>
      <c r="AB45" s="860" t="s">
        <v>138</v>
      </c>
      <c r="AC45" s="82" t="s">
        <v>135</v>
      </c>
    </row>
    <row r="46" spans="2:29" ht="15">
      <c r="B46" s="71" t="s">
        <v>6</v>
      </c>
      <c r="C46" s="881"/>
      <c r="D46" s="507"/>
      <c r="E46" s="508"/>
      <c r="F46" s="508"/>
      <c r="G46" s="508"/>
      <c r="H46" s="885">
        <f>Grants!H93</f>
        <v>70.894000000000005</v>
      </c>
      <c r="I46" s="885">
        <f>Grants!I93</f>
        <v>72.774000000000001</v>
      </c>
      <c r="J46" s="885">
        <f>Grants!J93</f>
        <v>75.275000000000006</v>
      </c>
      <c r="K46" s="885">
        <f>Grants!K93</f>
        <v>78.766999999999996</v>
      </c>
      <c r="L46" s="885">
        <f>Grants!L93</f>
        <v>76.995000000000005</v>
      </c>
      <c r="M46" s="885">
        <f>Grants!M93</f>
        <v>75.03</v>
      </c>
      <c r="N46" s="885">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ht="15">
      <c r="B47" s="72" t="s">
        <v>0</v>
      </c>
      <c r="C47" s="60"/>
      <c r="D47" s="886"/>
      <c r="E47" s="887"/>
      <c r="F47" s="887"/>
      <c r="G47" s="887"/>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23"/>
      <c r="D48" s="883"/>
      <c r="E48" s="884"/>
      <c r="F48" s="884"/>
      <c r="G48" s="884"/>
      <c r="H48" s="888">
        <f>H46+H47</f>
        <v>279.488</v>
      </c>
      <c r="I48" s="888">
        <f t="shared" ref="I48:AC48" si="30">I46+I47</f>
        <v>285.25600000000003</v>
      </c>
      <c r="J48" s="888">
        <f t="shared" si="30"/>
        <v>409.88499999999999</v>
      </c>
      <c r="K48" s="888">
        <f t="shared" si="30"/>
        <v>380.55</v>
      </c>
      <c r="L48" s="888">
        <f t="shared" si="30"/>
        <v>357.15800000000002</v>
      </c>
      <c r="M48" s="888">
        <f t="shared" si="30"/>
        <v>385.18499999999995</v>
      </c>
      <c r="N48" s="888">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c r="AM49" s="1431" t="s">
        <v>296</v>
      </c>
      <c r="AN49" s="1432"/>
      <c r="AO49" s="1443" t="s">
        <v>261</v>
      </c>
      <c r="AP49" s="1444"/>
      <c r="AQ49" s="1444"/>
      <c r="AR49" s="1444"/>
      <c r="AS49" s="1444"/>
      <c r="AT49" s="1445"/>
      <c r="AU49" s="1446" t="s">
        <v>143</v>
      </c>
      <c r="AV49" s="1446"/>
      <c r="AW49" s="1446"/>
      <c r="AX49" s="1446"/>
      <c r="AY49" s="1446"/>
      <c r="AZ49" s="1446"/>
      <c r="BA49" s="1446"/>
      <c r="BB49" s="1446"/>
    </row>
    <row r="50" spans="22:58">
      <c r="AM50" s="1433"/>
      <c r="AN50" s="1434"/>
      <c r="AO50" s="38">
        <v>2019</v>
      </c>
      <c r="AP50" s="1383">
        <v>2020</v>
      </c>
      <c r="AQ50" s="1384"/>
      <c r="AR50" s="1384"/>
      <c r="AS50" s="1393"/>
      <c r="AT50" s="38">
        <v>2021</v>
      </c>
      <c r="AU50" s="1406">
        <v>2021</v>
      </c>
      <c r="AV50" s="1394"/>
      <c r="AW50" s="1395"/>
      <c r="AX50" s="1406">
        <v>2022</v>
      </c>
      <c r="AY50" s="1394"/>
      <c r="AZ50" s="1394"/>
      <c r="BA50" s="1395"/>
      <c r="BB50" s="63">
        <v>2023</v>
      </c>
    </row>
    <row r="51" spans="22:58">
      <c r="AM51" s="1433"/>
      <c r="AN51" s="1434"/>
      <c r="AO51" s="226" t="s">
        <v>138</v>
      </c>
      <c r="AP51" s="216" t="s">
        <v>135</v>
      </c>
      <c r="AQ51" s="201" t="s">
        <v>136</v>
      </c>
      <c r="AR51" s="201" t="s">
        <v>137</v>
      </c>
      <c r="AS51" s="208" t="s">
        <v>138</v>
      </c>
      <c r="AT51" s="226" t="s">
        <v>135</v>
      </c>
      <c r="AU51" s="641" t="s">
        <v>136</v>
      </c>
      <c r="AV51" s="642" t="s">
        <v>137</v>
      </c>
      <c r="AW51" s="643" t="s">
        <v>138</v>
      </c>
      <c r="AX51" s="641" t="s">
        <v>135</v>
      </c>
      <c r="AY51" s="642" t="s">
        <v>136</v>
      </c>
      <c r="AZ51" s="642" t="s">
        <v>137</v>
      </c>
      <c r="BA51" s="643" t="s">
        <v>138</v>
      </c>
      <c r="BB51" s="82" t="s">
        <v>135</v>
      </c>
    </row>
    <row r="52" spans="22:58" ht="30">
      <c r="AM52" s="741" t="s">
        <v>281</v>
      </c>
      <c r="AN52" s="756"/>
      <c r="AO52" s="81">
        <v>4.8</v>
      </c>
      <c r="AP52" s="691">
        <v>3.9</v>
      </c>
      <c r="AQ52" s="691">
        <v>3.2</v>
      </c>
      <c r="AR52" s="691">
        <v>3.8</v>
      </c>
      <c r="AS52" s="691">
        <v>3.7</v>
      </c>
      <c r="AT52" s="691">
        <v>3.7</v>
      </c>
      <c r="AU52" s="100">
        <v>3.7</v>
      </c>
      <c r="AV52" s="670">
        <v>3.7</v>
      </c>
      <c r="AW52" s="670">
        <v>3.8</v>
      </c>
      <c r="AX52" s="670">
        <v>3.8</v>
      </c>
      <c r="AY52" s="670">
        <v>3.9</v>
      </c>
      <c r="AZ52" s="670">
        <v>3.9</v>
      </c>
      <c r="BA52" s="670">
        <v>4</v>
      </c>
      <c r="BB52" s="101">
        <v>4</v>
      </c>
    </row>
    <row r="53" spans="22:58" ht="30">
      <c r="AM53" s="109" t="s">
        <v>1024</v>
      </c>
      <c r="AN53" s="649"/>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c r="AM54" s="302" t="s">
        <v>1165</v>
      </c>
      <c r="AO54" s="1100">
        <f>AO53</f>
        <v>3.3969999999999998</v>
      </c>
      <c r="AP54" s="1100">
        <f t="shared" ref="AP54:AT54" si="31">AP53</f>
        <v>4.1660000000000004</v>
      </c>
      <c r="AQ54" s="1100">
        <f t="shared" si="31"/>
        <v>-7.6660000000000004</v>
      </c>
      <c r="AR54" s="1100">
        <f t="shared" si="31"/>
        <v>-0.84299999999999997</v>
      </c>
      <c r="AS54" s="1100">
        <f t="shared" si="31"/>
        <v>2.097</v>
      </c>
      <c r="AT54" s="1100">
        <f t="shared" si="31"/>
        <v>9.5879999999999992</v>
      </c>
      <c r="AU54" s="1101">
        <f>N26</f>
        <v>9</v>
      </c>
      <c r="AV54" s="1101">
        <f t="shared" ref="AV54:BB54" si="32">O26</f>
        <v>10</v>
      </c>
      <c r="AW54" s="1101">
        <f t="shared" si="32"/>
        <v>10</v>
      </c>
      <c r="AX54" s="1101">
        <f t="shared" si="32"/>
        <v>9</v>
      </c>
      <c r="AY54" s="1101">
        <f t="shared" si="32"/>
        <v>8</v>
      </c>
      <c r="AZ54" s="1101">
        <f t="shared" si="32"/>
        <v>7</v>
      </c>
      <c r="BA54" s="1101">
        <f t="shared" si="32"/>
        <v>5.5</v>
      </c>
      <c r="BB54" s="1101">
        <f t="shared" si="32"/>
        <v>5</v>
      </c>
    </row>
    <row r="55" spans="22:58">
      <c r="V55" s="36"/>
      <c r="W55" s="36"/>
      <c r="X55" s="36"/>
      <c r="Y55" s="36"/>
      <c r="AM55" s="1437" t="s">
        <v>282</v>
      </c>
      <c r="AN55" s="1438"/>
      <c r="AO55" s="70"/>
      <c r="AP55" s="68"/>
      <c r="AQ55" s="68"/>
      <c r="AR55" s="566"/>
      <c r="AS55" s="566"/>
      <c r="AT55" s="566"/>
      <c r="AU55" s="564"/>
      <c r="AV55" s="565"/>
      <c r="AW55" s="565"/>
      <c r="AX55" s="565"/>
      <c r="AY55" s="565"/>
      <c r="AZ55" s="565"/>
      <c r="BA55" s="565"/>
      <c r="BB55" s="567"/>
    </row>
    <row r="56" spans="22:58" ht="30">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30">
      <c r="V57" s="36"/>
      <c r="W57" s="36"/>
      <c r="X57" s="36"/>
      <c r="Y57" s="36"/>
      <c r="AM57" s="72" t="s">
        <v>297</v>
      </c>
      <c r="AN57" s="84"/>
      <c r="AO57" s="198">
        <v>2357</v>
      </c>
      <c r="AP57" s="48">
        <v>2382</v>
      </c>
      <c r="AQ57" s="48">
        <v>2335</v>
      </c>
      <c r="AR57" s="48">
        <v>2330</v>
      </c>
      <c r="AS57" s="48">
        <v>2318</v>
      </c>
      <c r="AT57" s="48">
        <v>2339</v>
      </c>
      <c r="AU57" s="641">
        <v>2361</v>
      </c>
      <c r="AV57" s="642">
        <v>2379</v>
      </c>
      <c r="AW57" s="642">
        <v>2397</v>
      </c>
      <c r="AX57" s="642">
        <v>2417</v>
      </c>
      <c r="AY57" s="642">
        <v>2439</v>
      </c>
      <c r="AZ57" s="642">
        <v>2462</v>
      </c>
      <c r="BA57" s="642">
        <v>2486</v>
      </c>
      <c r="BB57" s="643">
        <v>2513</v>
      </c>
    </row>
    <row r="58" spans="22:58" s="302" customFormat="1" ht="30">
      <c r="AM58" s="72" t="s">
        <v>1023</v>
      </c>
      <c r="AN58" s="84"/>
      <c r="AO58" s="762">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63"/>
      <c r="BD58" s="763"/>
      <c r="BE58" s="763"/>
      <c r="BF58" s="763"/>
    </row>
    <row r="59" spans="22:58">
      <c r="V59" s="36"/>
      <c r="W59" s="36"/>
      <c r="X59" s="36"/>
      <c r="Y59" s="36"/>
      <c r="AM59" s="1429" t="s">
        <v>283</v>
      </c>
      <c r="AN59" s="1430"/>
      <c r="AO59" s="198"/>
      <c r="AP59" s="48"/>
      <c r="AQ59" s="48"/>
      <c r="AR59" s="48"/>
      <c r="AS59" s="48"/>
      <c r="AT59" s="48"/>
      <c r="AU59" s="641"/>
      <c r="AV59" s="642"/>
      <c r="AW59" s="642"/>
      <c r="AX59" s="642"/>
      <c r="AY59" s="642"/>
      <c r="AZ59" s="642"/>
      <c r="BA59" s="642"/>
      <c r="BB59" s="643"/>
    </row>
    <row r="60" spans="22:58" ht="30">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30">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30">
      <c r="AM62" s="203" t="s">
        <v>1023</v>
      </c>
      <c r="AN62" s="764"/>
      <c r="AO62" s="692">
        <f t="shared" ref="AO62:AU62" si="35">AO58-H48</f>
        <v>2077.9120000000003</v>
      </c>
      <c r="AP62" s="693">
        <f t="shared" si="35"/>
        <v>2096.3440000000001</v>
      </c>
      <c r="AQ62" s="693">
        <f t="shared" si="35"/>
        <v>1924.615</v>
      </c>
      <c r="AR62" s="693">
        <f t="shared" si="35"/>
        <v>1949.05</v>
      </c>
      <c r="AS62" s="693">
        <f t="shared" si="35"/>
        <v>1984.5419999999999</v>
      </c>
      <c r="AT62" s="693">
        <f t="shared" si="35"/>
        <v>2010.7150000000001</v>
      </c>
      <c r="AU62" s="694">
        <f t="shared" si="35"/>
        <v>2055.3829999999998</v>
      </c>
      <c r="AV62" s="695">
        <f t="shared" ref="AV62" si="36">AV58-O48</f>
        <v>2104.3215378446116</v>
      </c>
      <c r="AW62" s="695">
        <f t="shared" ref="AW62" si="37">AW58-P48</f>
        <v>2100.9576264561406</v>
      </c>
      <c r="AX62" s="695">
        <f t="shared" ref="AX62" si="38">AX58-Q48</f>
        <v>2127.0978698801005</v>
      </c>
      <c r="AY62" s="695">
        <f t="shared" ref="AY62" si="39">AY58-R48</f>
        <v>2145.7009379244469</v>
      </c>
      <c r="AZ62" s="695">
        <f>AZ58-S48</f>
        <v>2153.853898926538</v>
      </c>
      <c r="BA62" s="695">
        <f>BA58-T48</f>
        <v>2157.114806782246</v>
      </c>
      <c r="BB62" s="696">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baseColWidth="10" defaultColWidth="10.83203125" defaultRowHeight="15"/>
  <cols>
    <col min="1" max="1" width="10.83203125" style="383"/>
    <col min="2" max="2" width="49.5" style="107" customWidth="1"/>
    <col min="3" max="3" width="10.83203125" style="107"/>
    <col min="4" max="5" width="10.83203125" style="560"/>
    <col min="6" max="25" width="6.6640625" style="107" customWidth="1"/>
    <col min="26" max="26" width="10.83203125" style="202"/>
    <col min="27" max="27" width="10.1640625" style="202" customWidth="1"/>
    <col min="28" max="78" width="10.83203125" style="202"/>
    <col min="79" max="16384" width="10.83203125" style="107"/>
  </cols>
  <sheetData>
    <row r="1" spans="1:78" s="239" customFormat="1">
      <c r="A1" s="383"/>
      <c r="B1" s="1382" t="s">
        <v>132</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c r="B2" s="1407" t="s">
        <v>634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c r="B8" s="1400" t="s">
        <v>292</v>
      </c>
      <c r="C8" s="1401"/>
      <c r="D8" s="1412" t="s">
        <v>261</v>
      </c>
      <c r="E8" s="1413"/>
      <c r="F8" s="1413"/>
      <c r="G8" s="1413"/>
      <c r="H8" s="1413"/>
      <c r="I8" s="1413"/>
      <c r="J8" s="1413"/>
      <c r="K8" s="1413"/>
      <c r="L8" s="1413"/>
      <c r="M8" s="1397"/>
      <c r="N8" s="1435"/>
      <c r="O8" s="1398" t="s">
        <v>143</v>
      </c>
      <c r="P8" s="1447"/>
      <c r="Q8" s="1447"/>
      <c r="R8" s="1447"/>
      <c r="S8" s="1447"/>
      <c r="T8" s="1447"/>
      <c r="U8" s="1447"/>
      <c r="V8" s="1447"/>
      <c r="W8" s="1447"/>
      <c r="X8" s="1447"/>
      <c r="Y8" s="1409"/>
      <c r="Z8" s="1409"/>
      <c r="AA8" s="1409"/>
      <c r="AB8" s="1409"/>
      <c r="AC8" s="1410"/>
    </row>
    <row r="9" spans="1:78">
      <c r="B9" s="1402"/>
      <c r="C9" s="1403"/>
      <c r="D9" s="805">
        <v>2018</v>
      </c>
      <c r="E9" s="1383">
        <v>2019</v>
      </c>
      <c r="F9" s="1436"/>
      <c r="G9" s="1436"/>
      <c r="H9" s="1393"/>
      <c r="I9" s="1436">
        <v>2020</v>
      </c>
      <c r="J9" s="1384"/>
      <c r="K9" s="1384"/>
      <c r="L9" s="1384"/>
      <c r="M9" s="1383">
        <v>2021</v>
      </c>
      <c r="N9" s="1393"/>
      <c r="O9" s="1448">
        <v>2021</v>
      </c>
      <c r="P9" s="1449"/>
      <c r="Q9" s="1448">
        <v>2022</v>
      </c>
      <c r="R9" s="1452"/>
      <c r="S9" s="1452"/>
      <c r="T9" s="1452"/>
      <c r="U9" s="1448">
        <v>2023</v>
      </c>
      <c r="V9" s="1452"/>
      <c r="W9" s="1452"/>
      <c r="X9" s="1452"/>
      <c r="Y9" s="1406">
        <v>2024</v>
      </c>
      <c r="Z9" s="1411"/>
      <c r="AA9" s="1411"/>
      <c r="AB9" s="1411"/>
      <c r="AC9" s="475">
        <v>2025</v>
      </c>
    </row>
    <row r="10" spans="1:78">
      <c r="B10" s="1404"/>
      <c r="C10" s="1405"/>
      <c r="D10" s="224" t="s">
        <v>138</v>
      </c>
      <c r="E10" s="224" t="s">
        <v>135</v>
      </c>
      <c r="F10" s="200" t="s">
        <v>136</v>
      </c>
      <c r="G10" s="200" t="s">
        <v>137</v>
      </c>
      <c r="H10" s="208" t="s">
        <v>138</v>
      </c>
      <c r="I10" s="201" t="s">
        <v>135</v>
      </c>
      <c r="J10" s="201" t="s">
        <v>136</v>
      </c>
      <c r="K10" s="201" t="s">
        <v>137</v>
      </c>
      <c r="L10" s="201" t="s">
        <v>138</v>
      </c>
      <c r="M10" s="216" t="s">
        <v>135</v>
      </c>
      <c r="N10" s="208" t="s">
        <v>136</v>
      </c>
      <c r="O10" s="809" t="s">
        <v>137</v>
      </c>
      <c r="P10" s="1124" t="s">
        <v>138</v>
      </c>
      <c r="Q10" s="809" t="s">
        <v>135</v>
      </c>
      <c r="R10" s="810" t="s">
        <v>136</v>
      </c>
      <c r="S10" s="810" t="s">
        <v>137</v>
      </c>
      <c r="T10" s="810" t="s">
        <v>138</v>
      </c>
      <c r="U10" s="809" t="s">
        <v>135</v>
      </c>
      <c r="V10" s="810" t="s">
        <v>136</v>
      </c>
      <c r="W10" s="810" t="s">
        <v>137</v>
      </c>
      <c r="X10" s="810" t="s">
        <v>138</v>
      </c>
      <c r="Y10" s="1111" t="s">
        <v>135</v>
      </c>
      <c r="Z10" s="577" t="s">
        <v>136</v>
      </c>
      <c r="AA10" s="1112" t="s">
        <v>137</v>
      </c>
      <c r="AB10" s="1112" t="s">
        <v>138</v>
      </c>
      <c r="AC10" s="82" t="s">
        <v>135</v>
      </c>
    </row>
    <row r="11" spans="1:78" s="431" customFormat="1">
      <c r="B11" s="1455" t="s">
        <v>497</v>
      </c>
      <c r="C11" s="1456"/>
      <c r="D11" s="911"/>
      <c r="E11" s="912"/>
      <c r="F11" s="913">
        <v>60.5</v>
      </c>
      <c r="G11" s="913">
        <v>81.400000000000006</v>
      </c>
      <c r="H11" s="914">
        <f>'Haver Pivoted'!GS42</f>
        <v>82.2</v>
      </c>
      <c r="I11" s="914">
        <f>'Haver Pivoted'!GT42</f>
        <v>80.3</v>
      </c>
      <c r="J11" s="914">
        <f>'Haver Pivoted'!GU42</f>
        <v>1123.5999999999999</v>
      </c>
      <c r="K11" s="914">
        <f>'Haver Pivoted'!GV42</f>
        <v>1220.5</v>
      </c>
      <c r="L11" s="914">
        <f>'Haver Pivoted'!GW42</f>
        <v>618.6</v>
      </c>
      <c r="M11" s="914">
        <f>'Haver Pivoted'!GX42</f>
        <v>403.8</v>
      </c>
      <c r="N11" s="1020">
        <f>'Haver Pivoted'!GY42</f>
        <v>683.6</v>
      </c>
      <c r="O11" s="427">
        <f t="shared" ref="O11:AC11" si="0">O12+O13</f>
        <v>952.02769117608079</v>
      </c>
      <c r="P11" s="1017">
        <f t="shared" si="0"/>
        <v>226.5847885430976</v>
      </c>
      <c r="Q11" s="1017">
        <f t="shared" si="0"/>
        <v>193.29536842105261</v>
      </c>
      <c r="R11" s="1017">
        <f t="shared" si="0"/>
        <v>187.88183458646617</v>
      </c>
      <c r="S11" s="1017">
        <f t="shared" si="0"/>
        <v>187.88183458646617</v>
      </c>
      <c r="T11" s="1017">
        <f t="shared" si="0"/>
        <v>88.462000000000003</v>
      </c>
      <c r="U11" s="1017">
        <f t="shared" si="0"/>
        <v>88.462000000000003</v>
      </c>
      <c r="V11" s="1017">
        <f t="shared" si="0"/>
        <v>88.462000000000003</v>
      </c>
      <c r="W11" s="1017">
        <f t="shared" si="0"/>
        <v>88.462000000000003</v>
      </c>
      <c r="X11" s="1017">
        <f t="shared" si="0"/>
        <v>75.425000000000011</v>
      </c>
      <c r="Y11" s="1017">
        <f t="shared" si="0"/>
        <v>75.425000000000011</v>
      </c>
      <c r="Z11" s="1017">
        <f t="shared" si="0"/>
        <v>75.425000000000011</v>
      </c>
      <c r="AA11" s="1017">
        <f t="shared" si="0"/>
        <v>75.425000000000011</v>
      </c>
      <c r="AB11" s="1017">
        <f t="shared" si="0"/>
        <v>76.100000000000009</v>
      </c>
      <c r="AC11" s="1026">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c r="B12" s="166" t="s">
        <v>406</v>
      </c>
      <c r="C12" s="378"/>
      <c r="D12" s="816"/>
      <c r="E12" s="817"/>
      <c r="F12" s="368">
        <f>F11</f>
        <v>60.5</v>
      </c>
      <c r="G12" s="368">
        <f>G11</f>
        <v>81.400000000000006</v>
      </c>
      <c r="H12" s="871">
        <f t="shared" ref="H12:M12" si="1">H11-H13</f>
        <v>82.2</v>
      </c>
      <c r="I12" s="871">
        <f t="shared" si="1"/>
        <v>80.3</v>
      </c>
      <c r="J12" s="871">
        <f t="shared" si="1"/>
        <v>134.09999999999991</v>
      </c>
      <c r="K12" s="871">
        <f t="shared" si="1"/>
        <v>93.900000000000091</v>
      </c>
      <c r="L12" s="871">
        <f t="shared" si="1"/>
        <v>80.199999999999932</v>
      </c>
      <c r="M12" s="871">
        <f t="shared" si="1"/>
        <v>73.900000000000034</v>
      </c>
      <c r="N12" s="871">
        <f>N11-N13</f>
        <v>75.399999999999977</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26">
        <f t="shared" si="2"/>
        <v>76.100000000000009</v>
      </c>
    </row>
    <row r="13" spans="1:78">
      <c r="B13" s="112" t="s">
        <v>407</v>
      </c>
      <c r="C13" s="378"/>
      <c r="D13" s="816"/>
      <c r="E13" s="817"/>
      <c r="F13" s="915"/>
      <c r="G13" s="915"/>
      <c r="H13" s="871">
        <f>SUM(H16:H25)</f>
        <v>0</v>
      </c>
      <c r="I13" s="871">
        <f>SUM(I16:I25)</f>
        <v>0</v>
      </c>
      <c r="J13" s="871">
        <f t="shared" ref="J13:AC13" si="3">SUM(J16:J25)+J14</f>
        <v>989.5</v>
      </c>
      <c r="K13" s="871">
        <f t="shared" si="3"/>
        <v>1126.5999999999999</v>
      </c>
      <c r="L13" s="871">
        <f t="shared" si="3"/>
        <v>538.40000000000009</v>
      </c>
      <c r="M13" s="871">
        <f t="shared" si="3"/>
        <v>329.9</v>
      </c>
      <c r="N13" s="133">
        <f t="shared" si="3"/>
        <v>608.20000000000005</v>
      </c>
      <c r="O13" s="1021">
        <f t="shared" si="3"/>
        <v>875.92769117608077</v>
      </c>
      <c r="P13" s="906">
        <f t="shared" si="3"/>
        <v>150.48478854309758</v>
      </c>
      <c r="Q13" s="906">
        <f t="shared" si="3"/>
        <v>117.19536842105262</v>
      </c>
      <c r="R13" s="906">
        <f t="shared" si="3"/>
        <v>111.78183458646616</v>
      </c>
      <c r="S13" s="906">
        <f t="shared" si="3"/>
        <v>111.78183458646616</v>
      </c>
      <c r="T13" s="906">
        <f t="shared" si="3"/>
        <v>12.362</v>
      </c>
      <c r="U13" s="906">
        <f t="shared" si="3"/>
        <v>12.362</v>
      </c>
      <c r="V13" s="906">
        <f t="shared" si="3"/>
        <v>12.362</v>
      </c>
      <c r="W13" s="906">
        <f t="shared" si="3"/>
        <v>12.362</v>
      </c>
      <c r="X13" s="906">
        <f t="shared" si="3"/>
        <v>-0.67500000000000004</v>
      </c>
      <c r="Y13" s="906">
        <f t="shared" si="3"/>
        <v>-0.67500000000000004</v>
      </c>
      <c r="Z13" s="906">
        <f t="shared" si="3"/>
        <v>-0.67500000000000004</v>
      </c>
      <c r="AA13" s="906">
        <f t="shared" si="3"/>
        <v>-0.67500000000000004</v>
      </c>
      <c r="AB13" s="906">
        <f t="shared" si="3"/>
        <v>0</v>
      </c>
      <c r="AC13" s="1127">
        <f t="shared" si="3"/>
        <v>0</v>
      </c>
    </row>
    <row r="14" spans="1:78" s="324" customFormat="1">
      <c r="A14" s="383"/>
      <c r="B14" s="95" t="s">
        <v>481</v>
      </c>
      <c r="C14" s="117" t="s">
        <v>245</v>
      </c>
      <c r="D14" s="916"/>
      <c r="E14" s="870"/>
      <c r="F14" s="871"/>
      <c r="G14" s="87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06"/>
      <c r="R14" s="906"/>
      <c r="S14" s="906"/>
      <c r="T14" s="906"/>
      <c r="U14" s="906"/>
      <c r="V14" s="906"/>
      <c r="W14" s="906"/>
      <c r="X14" s="906"/>
      <c r="Y14" s="906"/>
      <c r="Z14" s="247"/>
      <c r="AA14" s="247"/>
      <c r="AB14" s="247"/>
      <c r="AC14" s="1125"/>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c r="A15" s="383"/>
      <c r="B15" s="112" t="s">
        <v>636</v>
      </c>
      <c r="C15" s="378"/>
      <c r="D15" s="816"/>
      <c r="E15" s="817"/>
      <c r="F15" s="915"/>
      <c r="G15" s="915"/>
      <c r="H15" s="871">
        <f t="shared" ref="H15:AC15" si="4">SUM(H16:H25)</f>
        <v>0</v>
      </c>
      <c r="I15" s="871">
        <f t="shared" si="4"/>
        <v>0</v>
      </c>
      <c r="J15" s="871">
        <f t="shared" si="4"/>
        <v>412.6</v>
      </c>
      <c r="K15" s="871">
        <f t="shared" si="4"/>
        <v>307.10000000000002</v>
      </c>
      <c r="L15" s="871">
        <f t="shared" si="4"/>
        <v>292.10000000000002</v>
      </c>
      <c r="M15" s="871">
        <f t="shared" si="4"/>
        <v>145.30000000000001</v>
      </c>
      <c r="N15" s="871">
        <f t="shared" si="4"/>
        <v>181.00000000000003</v>
      </c>
      <c r="O15" s="1022">
        <f t="shared" si="4"/>
        <v>493.04241022556403</v>
      </c>
      <c r="P15" s="907">
        <f t="shared" si="4"/>
        <v>118.4886015037594</v>
      </c>
      <c r="Q15" s="907">
        <f t="shared" si="4"/>
        <v>117.19536842105262</v>
      </c>
      <c r="R15" s="907">
        <f t="shared" si="4"/>
        <v>111.78183458646616</v>
      </c>
      <c r="S15" s="907">
        <f t="shared" si="4"/>
        <v>111.78183458646616</v>
      </c>
      <c r="T15" s="907">
        <f t="shared" si="4"/>
        <v>12.362</v>
      </c>
      <c r="U15" s="907">
        <f t="shared" si="4"/>
        <v>12.362</v>
      </c>
      <c r="V15" s="907">
        <f t="shared" si="4"/>
        <v>12.362</v>
      </c>
      <c r="W15" s="907">
        <f t="shared" si="4"/>
        <v>12.362</v>
      </c>
      <c r="X15" s="907">
        <f t="shared" si="4"/>
        <v>-0.67500000000000004</v>
      </c>
      <c r="Y15" s="907">
        <f t="shared" si="4"/>
        <v>-0.67500000000000004</v>
      </c>
      <c r="Z15" s="907">
        <f t="shared" si="4"/>
        <v>-0.67500000000000004</v>
      </c>
      <c r="AA15" s="907">
        <f t="shared" si="4"/>
        <v>-0.67500000000000004</v>
      </c>
      <c r="AB15" s="907">
        <f t="shared" si="4"/>
        <v>0</v>
      </c>
      <c r="AC15" s="1128">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c r="B16" s="195" t="s">
        <v>408</v>
      </c>
      <c r="C16" s="362" t="s">
        <v>249</v>
      </c>
      <c r="D16" s="917"/>
      <c r="E16" s="872"/>
      <c r="F16" s="871"/>
      <c r="G16" s="87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25"/>
    </row>
    <row r="17" spans="1:78">
      <c r="B17" s="195" t="s">
        <v>409</v>
      </c>
      <c r="C17" s="362" t="s">
        <v>247</v>
      </c>
      <c r="D17" s="917"/>
      <c r="E17" s="872"/>
      <c r="F17" s="871"/>
      <c r="G17" s="87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26">
        <f t="shared" si="5"/>
        <v>0</v>
      </c>
    </row>
    <row r="18" spans="1:78">
      <c r="B18" s="195" t="s">
        <v>410</v>
      </c>
      <c r="C18" s="117" t="s">
        <v>246</v>
      </c>
      <c r="D18" s="916"/>
      <c r="E18" s="870"/>
      <c r="F18" s="871"/>
      <c r="G18" s="87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26">
        <f t="shared" si="6"/>
        <v>0</v>
      </c>
    </row>
    <row r="19" spans="1:78">
      <c r="B19" s="195" t="s">
        <v>412</v>
      </c>
      <c r="C19" s="117" t="s">
        <v>250</v>
      </c>
      <c r="D19" s="916"/>
      <c r="E19" s="870"/>
      <c r="F19" s="871"/>
      <c r="G19" s="87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25"/>
    </row>
    <row r="20" spans="1:78">
      <c r="B20" s="195" t="s">
        <v>413</v>
      </c>
      <c r="C20" s="117" t="s">
        <v>248</v>
      </c>
      <c r="D20" s="916"/>
      <c r="E20" s="870"/>
      <c r="F20" s="871"/>
      <c r="G20" s="87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26">
        <f t="shared" si="7"/>
        <v>0</v>
      </c>
    </row>
    <row r="21" spans="1:78">
      <c r="B21" s="195" t="s">
        <v>414</v>
      </c>
      <c r="C21" s="117" t="s">
        <v>251</v>
      </c>
      <c r="D21" s="916"/>
      <c r="E21" s="870"/>
      <c r="F21" s="871"/>
      <c r="G21" s="87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26">
        <f t="shared" si="8"/>
        <v>0</v>
      </c>
    </row>
    <row r="22" spans="1:78" s="560" customFormat="1">
      <c r="B22" s="1055" t="s">
        <v>305</v>
      </c>
      <c r="C22" s="870"/>
      <c r="D22" s="1181"/>
      <c r="E22" s="870"/>
      <c r="F22" s="871"/>
      <c r="G22" s="871"/>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26">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c r="B23" s="1055" t="s">
        <v>1152</v>
      </c>
      <c r="C23" s="870"/>
      <c r="D23" s="916"/>
      <c r="E23" s="870"/>
      <c r="F23" s="871"/>
      <c r="G23" s="871"/>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26">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c r="B24" s="1055" t="s">
        <v>1192</v>
      </c>
      <c r="C24" s="870"/>
      <c r="D24" s="916"/>
      <c r="E24" s="870"/>
      <c r="F24" s="871"/>
      <c r="G24" s="871"/>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26">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c r="A25" s="383"/>
      <c r="B25" s="195" t="s">
        <v>499</v>
      </c>
      <c r="C25" s="117"/>
      <c r="D25" s="916"/>
      <c r="E25" s="870"/>
      <c r="F25" s="133"/>
      <c r="G25" s="133"/>
      <c r="H25" s="177"/>
      <c r="I25" s="177"/>
      <c r="J25" s="177"/>
      <c r="K25" s="177"/>
      <c r="L25" s="177"/>
      <c r="M25" s="177"/>
      <c r="N25" s="135"/>
      <c r="O25" s="1023">
        <f>O32</f>
        <v>12</v>
      </c>
      <c r="P25" s="1024">
        <f t="shared" ref="P25:AC25" si="12">P32</f>
        <v>0</v>
      </c>
      <c r="Q25" s="1024">
        <f t="shared" si="12"/>
        <v>0</v>
      </c>
      <c r="R25" s="1024">
        <f t="shared" si="12"/>
        <v>0</v>
      </c>
      <c r="S25" s="1024">
        <f t="shared" si="12"/>
        <v>0</v>
      </c>
      <c r="T25" s="1024">
        <f t="shared" si="12"/>
        <v>0</v>
      </c>
      <c r="U25" s="1024">
        <f t="shared" si="12"/>
        <v>0</v>
      </c>
      <c r="V25" s="1024">
        <f t="shared" si="12"/>
        <v>0</v>
      </c>
      <c r="W25" s="1024">
        <f t="shared" si="12"/>
        <v>0</v>
      </c>
      <c r="X25" s="1024">
        <f t="shared" si="12"/>
        <v>0</v>
      </c>
      <c r="Y25" s="1024">
        <f t="shared" si="12"/>
        <v>0</v>
      </c>
      <c r="Z25" s="1024">
        <f t="shared" si="12"/>
        <v>0</v>
      </c>
      <c r="AA25" s="1024">
        <f t="shared" si="12"/>
        <v>0</v>
      </c>
      <c r="AB25" s="1024">
        <f t="shared" si="12"/>
        <v>0</v>
      </c>
      <c r="AC25" s="1129">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c r="B26" s="1453" t="s">
        <v>498</v>
      </c>
      <c r="C26" s="1454"/>
      <c r="D26" s="865"/>
      <c r="E26" s="1018"/>
      <c r="F26" s="1018"/>
      <c r="G26" s="1018"/>
      <c r="H26" s="1019"/>
      <c r="I26" s="1019"/>
      <c r="J26" s="1019"/>
      <c r="K26" s="1019"/>
      <c r="L26" s="1019"/>
      <c r="M26" s="1019"/>
      <c r="N26" s="1053"/>
      <c r="O26" s="194"/>
      <c r="P26" s="568"/>
      <c r="Q26" s="568"/>
      <c r="R26" s="568"/>
      <c r="S26" s="568"/>
      <c r="T26" s="568"/>
      <c r="U26" s="568"/>
      <c r="V26" s="247"/>
      <c r="W26" s="247"/>
      <c r="X26" s="247"/>
      <c r="Y26" s="247"/>
      <c r="Z26" s="247"/>
      <c r="AA26" s="247"/>
      <c r="AB26" s="247"/>
      <c r="AC26" s="1125"/>
    </row>
    <row r="27" spans="1:78">
      <c r="B27" s="112" t="s">
        <v>547</v>
      </c>
      <c r="C27" s="84"/>
      <c r="D27" s="61"/>
      <c r="E27" s="84"/>
      <c r="F27" s="863"/>
      <c r="G27" s="863"/>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c r="B28" s="95" t="s">
        <v>500</v>
      </c>
      <c r="C28" s="84"/>
      <c r="D28" s="61"/>
      <c r="E28" s="84"/>
      <c r="F28" s="863"/>
      <c r="G28" s="863"/>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c r="A29" s="383"/>
      <c r="B29" s="95" t="s">
        <v>499</v>
      </c>
      <c r="C29" s="84"/>
      <c r="D29" s="61"/>
      <c r="E29" s="84"/>
      <c r="F29" s="863"/>
      <c r="G29" s="863"/>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c r="B30" s="292" t="s">
        <v>305</v>
      </c>
      <c r="C30" s="84"/>
      <c r="D30" s="61"/>
      <c r="E30" s="84"/>
      <c r="F30" s="863"/>
      <c r="G30" s="863"/>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c r="B31" s="297" t="s">
        <v>306</v>
      </c>
      <c r="C31" s="84"/>
      <c r="D31" s="61"/>
      <c r="E31" s="84"/>
      <c r="F31" s="863"/>
      <c r="G31" s="863"/>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30">
      <c r="B32" s="297" t="s">
        <v>307</v>
      </c>
      <c r="C32" s="84"/>
      <c r="D32" s="61"/>
      <c r="E32" s="84"/>
      <c r="F32" s="863"/>
      <c r="G32" s="863"/>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25"/>
    </row>
    <row r="33" spans="1:78" s="560" customFormat="1">
      <c r="B33" s="1450" t="s">
        <v>1193</v>
      </c>
      <c r="C33" s="1457"/>
      <c r="D33" s="1174"/>
      <c r="E33" s="1174"/>
      <c r="F33" s="424"/>
      <c r="G33" s="424"/>
      <c r="H33" s="425"/>
      <c r="I33" s="425"/>
      <c r="J33" s="425"/>
      <c r="K33" s="425"/>
      <c r="L33" s="428"/>
      <c r="M33" s="425"/>
      <c r="N33" s="1053"/>
      <c r="O33" s="427"/>
      <c r="P33" s="1017"/>
      <c r="Q33" s="1017"/>
      <c r="R33" s="1017"/>
      <c r="S33" s="1017"/>
      <c r="T33" s="1017"/>
      <c r="U33" s="1017"/>
      <c r="V33" s="1025"/>
      <c r="W33" s="1025"/>
      <c r="X33" s="1025"/>
      <c r="Y33" s="1025"/>
      <c r="Z33" s="1025"/>
      <c r="AA33" s="1025"/>
      <c r="AB33" s="1025"/>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c r="B34" s="297" t="s">
        <v>409</v>
      </c>
      <c r="C34" s="1173"/>
      <c r="D34" s="84"/>
      <c r="E34" s="84"/>
      <c r="F34" s="1119"/>
      <c r="G34" s="1119"/>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26">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c r="B35" s="297" t="s">
        <v>1194</v>
      </c>
      <c r="C35" s="1173"/>
      <c r="D35" s="84"/>
      <c r="E35" s="84"/>
      <c r="F35" s="1119"/>
      <c r="G35" s="1119"/>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26">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c r="B36" s="297" t="s">
        <v>414</v>
      </c>
      <c r="C36" s="1173"/>
      <c r="D36" s="84"/>
      <c r="E36" s="84"/>
      <c r="F36" s="1119"/>
      <c r="G36" s="1119"/>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26">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c r="B37" s="297" t="s">
        <v>305</v>
      </c>
      <c r="C37" s="1173"/>
      <c r="D37" s="84"/>
      <c r="E37" s="84"/>
      <c r="F37" s="1119"/>
      <c r="G37" s="1119"/>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26">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c r="B38" s="297" t="s">
        <v>1195</v>
      </c>
      <c r="C38" s="1173"/>
      <c r="D38" s="84"/>
      <c r="E38" s="84"/>
      <c r="F38" s="1119"/>
      <c r="G38" s="1119"/>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26">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c r="B39" s="297" t="s">
        <v>93</v>
      </c>
      <c r="C39" s="1173"/>
      <c r="D39" s="84"/>
      <c r="E39" s="84"/>
      <c r="F39" s="1119"/>
      <c r="G39" s="1119"/>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26">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c r="B40" s="297" t="s">
        <v>1176</v>
      </c>
      <c r="C40" s="1173"/>
      <c r="D40" s="84"/>
      <c r="E40" s="84"/>
      <c r="F40" s="1119"/>
      <c r="G40" s="1119"/>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26">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c r="B41" s="297" t="s">
        <v>5</v>
      </c>
      <c r="C41" s="1173"/>
      <c r="D41" s="84"/>
      <c r="E41" s="84"/>
      <c r="F41" s="1119"/>
      <c r="G41" s="1119"/>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26">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c r="B42" s="1450" t="s">
        <v>635</v>
      </c>
      <c r="C42" s="1451"/>
      <c r="D42" s="1120"/>
      <c r="E42" s="1121"/>
      <c r="F42" s="424"/>
      <c r="G42" s="424"/>
      <c r="H42" s="425"/>
      <c r="I42" s="425"/>
      <c r="J42" s="425"/>
      <c r="K42" s="425"/>
      <c r="L42" s="428"/>
      <c r="M42" s="425"/>
      <c r="N42" s="1053"/>
      <c r="O42" s="427"/>
      <c r="P42" s="1017"/>
      <c r="Q42" s="1017"/>
      <c r="R42" s="1017"/>
      <c r="S42" s="1017"/>
      <c r="T42" s="1017"/>
      <c r="U42" s="1017"/>
      <c r="V42" s="1025"/>
      <c r="W42" s="1025"/>
      <c r="X42" s="1025"/>
      <c r="Y42" s="1025"/>
      <c r="Z42" s="1025"/>
      <c r="AA42" s="1025"/>
      <c r="AB42" s="1025"/>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c r="B43" s="433" t="s">
        <v>569</v>
      </c>
      <c r="C43" s="652"/>
      <c r="D43" s="433"/>
      <c r="E43" s="652"/>
      <c r="F43" s="244"/>
      <c r="G43" s="244"/>
      <c r="H43" s="434"/>
      <c r="I43" s="434"/>
      <c r="J43" s="434"/>
      <c r="K43" s="1176"/>
      <c r="L43" s="1177"/>
      <c r="M43" s="1176">
        <f>'ARP Quarterly'!C6</f>
        <v>0</v>
      </c>
      <c r="N43" s="1176">
        <f>'ARP Quarterly'!D6</f>
        <v>58.782959999999989</v>
      </c>
      <c r="O43" s="908">
        <f>'ARP Quarterly'!E6</f>
        <v>267.78904</v>
      </c>
      <c r="P43" s="909">
        <f>'ARP Quarterly'!F6</f>
        <v>110.24799999999999</v>
      </c>
      <c r="Q43" s="909">
        <f>'ARP Quarterly'!G6</f>
        <v>110.24799999999999</v>
      </c>
      <c r="R43" s="909">
        <f>'ARP Quarterly'!H6</f>
        <v>110.24799999999999</v>
      </c>
      <c r="S43" s="909">
        <f>'ARP Quarterly'!I6</f>
        <v>110.24799999999999</v>
      </c>
      <c r="T43" s="909">
        <f>'ARP Quarterly'!J6</f>
        <v>12.726000000000001</v>
      </c>
      <c r="U43" s="909">
        <f>'ARP Quarterly'!K6</f>
        <v>12.726000000000001</v>
      </c>
      <c r="V43" s="909">
        <f>'ARP Quarterly'!L6</f>
        <v>12.726000000000001</v>
      </c>
      <c r="W43" s="909">
        <f>'ARP Quarterly'!M6</f>
        <v>12.726000000000001</v>
      </c>
      <c r="X43" s="909">
        <f>'ARP Quarterly'!N6</f>
        <v>1.365</v>
      </c>
      <c r="Y43" s="909">
        <f>'ARP Quarterly'!O6</f>
        <v>1.365</v>
      </c>
      <c r="Z43" s="909">
        <f>'ARP Quarterly'!P6</f>
        <v>1.365</v>
      </c>
      <c r="AA43" s="909">
        <f>'ARP Quarterly'!Q6</f>
        <v>1.365</v>
      </c>
      <c r="AB43" s="909">
        <f>'ARP Quarterly'!R6</f>
        <v>-0.90100000000000025</v>
      </c>
      <c r="AC43" s="1179">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c r="A44" s="430"/>
      <c r="B44" s="190" t="s">
        <v>570</v>
      </c>
      <c r="C44" s="191"/>
      <c r="D44" s="190"/>
      <c r="E44" s="191"/>
      <c r="F44" s="435">
        <f t="shared" ref="F44:AC44" si="13">F11-F43</f>
        <v>60.5</v>
      </c>
      <c r="G44" s="435">
        <f t="shared" si="13"/>
        <v>81.400000000000006</v>
      </c>
      <c r="H44" s="435">
        <f t="shared" si="13"/>
        <v>82.2</v>
      </c>
      <c r="I44" s="435">
        <f t="shared" si="13"/>
        <v>80.3</v>
      </c>
      <c r="J44" s="435">
        <f t="shared" si="13"/>
        <v>1123.5999999999999</v>
      </c>
      <c r="K44" s="435">
        <f t="shared" si="13"/>
        <v>1220.5</v>
      </c>
      <c r="L44" s="435">
        <f t="shared" si="13"/>
        <v>618.6</v>
      </c>
      <c r="M44" s="435">
        <f t="shared" si="13"/>
        <v>403.8</v>
      </c>
      <c r="N44" s="1054">
        <f t="shared" si="13"/>
        <v>624.81704000000002</v>
      </c>
      <c r="O44" s="910">
        <f t="shared" si="13"/>
        <v>684.23865117608079</v>
      </c>
      <c r="P44" s="1178">
        <f t="shared" si="13"/>
        <v>116.33678854309761</v>
      </c>
      <c r="Q44" s="1178">
        <f t="shared" si="13"/>
        <v>83.047368421052624</v>
      </c>
      <c r="R44" s="1178">
        <f t="shared" si="13"/>
        <v>77.633834586466179</v>
      </c>
      <c r="S44" s="1178">
        <f t="shared" si="13"/>
        <v>77.633834586466179</v>
      </c>
      <c r="T44" s="1178">
        <f t="shared" si="13"/>
        <v>75.736000000000004</v>
      </c>
      <c r="U44" s="1178">
        <f t="shared" si="13"/>
        <v>75.736000000000004</v>
      </c>
      <c r="V44" s="1178">
        <f t="shared" si="13"/>
        <v>75.736000000000004</v>
      </c>
      <c r="W44" s="1178">
        <f t="shared" si="13"/>
        <v>75.736000000000004</v>
      </c>
      <c r="X44" s="1178">
        <f t="shared" si="13"/>
        <v>74.060000000000016</v>
      </c>
      <c r="Y44" s="1178">
        <f t="shared" si="13"/>
        <v>74.060000000000016</v>
      </c>
      <c r="Z44" s="1178">
        <f t="shared" si="13"/>
        <v>74.060000000000016</v>
      </c>
      <c r="AA44" s="1178">
        <f t="shared" si="13"/>
        <v>74.060000000000016</v>
      </c>
      <c r="AB44" s="1178">
        <f t="shared" si="13"/>
        <v>77.001000000000005</v>
      </c>
      <c r="AC44" s="1180">
        <f t="shared" si="13"/>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c r="B46" s="299"/>
      <c r="C46" s="299"/>
      <c r="D46" s="299"/>
    </row>
    <row r="47" spans="1:78">
      <c r="B47" s="1175"/>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c r="B48" s="1175"/>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c r="B49" s="1175"/>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c r="B50" s="1175"/>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c r="B51" s="1175"/>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c r="B52" s="1175"/>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c r="B53" s="1175"/>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c r="B54" s="1175"/>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c r="B56" s="299"/>
      <c r="C56" s="299"/>
      <c r="D56" s="299"/>
    </row>
    <row r="57" spans="2:78">
      <c r="B57" s="299"/>
      <c r="C57" s="299"/>
      <c r="D57" s="299"/>
    </row>
    <row r="58" spans="2:78">
      <c r="B58" s="299"/>
      <c r="C58" s="299"/>
      <c r="D58" s="299"/>
    </row>
    <row r="59" spans="2:78">
      <c r="B59" s="299"/>
      <c r="C59" s="299"/>
      <c r="D59" s="299"/>
    </row>
    <row r="60" spans="2:78">
      <c r="B60" s="299"/>
      <c r="C60" s="299"/>
      <c r="D60" s="299"/>
    </row>
    <row r="61" spans="2:78">
      <c r="B61" s="299"/>
      <c r="C61" s="299"/>
      <c r="D61" s="299"/>
    </row>
    <row r="62" spans="2:78">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3"/>
  <sheetViews>
    <sheetView zoomScale="60" zoomScaleNormal="70" workbookViewId="0">
      <selection activeCell="I28" sqref="I28"/>
    </sheetView>
  </sheetViews>
  <sheetFormatPr baseColWidth="10" defaultColWidth="8.6640625" defaultRowHeight="14"/>
  <cols>
    <col min="1" max="1" width="8.6640625" style="36"/>
    <col min="2" max="2" width="52.6640625" style="36" customWidth="1"/>
    <col min="3" max="3" width="11.5" style="36" customWidth="1"/>
    <col min="4" max="7" width="11.5" style="302"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0" customWidth="1"/>
    <col min="26" max="26" width="11.1640625" style="36" customWidth="1"/>
    <col min="27" max="32" width="9.6640625" style="36" customWidth="1"/>
    <col min="33" max="36" width="8.6640625" style="36" bestFit="1" customWidth="1"/>
    <col min="37" max="16384" width="8.6640625" style="36"/>
  </cols>
  <sheetData>
    <row r="1" spans="2:30" s="302" customFormat="1">
      <c r="B1" s="1382" t="s">
        <v>596</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30" ht="14" customHeight="1">
      <c r="B2" s="1407" t="s">
        <v>1144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30">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30">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30">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2:30" ht="38.5" customHeight="1">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2:30">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c r="B8" s="1400" t="s">
        <v>260</v>
      </c>
      <c r="C8" s="1401"/>
      <c r="D8" s="1412" t="s">
        <v>261</v>
      </c>
      <c r="E8" s="1413"/>
      <c r="F8" s="1413"/>
      <c r="G8" s="1413"/>
      <c r="H8" s="1413"/>
      <c r="I8" s="1413"/>
      <c r="J8" s="1413"/>
      <c r="K8" s="1413"/>
      <c r="L8" s="1413"/>
      <c r="M8" s="1397"/>
      <c r="N8" s="1435"/>
      <c r="O8" s="1398" t="s">
        <v>143</v>
      </c>
      <c r="P8" s="1447"/>
      <c r="Q8" s="1447"/>
      <c r="R8" s="1447"/>
      <c r="S8" s="1447"/>
      <c r="T8" s="1447"/>
      <c r="U8" s="1447"/>
      <c r="V8" s="1447"/>
      <c r="W8" s="1447"/>
      <c r="X8" s="1447"/>
      <c r="Y8" s="1409"/>
      <c r="Z8" s="1409"/>
      <c r="AA8" s="1409"/>
      <c r="AB8" s="1409"/>
      <c r="AC8" s="1410"/>
    </row>
    <row r="9" spans="2:30" ht="12.5" customHeight="1">
      <c r="B9" s="1402"/>
      <c r="C9" s="1403"/>
      <c r="D9" s="805">
        <v>2018</v>
      </c>
      <c r="E9" s="1383">
        <v>2019</v>
      </c>
      <c r="F9" s="1436"/>
      <c r="G9" s="1436"/>
      <c r="H9" s="1393"/>
      <c r="I9" s="1436">
        <v>2020</v>
      </c>
      <c r="J9" s="1384"/>
      <c r="K9" s="1384"/>
      <c r="L9" s="1384"/>
      <c r="M9" s="1383">
        <v>2021</v>
      </c>
      <c r="N9" s="1393"/>
      <c r="O9" s="1448">
        <v>2021</v>
      </c>
      <c r="P9" s="1449"/>
      <c r="Q9" s="1448">
        <v>2022</v>
      </c>
      <c r="R9" s="1452"/>
      <c r="S9" s="1452"/>
      <c r="T9" s="1452"/>
      <c r="U9" s="1448">
        <v>2023</v>
      </c>
      <c r="V9" s="1452"/>
      <c r="W9" s="1452"/>
      <c r="X9" s="1452"/>
      <c r="Y9" s="1406">
        <v>2024</v>
      </c>
      <c r="Z9" s="1411"/>
      <c r="AA9" s="1411"/>
      <c r="AB9" s="1411"/>
      <c r="AC9" s="475">
        <v>2025</v>
      </c>
    </row>
    <row r="10" spans="2:30" ht="14.5" customHeight="1">
      <c r="B10" s="1402"/>
      <c r="C10" s="1403"/>
      <c r="D10" s="224" t="s">
        <v>138</v>
      </c>
      <c r="E10" s="224" t="s">
        <v>135</v>
      </c>
      <c r="F10" s="200" t="s">
        <v>136</v>
      </c>
      <c r="G10" s="200" t="s">
        <v>137</v>
      </c>
      <c r="H10" s="208" t="s">
        <v>138</v>
      </c>
      <c r="I10" s="201" t="s">
        <v>135</v>
      </c>
      <c r="J10" s="201" t="s">
        <v>136</v>
      </c>
      <c r="K10" s="201" t="s">
        <v>137</v>
      </c>
      <c r="L10" s="201" t="s">
        <v>138</v>
      </c>
      <c r="M10" s="216" t="s">
        <v>135</v>
      </c>
      <c r="N10" s="208" t="s">
        <v>136</v>
      </c>
      <c r="O10" s="858" t="s">
        <v>137</v>
      </c>
      <c r="P10" s="860" t="s">
        <v>138</v>
      </c>
      <c r="Q10" s="858" t="s">
        <v>135</v>
      </c>
      <c r="R10" s="859" t="s">
        <v>136</v>
      </c>
      <c r="S10" s="859" t="s">
        <v>137</v>
      </c>
      <c r="T10" s="859" t="s">
        <v>138</v>
      </c>
      <c r="U10" s="858" t="s">
        <v>135</v>
      </c>
      <c r="V10" s="859" t="s">
        <v>136</v>
      </c>
      <c r="W10" s="859" t="s">
        <v>137</v>
      </c>
      <c r="X10" s="859" t="s">
        <v>138</v>
      </c>
      <c r="Y10" s="64" t="s">
        <v>135</v>
      </c>
      <c r="Z10" s="695" t="s">
        <v>136</v>
      </c>
      <c r="AA10" s="65" t="s">
        <v>137</v>
      </c>
      <c r="AB10" s="65" t="s">
        <v>138</v>
      </c>
      <c r="AC10" s="67" t="s">
        <v>135</v>
      </c>
    </row>
    <row r="11" spans="2:30">
      <c r="B11" s="507" t="s">
        <v>262</v>
      </c>
      <c r="C11" s="508" t="s">
        <v>193</v>
      </c>
      <c r="D11" s="922">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1332">
        <f t="shared" ref="O11:AC11" si="0">O12+O13+O20</f>
        <v>274.43464739884394</v>
      </c>
      <c r="P11" s="923">
        <f t="shared" si="0"/>
        <v>36.046109826589621</v>
      </c>
      <c r="Q11" s="923">
        <f t="shared" si="0"/>
        <v>32.09660115606939</v>
      </c>
      <c r="R11" s="923">
        <f t="shared" si="0"/>
        <v>29.867670520231236</v>
      </c>
      <c r="S11" s="923">
        <f t="shared" si="0"/>
        <v>28.796219653179211</v>
      </c>
      <c r="T11" s="923">
        <f t="shared" si="0"/>
        <v>28.444283236994242</v>
      </c>
      <c r="U11" s="923">
        <f t="shared" si="0"/>
        <v>28.639803468208115</v>
      </c>
      <c r="V11" s="923">
        <f t="shared" si="0"/>
        <v>29.077768786127191</v>
      </c>
      <c r="W11" s="923">
        <f t="shared" si="0"/>
        <v>29.52355491329482</v>
      </c>
      <c r="X11" s="923">
        <f t="shared" si="0"/>
        <v>29.992803468208116</v>
      </c>
      <c r="Y11" s="923">
        <f t="shared" si="0"/>
        <v>30.579364161849735</v>
      </c>
      <c r="Z11" s="923">
        <f t="shared" si="0"/>
        <v>31.064254335260141</v>
      </c>
      <c r="AA11" s="923">
        <f t="shared" si="0"/>
        <v>31.447473988439334</v>
      </c>
      <c r="AB11" s="923">
        <f t="shared" si="0"/>
        <v>31.924543352601184</v>
      </c>
      <c r="AC11" s="1028">
        <f t="shared" si="0"/>
        <v>32.385971098265927</v>
      </c>
      <c r="AD11" s="36" t="s">
        <v>263</v>
      </c>
    </row>
    <row r="12" spans="2:30" s="120" customFormat="1">
      <c r="B12" s="498" t="s">
        <v>264</v>
      </c>
      <c r="C12" s="499" t="s">
        <v>194</v>
      </c>
      <c r="D12" s="819">
        <f>'Haver Pivoted'!GO63</f>
        <v>0</v>
      </c>
      <c r="E12" s="815">
        <f>'Haver Pivoted'!GP63</f>
        <v>0</v>
      </c>
      <c r="F12" s="815">
        <f>'Haver Pivoted'!GQ63</f>
        <v>0</v>
      </c>
      <c r="G12" s="815">
        <f>'Haver Pivoted'!GR63</f>
        <v>0</v>
      </c>
      <c r="H12" s="815">
        <f>'Haver Pivoted'!GS63</f>
        <v>0</v>
      </c>
      <c r="I12" s="815">
        <f>'Haver Pivoted'!GT63</f>
        <v>0</v>
      </c>
      <c r="J12" s="815">
        <f>'Haver Pivoted'!GU63</f>
        <v>0.1</v>
      </c>
      <c r="K12" s="815">
        <f>'Haver Pivoted'!GV63</f>
        <v>3.7</v>
      </c>
      <c r="L12" s="815">
        <f>'Haver Pivoted'!GW63</f>
        <v>12.9</v>
      </c>
      <c r="M12" s="815">
        <f>'Haver Pivoted'!GX63</f>
        <v>25</v>
      </c>
      <c r="N12" s="815">
        <f>'Haver Pivoted'!GY63</f>
        <v>5.8</v>
      </c>
      <c r="O12" s="1333">
        <v>4</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c r="B13" s="498" t="s">
        <v>266</v>
      </c>
      <c r="C13" s="499"/>
      <c r="D13" s="819"/>
      <c r="E13" s="815"/>
      <c r="F13" s="815"/>
      <c r="G13" s="815"/>
      <c r="H13" s="73">
        <f>SUM(H14:H17)</f>
        <v>0</v>
      </c>
      <c r="I13" s="73">
        <f t="shared" ref="I13:M13" si="2">SUM(I14:I17)</f>
        <v>0</v>
      </c>
      <c r="J13" s="73">
        <f t="shared" si="2"/>
        <v>779.7</v>
      </c>
      <c r="K13" s="73">
        <f t="shared" si="2"/>
        <v>582.6</v>
      </c>
      <c r="L13" s="73">
        <f t="shared" si="2"/>
        <v>216.5</v>
      </c>
      <c r="M13" s="73">
        <f t="shared" si="2"/>
        <v>505</v>
      </c>
      <c r="N13" s="397">
        <f>SUM(N14:N17)</f>
        <v>429.59999999999997</v>
      </c>
      <c r="O13" s="1333">
        <f t="shared" ref="O13:AC13" si="3">SUM(O14:O17)</f>
        <v>229</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34">
        <v>4</v>
      </c>
      <c r="P14" s="580">
        <f t="shared" ref="P14:X14" si="4">P12</f>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29">
        <f t="shared" si="5"/>
        <v>0</v>
      </c>
    </row>
    <row r="15" spans="2:30" ht="18" customHeight="1">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104.5</v>
      </c>
      <c r="O15" s="1334">
        <v>60</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29">
        <f t="shared" si="6"/>
        <v>0</v>
      </c>
    </row>
    <row r="16" spans="2:30" ht="18" customHeight="1">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82.1</v>
      </c>
      <c r="O16" s="1334">
        <v>45</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29">
        <f t="shared" si="7"/>
        <v>0</v>
      </c>
    </row>
    <row r="17" spans="2:30" ht="18" customHeight="1">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237.2</v>
      </c>
      <c r="O17" s="1334">
        <v>120</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29">
        <f t="shared" si="8"/>
        <v>0</v>
      </c>
    </row>
    <row r="18" spans="2:30" s="120" customFormat="1" ht="15">
      <c r="B18" s="259" t="s">
        <v>271</v>
      </c>
      <c r="C18" s="120" t="s">
        <v>198</v>
      </c>
      <c r="D18" s="819">
        <f>'Haver Pivoted'!GO64</f>
        <v>0</v>
      </c>
      <c r="E18" s="815">
        <f>'Haver Pivoted'!GP64</f>
        <v>0</v>
      </c>
      <c r="F18" s="815">
        <f>'Haver Pivoted'!GQ64</f>
        <v>0</v>
      </c>
      <c r="G18" s="815">
        <f>'Haver Pivoted'!GR64</f>
        <v>0</v>
      </c>
      <c r="H18" s="815">
        <f>'Haver Pivoted'!GS64</f>
        <v>0</v>
      </c>
      <c r="I18" s="815">
        <f>'Haver Pivoted'!GT64</f>
        <v>0</v>
      </c>
      <c r="J18" s="815">
        <f>'Haver Pivoted'!GU64</f>
        <v>0</v>
      </c>
      <c r="K18" s="815">
        <f>'Haver Pivoted'!GV64</f>
        <v>106.2</v>
      </c>
      <c r="L18" s="815">
        <f>'Haver Pivoted'!GW64</f>
        <v>35.9</v>
      </c>
      <c r="M18" s="815">
        <f>'Haver Pivoted'!GX64</f>
        <v>1.6</v>
      </c>
      <c r="N18" s="815">
        <f>'Haver Pivoted'!GY64</f>
        <v>0.6</v>
      </c>
      <c r="O18" s="576"/>
      <c r="P18" s="577"/>
      <c r="Q18" s="577"/>
      <c r="R18" s="577"/>
      <c r="S18" s="577"/>
      <c r="T18" s="577"/>
      <c r="U18" s="577"/>
      <c r="V18" s="577"/>
      <c r="W18" s="577"/>
      <c r="X18" s="577"/>
      <c r="Y18" s="577"/>
      <c r="Z18" s="577"/>
      <c r="AA18" s="577"/>
      <c r="AB18" s="577"/>
      <c r="AC18" s="578"/>
    </row>
    <row r="19" spans="2:30" ht="1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435.4</v>
      </c>
      <c r="O19" s="579">
        <f t="shared" ref="O19:Y19" si="10">O11-O20</f>
        <v>232.99999999999997</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29">
        <f t="shared" si="11"/>
        <v>0</v>
      </c>
    </row>
    <row r="20" spans="2:30" ht="1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45.100000000000023</v>
      </c>
      <c r="O20" s="576">
        <f t="shared" ref="O20:AC20" si="13">N20*O22/N22</f>
        <v>41.434647398843964</v>
      </c>
      <c r="P20" s="577">
        <f t="shared" si="13"/>
        <v>36.046109826589621</v>
      </c>
      <c r="Q20" s="577">
        <f t="shared" si="13"/>
        <v>32.09660115606939</v>
      </c>
      <c r="R20" s="577">
        <f t="shared" si="13"/>
        <v>29.867670520231236</v>
      </c>
      <c r="S20" s="577">
        <f t="shared" si="13"/>
        <v>28.796219653179211</v>
      </c>
      <c r="T20" s="577">
        <f t="shared" si="13"/>
        <v>28.444283236994242</v>
      </c>
      <c r="U20" s="577">
        <f t="shared" si="13"/>
        <v>28.639803468208115</v>
      </c>
      <c r="V20" s="577">
        <f t="shared" si="13"/>
        <v>29.077768786127191</v>
      </c>
      <c r="W20" s="577">
        <f t="shared" si="13"/>
        <v>29.52355491329482</v>
      </c>
      <c r="X20" s="577">
        <f t="shared" si="13"/>
        <v>29.992803468208116</v>
      </c>
      <c r="Y20" s="577">
        <f t="shared" si="13"/>
        <v>30.579364161849735</v>
      </c>
      <c r="Z20" s="577">
        <f t="shared" si="13"/>
        <v>31.064254335260141</v>
      </c>
      <c r="AA20" s="577">
        <f t="shared" si="13"/>
        <v>31.447473988439334</v>
      </c>
      <c r="AB20" s="577">
        <f t="shared" si="13"/>
        <v>31.924543352601184</v>
      </c>
      <c r="AC20" s="578">
        <f t="shared" si="13"/>
        <v>32.385971098265927</v>
      </c>
      <c r="AD20" s="36" t="s">
        <v>632</v>
      </c>
    </row>
    <row r="21" spans="2:30">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c r="B22" s="185" t="s">
        <v>1143</v>
      </c>
      <c r="C22" s="220"/>
      <c r="D22" s="502"/>
      <c r="E22" s="503"/>
      <c r="F22" s="503"/>
      <c r="G22" s="503"/>
      <c r="H22" s="920"/>
      <c r="I22" s="921"/>
      <c r="J22" s="921"/>
      <c r="K22" s="921"/>
      <c r="L22" s="921"/>
      <c r="M22" s="921">
        <f>D27</f>
        <v>6.166666666666667</v>
      </c>
      <c r="N22" s="921">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46">
        <v>4.141</v>
      </c>
      <c r="AD22" s="56" t="s">
        <v>1142</v>
      </c>
    </row>
    <row r="23" spans="2:30" s="302" customFormat="1">
      <c r="M23" s="235"/>
      <c r="N23" s="235"/>
      <c r="O23" s="235"/>
      <c r="P23" s="235"/>
      <c r="Q23" s="235"/>
      <c r="R23" s="235"/>
      <c r="S23" s="235"/>
      <c r="T23" s="235"/>
      <c r="U23" s="235"/>
      <c r="V23" s="235"/>
      <c r="W23" s="235"/>
      <c r="X23" s="235"/>
      <c r="Y23" s="235"/>
      <c r="Z23" s="235"/>
      <c r="AA23" s="235"/>
      <c r="AB23" s="235"/>
      <c r="AC23" s="235"/>
    </row>
    <row r="24" spans="2:30">
      <c r="AA24" s="43"/>
    </row>
    <row r="25" spans="2:30" s="302" customFormat="1">
      <c r="O25" s="35"/>
      <c r="P25" s="35"/>
      <c r="Q25" s="35"/>
      <c r="R25" s="35"/>
      <c r="S25" s="35"/>
      <c r="T25" s="35"/>
    </row>
    <row r="26" spans="2:30" ht="30.5" customHeight="1">
      <c r="B26" s="409" t="s">
        <v>630</v>
      </c>
      <c r="C26" s="410" t="s">
        <v>273</v>
      </c>
      <c r="D26" s="411" t="s">
        <v>631</v>
      </c>
      <c r="E26" s="36"/>
      <c r="F26" s="36"/>
      <c r="G26" s="36"/>
      <c r="K26" s="35"/>
      <c r="L26" s="35"/>
      <c r="M26" s="35"/>
      <c r="N26" s="35"/>
      <c r="O26" s="35" t="s">
        <v>1235</v>
      </c>
      <c r="P26" s="35"/>
      <c r="R26" s="240"/>
      <c r="S26" s="240"/>
      <c r="T26" s="240"/>
      <c r="U26" s="240"/>
      <c r="V26" s="36"/>
      <c r="W26" s="36"/>
      <c r="X26" s="36"/>
      <c r="Y26" s="36"/>
    </row>
    <row r="27" spans="2:30">
      <c r="B27" s="408">
        <v>44197</v>
      </c>
      <c r="C27" s="35">
        <v>6.3</v>
      </c>
      <c r="D27" s="45">
        <f>AVERAGE(C27:C29)</f>
        <v>6.166666666666667</v>
      </c>
      <c r="E27" s="36"/>
      <c r="F27" s="36"/>
      <c r="G27" s="36"/>
      <c r="R27" s="240"/>
      <c r="S27" s="240"/>
      <c r="T27" s="240"/>
      <c r="U27" s="240"/>
      <c r="V27" s="36"/>
      <c r="W27" s="36"/>
      <c r="X27" s="36"/>
      <c r="Y27" s="36"/>
    </row>
    <row r="28" spans="2:30">
      <c r="B28" s="408">
        <v>44228</v>
      </c>
      <c r="C28" s="35">
        <v>6.2</v>
      </c>
      <c r="D28" s="45"/>
      <c r="E28" s="36"/>
      <c r="F28" s="36"/>
      <c r="G28" s="36"/>
      <c r="R28" s="240"/>
      <c r="S28" s="240"/>
      <c r="T28" s="240"/>
      <c r="U28" s="240"/>
      <c r="V28" s="36"/>
      <c r="W28" s="36"/>
      <c r="X28" s="36"/>
      <c r="Y28" s="36"/>
    </row>
    <row r="29" spans="2:30">
      <c r="B29" s="408">
        <v>44256</v>
      </c>
      <c r="C29" s="35">
        <v>6</v>
      </c>
      <c r="D29" s="45"/>
      <c r="E29" s="36"/>
      <c r="F29" s="36"/>
      <c r="G29" s="36"/>
      <c r="R29" s="240"/>
      <c r="S29" s="240"/>
      <c r="T29" s="240"/>
      <c r="U29" s="240"/>
      <c r="V29" s="36"/>
      <c r="W29" s="36"/>
      <c r="X29" s="36"/>
      <c r="Y29" s="36"/>
    </row>
    <row r="30" spans="2:30">
      <c r="B30" s="408">
        <v>44287</v>
      </c>
      <c r="C30" s="35">
        <v>6.1</v>
      </c>
      <c r="D30" s="45">
        <f>AVERAGE(C30:C32)</f>
        <v>5.7666666666666657</v>
      </c>
      <c r="E30" s="36"/>
      <c r="F30" s="36"/>
      <c r="G30" s="36"/>
      <c r="R30" s="302"/>
      <c r="S30" s="240"/>
      <c r="T30" s="240"/>
      <c r="U30" s="240"/>
      <c r="V30" s="36"/>
      <c r="W30" s="36"/>
      <c r="X30" s="36"/>
      <c r="Y30" s="36"/>
    </row>
    <row r="31" spans="2:30">
      <c r="B31" s="408">
        <v>44317</v>
      </c>
      <c r="C31" s="35">
        <v>5.8</v>
      </c>
      <c r="D31" s="45"/>
      <c r="E31" s="36"/>
      <c r="F31" s="36"/>
      <c r="G31" s="36"/>
      <c r="R31" s="302"/>
      <c r="S31" s="240"/>
      <c r="T31" s="240"/>
      <c r="U31" s="240"/>
      <c r="V31" s="36"/>
      <c r="W31" s="36"/>
      <c r="X31" s="36"/>
      <c r="Y31" s="36"/>
    </row>
    <row r="32" spans="2:30">
      <c r="B32" s="634">
        <v>44348</v>
      </c>
      <c r="C32" s="635">
        <v>5.4</v>
      </c>
      <c r="D32" s="636"/>
      <c r="E32" s="36" t="s">
        <v>993</v>
      </c>
      <c r="F32" s="36"/>
      <c r="G32" s="36"/>
      <c r="R32" s="240"/>
      <c r="S32" s="240"/>
      <c r="T32" s="240"/>
      <c r="U32" s="240"/>
      <c r="V32" s="36"/>
      <c r="W32" s="36"/>
      <c r="X32" s="36"/>
      <c r="Y32" s="36"/>
    </row>
    <row r="33" spans="2:3">
      <c r="B33" s="1331">
        <v>44378</v>
      </c>
      <c r="C33" s="36">
        <v>5.4</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7" zoomScale="59" zoomScaleNormal="80" workbookViewId="0">
      <selection activeCell="N17" sqref="N17"/>
    </sheetView>
  </sheetViews>
  <sheetFormatPr baseColWidth="10" defaultColWidth="8.6640625" defaultRowHeight="14"/>
  <cols>
    <col min="1" max="1" width="8.6640625" style="302"/>
    <col min="2" max="2" width="31.83203125" style="302" customWidth="1"/>
    <col min="3" max="7" width="7.6640625" style="302" customWidth="1"/>
    <col min="8" max="8" width="8.6640625" style="302"/>
    <col min="9" max="9" width="8.6640625" style="302" customWidth="1"/>
    <col min="10" max="24" width="9.1640625" style="302" bestFit="1" customWidth="1"/>
    <col min="25" max="16384" width="8.6640625" style="302"/>
  </cols>
  <sheetData>
    <row r="1" spans="2:29">
      <c r="B1" s="1382" t="s">
        <v>141</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29" ht="14" customHeight="1">
      <c r="B2" s="1407" t="s">
        <v>1129</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ht="59.5" customHeight="1">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ht="60.5" customHeight="1">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29" ht="15">
      <c r="B5" s="176" t="s">
        <v>399</v>
      </c>
    </row>
    <row r="6" spans="2:29" ht="14.5" customHeight="1">
      <c r="B6" s="1458" t="s">
        <v>292</v>
      </c>
      <c r="C6" s="1472"/>
      <c r="D6" s="1412" t="s">
        <v>261</v>
      </c>
      <c r="E6" s="1413"/>
      <c r="F6" s="1413"/>
      <c r="G6" s="1413"/>
      <c r="H6" s="1413"/>
      <c r="I6" s="1413"/>
      <c r="J6" s="1413"/>
      <c r="K6" s="1413"/>
      <c r="L6" s="1413"/>
      <c r="M6" s="1397"/>
      <c r="N6" s="1435"/>
      <c r="O6" s="1398" t="s">
        <v>143</v>
      </c>
      <c r="P6" s="1447"/>
      <c r="Q6" s="1447"/>
      <c r="R6" s="1447"/>
      <c r="S6" s="1447"/>
      <c r="T6" s="1447"/>
      <c r="U6" s="1447"/>
      <c r="V6" s="1447"/>
      <c r="W6" s="1447"/>
      <c r="X6" s="1447"/>
      <c r="Y6" s="1409"/>
      <c r="Z6" s="1409"/>
      <c r="AA6" s="1409"/>
      <c r="AB6" s="1409"/>
      <c r="AC6" s="1410"/>
    </row>
    <row r="7" spans="2:29">
      <c r="B7" s="1402"/>
      <c r="C7" s="1459"/>
      <c r="D7" s="805">
        <v>2018</v>
      </c>
      <c r="E7" s="1383">
        <v>2019</v>
      </c>
      <c r="F7" s="1384"/>
      <c r="G7" s="1384"/>
      <c r="H7" s="1393"/>
      <c r="I7" s="1436">
        <v>2020</v>
      </c>
      <c r="J7" s="1384"/>
      <c r="K7" s="1384"/>
      <c r="L7" s="1384"/>
      <c r="M7" s="1383">
        <v>2021</v>
      </c>
      <c r="N7" s="1393"/>
      <c r="O7" s="1448">
        <v>2021</v>
      </c>
      <c r="P7" s="1449"/>
      <c r="Q7" s="1448">
        <v>2022</v>
      </c>
      <c r="R7" s="1452"/>
      <c r="S7" s="1452"/>
      <c r="T7" s="1452"/>
      <c r="U7" s="1448">
        <v>2023</v>
      </c>
      <c r="V7" s="1452"/>
      <c r="W7" s="1452"/>
      <c r="X7" s="1452"/>
      <c r="Y7" s="1406">
        <v>2024</v>
      </c>
      <c r="Z7" s="1411"/>
      <c r="AA7" s="1411"/>
      <c r="AB7" s="1411"/>
      <c r="AC7" s="475">
        <v>2025</v>
      </c>
    </row>
    <row r="8" spans="2:29">
      <c r="B8" s="1402"/>
      <c r="C8" s="1441"/>
      <c r="D8" s="224" t="s">
        <v>138</v>
      </c>
      <c r="E8" s="224" t="s">
        <v>135</v>
      </c>
      <c r="F8" s="200" t="s">
        <v>136</v>
      </c>
      <c r="G8" s="200" t="s">
        <v>137</v>
      </c>
      <c r="H8" s="208" t="s">
        <v>138</v>
      </c>
      <c r="I8" s="201" t="s">
        <v>135</v>
      </c>
      <c r="J8" s="201" t="s">
        <v>136</v>
      </c>
      <c r="K8" s="201" t="s">
        <v>137</v>
      </c>
      <c r="L8" s="201" t="s">
        <v>138</v>
      </c>
      <c r="M8" s="216" t="s">
        <v>135</v>
      </c>
      <c r="N8" s="208" t="s">
        <v>136</v>
      </c>
      <c r="O8" s="858" t="s">
        <v>137</v>
      </c>
      <c r="P8" s="860" t="s">
        <v>138</v>
      </c>
      <c r="Q8" s="858" t="s">
        <v>135</v>
      </c>
      <c r="R8" s="859" t="s">
        <v>136</v>
      </c>
      <c r="S8" s="859" t="s">
        <v>137</v>
      </c>
      <c r="T8" s="859" t="s">
        <v>138</v>
      </c>
      <c r="U8" s="858" t="s">
        <v>135</v>
      </c>
      <c r="V8" s="859" t="s">
        <v>136</v>
      </c>
      <c r="W8" s="859" t="s">
        <v>137</v>
      </c>
      <c r="X8" s="859" t="s">
        <v>138</v>
      </c>
      <c r="Y8" s="64" t="s">
        <v>135</v>
      </c>
      <c r="Z8" s="695" t="s">
        <v>136</v>
      </c>
      <c r="AA8" s="65" t="s">
        <v>137</v>
      </c>
      <c r="AB8" s="65" t="s">
        <v>138</v>
      </c>
      <c r="AC8" s="67" t="s">
        <v>135</v>
      </c>
    </row>
    <row r="9" spans="2:29">
      <c r="B9" s="321" t="s">
        <v>415</v>
      </c>
      <c r="C9" s="322" t="s">
        <v>211</v>
      </c>
      <c r="D9" s="70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29"/>
      <c r="P9" s="930"/>
      <c r="Q9" s="930"/>
      <c r="R9" s="930"/>
      <c r="S9" s="861"/>
      <c r="T9" s="861"/>
      <c r="U9" s="861"/>
      <c r="V9" s="861"/>
      <c r="W9" s="861"/>
      <c r="X9" s="861"/>
      <c r="Y9" s="861"/>
      <c r="Z9" s="861"/>
      <c r="AA9" s="861"/>
      <c r="AB9" s="861"/>
      <c r="AC9" s="862"/>
    </row>
    <row r="10" spans="2:29">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59"/>
      <c r="T10" s="859"/>
      <c r="U10" s="859"/>
      <c r="V10" s="859"/>
      <c r="W10" s="859"/>
      <c r="X10" s="859"/>
      <c r="Y10" s="859"/>
      <c r="Z10" s="859"/>
      <c r="AA10" s="859"/>
      <c r="AB10" s="859"/>
      <c r="AC10" s="860"/>
    </row>
    <row r="11" spans="2:29" ht="15">
      <c r="B11" s="61" t="s">
        <v>523</v>
      </c>
      <c r="C11" s="35"/>
      <c r="D11" s="238">
        <f t="shared" ref="D11:N11" si="0">D10/D9</f>
        <v>0.6630466497031382</v>
      </c>
      <c r="E11" s="701">
        <f t="shared" si="0"/>
        <v>0.68262525050100198</v>
      </c>
      <c r="F11" s="701">
        <f t="shared" si="0"/>
        <v>0.6726509357200976</v>
      </c>
      <c r="G11" s="701">
        <f t="shared" si="0"/>
        <v>0.67244376606683809</v>
      </c>
      <c r="H11" s="701">
        <f t="shared" si="0"/>
        <v>0.66689121676067686</v>
      </c>
      <c r="I11" s="701">
        <f t="shared" si="0"/>
        <v>0.70623226657868687</v>
      </c>
      <c r="J11" s="701">
        <f t="shared" si="0"/>
        <v>0.76809844084377865</v>
      </c>
      <c r="K11" s="701">
        <f t="shared" si="0"/>
        <v>0.69773609501738121</v>
      </c>
      <c r="L11" s="701">
        <f t="shared" si="0"/>
        <v>0.7486908447589562</v>
      </c>
      <c r="M11" s="701">
        <f t="shared" si="0"/>
        <v>0.7347966661876707</v>
      </c>
      <c r="N11" s="701">
        <f t="shared" si="0"/>
        <v>0.70799320190346704</v>
      </c>
      <c r="O11" s="1014">
        <f>AVERAGE($L$11:$M$11)</f>
        <v>0.7417437554733135</v>
      </c>
      <c r="P11" s="1015">
        <f t="shared" ref="P11:R11" si="1">AVERAGE($L$11:$M$11)</f>
        <v>0.7417437554733135</v>
      </c>
      <c r="Q11" s="1015">
        <f t="shared" si="1"/>
        <v>0.7417437554733135</v>
      </c>
      <c r="R11" s="1015">
        <f t="shared" si="1"/>
        <v>0.7417437554733135</v>
      </c>
      <c r="S11" s="1015">
        <f>AVERAGE(D11:G11)</f>
        <v>0.67269165049776891</v>
      </c>
      <c r="T11" s="1015">
        <f>AVERAGE(D11:G11)</f>
        <v>0.67269165049776891</v>
      </c>
      <c r="U11" s="1015">
        <f t="shared" ref="U11:Y12" si="2">T11</f>
        <v>0.67269165049776891</v>
      </c>
      <c r="V11" s="1015">
        <f t="shared" si="2"/>
        <v>0.67269165049776891</v>
      </c>
      <c r="W11" s="1015">
        <f t="shared" si="2"/>
        <v>0.67269165049776891</v>
      </c>
      <c r="X11" s="1015">
        <f t="shared" si="2"/>
        <v>0.67269165049776891</v>
      </c>
      <c r="Y11" s="1015">
        <f t="shared" si="2"/>
        <v>0.67269165049776891</v>
      </c>
      <c r="Z11" s="1015">
        <f t="shared" ref="Z11:Z12" si="3">Y11</f>
        <v>0.67269165049776891</v>
      </c>
      <c r="AA11" s="1015">
        <f t="shared" ref="AA11:AA12" si="4">Z11</f>
        <v>0.67269165049776891</v>
      </c>
      <c r="AB11" s="1015">
        <f t="shared" ref="AB11:AB12" si="5">AA11</f>
        <v>0.67269165049776891</v>
      </c>
      <c r="AC11" s="1030">
        <f t="shared" ref="AC11:AC12" si="6">AB11</f>
        <v>0.67269165049776891</v>
      </c>
    </row>
    <row r="12" spans="2:29">
      <c r="B12" s="228" t="s">
        <v>524</v>
      </c>
      <c r="C12" s="47"/>
      <c r="D12" s="70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70">
        <f>N11+F44</f>
        <v>0.71742271763848642</v>
      </c>
      <c r="O12" s="483">
        <f>N12</f>
        <v>0.71742271763848642</v>
      </c>
      <c r="P12" s="484">
        <f>O12</f>
        <v>0.71742271763848642</v>
      </c>
      <c r="Q12" s="484">
        <f>Q11+G44</f>
        <v>0.74945466516609416</v>
      </c>
      <c r="R12" s="484">
        <f>Q12</f>
        <v>0.74945466516609416</v>
      </c>
      <c r="S12" s="484">
        <f>S11+G44</f>
        <v>0.68040256019054957</v>
      </c>
      <c r="T12" s="484">
        <f>T11+H44</f>
        <v>0.67728504420420355</v>
      </c>
      <c r="U12" s="484">
        <f t="shared" si="2"/>
        <v>0.67728504420420355</v>
      </c>
      <c r="V12" s="484">
        <f t="shared" si="2"/>
        <v>0.67728504420420355</v>
      </c>
      <c r="W12" s="484">
        <f t="shared" si="2"/>
        <v>0.67728504420420355</v>
      </c>
      <c r="X12" s="484">
        <f t="shared" si="2"/>
        <v>0.67728504420420355</v>
      </c>
      <c r="Y12" s="484">
        <f t="shared" si="2"/>
        <v>0.67728504420420355</v>
      </c>
      <c r="Z12" s="484">
        <f t="shared" si="3"/>
        <v>0.67728504420420355</v>
      </c>
      <c r="AA12" s="484">
        <f t="shared" si="4"/>
        <v>0.67728504420420355</v>
      </c>
      <c r="AB12" s="484">
        <f t="shared" si="5"/>
        <v>0.67728504420420355</v>
      </c>
      <c r="AC12" s="1031">
        <f t="shared" si="6"/>
        <v>0.67728504420420355</v>
      </c>
    </row>
    <row r="14" spans="2:29">
      <c r="B14" s="57" t="s">
        <v>400</v>
      </c>
    </row>
    <row r="15" spans="2:29" ht="25" customHeight="1">
      <c r="B15" s="478" t="s">
        <v>422</v>
      </c>
      <c r="C15" s="798">
        <v>2020</v>
      </c>
      <c r="D15" s="799">
        <v>2021</v>
      </c>
      <c r="E15" s="799">
        <v>2022</v>
      </c>
      <c r="F15" s="799">
        <v>2023</v>
      </c>
      <c r="G15" s="800">
        <v>2024</v>
      </c>
      <c r="H15" s="477"/>
      <c r="I15" s="477"/>
      <c r="J15" s="477"/>
    </row>
    <row r="16" spans="2:29" ht="31.5" customHeight="1">
      <c r="B16" s="54" t="s">
        <v>417</v>
      </c>
      <c r="C16" s="795">
        <v>458.46800000000002</v>
      </c>
      <c r="D16" s="796">
        <v>519.15800000000002</v>
      </c>
      <c r="E16" s="796">
        <v>545.428</v>
      </c>
      <c r="F16" s="796">
        <v>512.61800000000005</v>
      </c>
      <c r="G16" s="797">
        <v>601.92600000000004</v>
      </c>
    </row>
    <row r="17" spans="2:25">
      <c r="B17" s="46" t="s">
        <v>418</v>
      </c>
      <c r="C17" s="238">
        <f>AVERAGE(H11:K11)</f>
        <v>0.70973950480013093</v>
      </c>
      <c r="D17" s="476">
        <f>AVERAGE(L11:O11)</f>
        <v>0.73330611708085192</v>
      </c>
      <c r="E17" s="476">
        <f>AVERAGE(P11:S11)</f>
        <v>0.7244807292294273</v>
      </c>
      <c r="F17" s="476">
        <f>AVERAGE(T11:W11)</f>
        <v>0.67269165049776891</v>
      </c>
      <c r="G17" s="237">
        <f>F17</f>
        <v>0.67269165049776891</v>
      </c>
    </row>
    <row r="18" spans="2:25">
      <c r="B18" s="46" t="s">
        <v>1052</v>
      </c>
      <c r="C18" s="198">
        <f>C16/C17</f>
        <v>645.96657914527214</v>
      </c>
      <c r="D18" s="389">
        <f>D16/D17</f>
        <v>707.96900217697134</v>
      </c>
      <c r="E18" s="389">
        <f>E16/E17</f>
        <v>752.8537033416037</v>
      </c>
      <c r="F18" s="389">
        <f>F16/F17</f>
        <v>762.04008124774577</v>
      </c>
      <c r="G18" s="379">
        <f>G16/G17</f>
        <v>894.80224640010817</v>
      </c>
    </row>
    <row r="19" spans="2:25" ht="32" customHeight="1">
      <c r="B19" s="203" t="s">
        <v>419</v>
      </c>
      <c r="C19" s="199"/>
      <c r="D19" s="253">
        <f>D18/C18-1</f>
        <v>9.5983948757440984E-2</v>
      </c>
      <c r="E19" s="253">
        <f>E18/D18-1</f>
        <v>6.3399246332274561E-2</v>
      </c>
      <c r="F19" s="253">
        <f>F18/E18-1</f>
        <v>1.2202075735787243E-2</v>
      </c>
      <c r="G19" s="227">
        <f>G18/F18-1</f>
        <v>0.17421939924076035</v>
      </c>
      <c r="I19" s="234"/>
      <c r="J19" s="234"/>
      <c r="K19" s="234"/>
      <c r="L19" s="234"/>
    </row>
    <row r="21" spans="2:25">
      <c r="B21" s="57" t="s">
        <v>401</v>
      </c>
    </row>
    <row r="22" spans="2:25">
      <c r="B22" s="1458" t="s">
        <v>420</v>
      </c>
      <c r="C22" s="1440"/>
      <c r="D22" s="1412" t="s">
        <v>261</v>
      </c>
      <c r="E22" s="1413"/>
      <c r="F22" s="1413"/>
      <c r="G22" s="1413"/>
      <c r="H22" s="1413"/>
      <c r="I22" s="1413"/>
      <c r="J22" s="1414"/>
      <c r="K22" s="1398" t="s">
        <v>143</v>
      </c>
      <c r="L22" s="1447"/>
      <c r="M22" s="1447"/>
      <c r="N22" s="1447"/>
      <c r="O22" s="1447"/>
      <c r="P22" s="1447"/>
      <c r="Q22" s="1447"/>
      <c r="R22" s="1447"/>
      <c r="S22" s="1447"/>
      <c r="T22" s="1447"/>
      <c r="U22" s="1409"/>
      <c r="V22" s="1409"/>
      <c r="W22" s="1409"/>
      <c r="X22" s="1409"/>
      <c r="Y22" s="1410"/>
    </row>
    <row r="23" spans="2:25">
      <c r="B23" s="1402"/>
      <c r="C23" s="1459"/>
      <c r="D23" s="931"/>
      <c r="E23" s="1384">
        <v>2020</v>
      </c>
      <c r="F23" s="1384"/>
      <c r="G23" s="1384"/>
      <c r="H23" s="1384"/>
      <c r="I23" s="1383">
        <v>2021</v>
      </c>
      <c r="J23" s="1393"/>
      <c r="K23" s="1448">
        <v>2021</v>
      </c>
      <c r="L23" s="1449"/>
      <c r="M23" s="1448">
        <v>2022</v>
      </c>
      <c r="N23" s="1452"/>
      <c r="O23" s="1452"/>
      <c r="P23" s="1452"/>
      <c r="Q23" s="1448">
        <v>2023</v>
      </c>
      <c r="R23" s="1452"/>
      <c r="S23" s="1452"/>
      <c r="T23" s="1452"/>
      <c r="U23" s="1406">
        <v>2024</v>
      </c>
      <c r="V23" s="1411"/>
      <c r="W23" s="1411"/>
      <c r="X23" s="1411"/>
      <c r="Y23" s="475">
        <v>2025</v>
      </c>
    </row>
    <row r="24" spans="2:25">
      <c r="B24" s="1404"/>
      <c r="C24" s="1442"/>
      <c r="D24" s="39" t="s">
        <v>138</v>
      </c>
      <c r="E24" s="41" t="s">
        <v>135</v>
      </c>
      <c r="F24" s="41" t="s">
        <v>136</v>
      </c>
      <c r="G24" s="41" t="s">
        <v>137</v>
      </c>
      <c r="H24" s="41" t="s">
        <v>138</v>
      </c>
      <c r="I24" s="40" t="s">
        <v>135</v>
      </c>
      <c r="J24" s="42" t="s">
        <v>136</v>
      </c>
      <c r="K24" s="858" t="s">
        <v>137</v>
      </c>
      <c r="L24" s="860" t="s">
        <v>138</v>
      </c>
      <c r="M24" s="858" t="s">
        <v>135</v>
      </c>
      <c r="N24" s="859" t="s">
        <v>136</v>
      </c>
      <c r="O24" s="859" t="s">
        <v>137</v>
      </c>
      <c r="P24" s="859" t="s">
        <v>138</v>
      </c>
      <c r="Q24" s="858" t="s">
        <v>135</v>
      </c>
      <c r="R24" s="859" t="s">
        <v>136</v>
      </c>
      <c r="S24" s="859" t="s">
        <v>137</v>
      </c>
      <c r="T24" s="859" t="s">
        <v>138</v>
      </c>
      <c r="U24" s="1049" t="s">
        <v>135</v>
      </c>
      <c r="V24" s="577" t="s">
        <v>136</v>
      </c>
      <c r="W24" s="1050" t="s">
        <v>137</v>
      </c>
      <c r="X24" s="1050" t="s">
        <v>138</v>
      </c>
      <c r="Y24" s="82" t="s">
        <v>135</v>
      </c>
    </row>
    <row r="25" spans="2:25" ht="19.5" customHeight="1">
      <c r="B25" s="1076" t="s">
        <v>1157</v>
      </c>
      <c r="C25" s="1077"/>
      <c r="D25" s="1078">
        <f t="shared" ref="D25:J25" si="8">H9</f>
        <v>620.5</v>
      </c>
      <c r="E25" s="1079">
        <f t="shared" si="8"/>
        <v>606.20000000000005</v>
      </c>
      <c r="F25" s="1079">
        <f t="shared" si="8"/>
        <v>654.20000000000005</v>
      </c>
      <c r="G25" s="1079">
        <f t="shared" si="8"/>
        <v>690.4</v>
      </c>
      <c r="H25" s="1079">
        <f t="shared" si="8"/>
        <v>678.3</v>
      </c>
      <c r="I25" s="1079">
        <f t="shared" si="8"/>
        <v>695.9</v>
      </c>
      <c r="J25" s="1080">
        <f t="shared" si="8"/>
        <v>735.5</v>
      </c>
      <c r="K25" s="1327">
        <f>'Monthly Personal Income'!K32</f>
        <v>770.8</v>
      </c>
      <c r="L25" s="1081">
        <f>K25*(1+$E$19)^0.25</f>
        <v>782.73687313595531</v>
      </c>
      <c r="M25" s="1081">
        <f>L25*(1+$E$19)^0.25</f>
        <v>794.85860478289123</v>
      </c>
      <c r="N25" s="1081">
        <f>M25*(1+$E$19)^0.25</f>
        <v>807.16805772310374</v>
      </c>
      <c r="O25" s="1081">
        <f>N25*(1+$E$19)^0.25</f>
        <v>819.66813907291714</v>
      </c>
      <c r="P25" s="1081">
        <f>O25*(1+$F$19)^0.25</f>
        <v>822.15719167514692</v>
      </c>
      <c r="Q25" s="1081">
        <f>P25*(1+$F$19)^0.25</f>
        <v>824.65380268127376</v>
      </c>
      <c r="R25" s="1081">
        <f>Q25*(1+$F$19)^0.25</f>
        <v>827.15799504359268</v>
      </c>
      <c r="S25" s="1081">
        <f>R25*(1+$F$19)^0.25</f>
        <v>829.66979178409679</v>
      </c>
      <c r="T25" s="1081">
        <f t="shared" ref="T25:Y25" si="9">S25*(1+$G$19)^0.25</f>
        <v>863.65957163171674</v>
      </c>
      <c r="U25" s="1081">
        <f t="shared" si="9"/>
        <v>899.04183936491506</v>
      </c>
      <c r="V25" s="1081">
        <f t="shared" si="9"/>
        <v>935.87364220553832</v>
      </c>
      <c r="W25" s="1081">
        <f t="shared" si="9"/>
        <v>974.21436447692884</v>
      </c>
      <c r="X25" s="1081">
        <f t="shared" si="9"/>
        <v>1014.1258233499268</v>
      </c>
      <c r="Y25" s="1082">
        <f t="shared" si="9"/>
        <v>1055.6723685113786</v>
      </c>
    </row>
    <row r="26" spans="2:25" ht="19" customHeight="1">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80">
        <f t="shared" si="10"/>
        <v>552.98943075574527</v>
      </c>
      <c r="L26" s="481">
        <f t="shared" si="10"/>
        <v>561.55321472104822</v>
      </c>
      <c r="M26" s="481">
        <f t="shared" si="10"/>
        <v>595.71048950195052</v>
      </c>
      <c r="N26" s="481">
        <f t="shared" si="10"/>
        <v>604.93586643363528</v>
      </c>
      <c r="O26" s="481">
        <f t="shared" si="10"/>
        <v>557.70430033183629</v>
      </c>
      <c r="P26" s="481">
        <f t="shared" si="10"/>
        <v>556.8347699065057</v>
      </c>
      <c r="Q26" s="481">
        <f t="shared" si="10"/>
        <v>558.52568720215106</v>
      </c>
      <c r="R26" s="481">
        <f t="shared" si="10"/>
        <v>560.22173923696005</v>
      </c>
      <c r="S26" s="481">
        <f t="shared" si="10"/>
        <v>561.92294160338429</v>
      </c>
      <c r="T26" s="481">
        <f t="shared" si="10"/>
        <v>584.9437111499708</v>
      </c>
      <c r="U26" s="481">
        <f t="shared" si="10"/>
        <v>608.90759191569498</v>
      </c>
      <c r="V26" s="481">
        <f t="shared" si="10"/>
        <v>633.85322113072698</v>
      </c>
      <c r="W26" s="481">
        <f t="shared" si="10"/>
        <v>659.82081890912684</v>
      </c>
      <c r="X26" s="481">
        <f t="shared" si="10"/>
        <v>686.85225309617954</v>
      </c>
      <c r="Y26" s="482">
        <f t="shared" si="10"/>
        <v>714.99110677238536</v>
      </c>
    </row>
    <row r="27" spans="2:25" ht="19" customHeight="1">
      <c r="B27" s="228" t="s">
        <v>421</v>
      </c>
      <c r="C27" s="47"/>
      <c r="D27" s="1070">
        <f t="shared" ref="D27:Y27" si="11">D25-D26</f>
        <v>206.69400000000002</v>
      </c>
      <c r="E27" s="1071">
        <f t="shared" si="11"/>
        <v>178.08200000000005</v>
      </c>
      <c r="F27" s="1071">
        <f t="shared" si="11"/>
        <v>151.71000000000004</v>
      </c>
      <c r="G27" s="1071">
        <f t="shared" si="11"/>
        <v>208.68299999999999</v>
      </c>
      <c r="H27" s="1071">
        <f t="shared" si="11"/>
        <v>170.46300000000002</v>
      </c>
      <c r="I27" s="1072">
        <f t="shared" si="11"/>
        <v>184.55499999999995</v>
      </c>
      <c r="J27" s="1072">
        <f t="shared" si="11"/>
        <v>207.83559117689322</v>
      </c>
      <c r="K27" s="1073">
        <f t="shared" si="11"/>
        <v>217.81056924425468</v>
      </c>
      <c r="L27" s="1074">
        <f t="shared" si="11"/>
        <v>221.18365841490709</v>
      </c>
      <c r="M27" s="1074">
        <f t="shared" si="11"/>
        <v>199.14811528094071</v>
      </c>
      <c r="N27" s="1074">
        <f t="shared" si="11"/>
        <v>202.23219128946846</v>
      </c>
      <c r="O27" s="1074">
        <f t="shared" si="11"/>
        <v>261.96383874108085</v>
      </c>
      <c r="P27" s="1074">
        <f t="shared" si="11"/>
        <v>265.32242176864122</v>
      </c>
      <c r="Q27" s="1074">
        <f t="shared" si="11"/>
        <v>266.1281154791227</v>
      </c>
      <c r="R27" s="1074">
        <f t="shared" si="11"/>
        <v>266.93625580663263</v>
      </c>
      <c r="S27" s="1074">
        <f t="shared" si="11"/>
        <v>267.7468501807125</v>
      </c>
      <c r="T27" s="1074">
        <f t="shared" si="11"/>
        <v>278.71586048174595</v>
      </c>
      <c r="U27" s="1074">
        <f t="shared" si="11"/>
        <v>290.13424744922008</v>
      </c>
      <c r="V27" s="1074">
        <f t="shared" si="11"/>
        <v>302.02042107481134</v>
      </c>
      <c r="W27" s="1074">
        <f t="shared" si="11"/>
        <v>314.39354556780199</v>
      </c>
      <c r="X27" s="1074">
        <f t="shared" si="11"/>
        <v>327.27357025374727</v>
      </c>
      <c r="Y27" s="1075">
        <f t="shared" si="11"/>
        <v>340.68126173899327</v>
      </c>
    </row>
    <row r="28" spans="2:25">
      <c r="D28" s="235"/>
      <c r="E28" s="235"/>
      <c r="F28" s="235"/>
      <c r="G28" s="235"/>
      <c r="H28" s="235"/>
      <c r="I28" s="323"/>
      <c r="J28" s="235"/>
      <c r="K28" s="235"/>
      <c r="L28" s="235"/>
      <c r="M28" s="235"/>
      <c r="N28" s="235"/>
      <c r="O28" s="235"/>
      <c r="P28" s="235"/>
      <c r="Q28" s="235"/>
      <c r="R28" s="235"/>
      <c r="S28" s="235"/>
    </row>
    <row r="29" spans="2:25">
      <c r="D29" s="235"/>
      <c r="E29" s="235"/>
      <c r="F29" s="235"/>
      <c r="G29" s="235"/>
      <c r="H29" s="235"/>
      <c r="I29" s="323"/>
      <c r="J29" s="235"/>
      <c r="K29" s="235"/>
      <c r="L29" s="235"/>
      <c r="M29" s="235"/>
      <c r="N29" s="235"/>
      <c r="O29" s="235"/>
      <c r="P29" s="235"/>
      <c r="Q29" s="235"/>
      <c r="R29" s="235"/>
      <c r="S29" s="235"/>
    </row>
    <row r="32" spans="2:25">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c r="B33" s="1460" t="s">
        <v>664</v>
      </c>
      <c r="C33" s="1461"/>
      <c r="D33" s="1461"/>
      <c r="E33" s="1462"/>
      <c r="F33" s="48">
        <v>287</v>
      </c>
      <c r="G33" s="48">
        <v>534</v>
      </c>
      <c r="H33" s="48">
        <v>247</v>
      </c>
      <c r="I33" s="48">
        <v>63</v>
      </c>
      <c r="J33" s="48"/>
      <c r="K33" s="48"/>
      <c r="L33" s="48"/>
      <c r="M33" s="48"/>
      <c r="N33" s="48"/>
      <c r="O33" s="48"/>
      <c r="P33" s="379"/>
    </row>
    <row r="34" spans="2:17">
      <c r="B34" s="1460" t="s">
        <v>665</v>
      </c>
      <c r="C34" s="1461"/>
      <c r="D34" s="1461"/>
      <c r="E34" s="1462"/>
      <c r="F34" s="48">
        <v>0</v>
      </c>
      <c r="G34" s="48">
        <v>0</v>
      </c>
      <c r="H34" s="48">
        <v>756</v>
      </c>
      <c r="I34" s="48">
        <v>1249</v>
      </c>
      <c r="J34" s="48">
        <v>1417</v>
      </c>
      <c r="K34" s="48">
        <v>1522</v>
      </c>
      <c r="L34" s="48">
        <v>1107</v>
      </c>
      <c r="M34" s="48"/>
      <c r="N34" s="48"/>
      <c r="O34" s="48"/>
      <c r="P34" s="379"/>
    </row>
    <row r="35" spans="2:17">
      <c r="B35" s="1460" t="s">
        <v>666</v>
      </c>
      <c r="C35" s="1461"/>
      <c r="D35" s="1461"/>
      <c r="E35" s="1462"/>
      <c r="F35" s="48">
        <v>0</v>
      </c>
      <c r="G35" s="48">
        <v>5</v>
      </c>
      <c r="H35" s="48">
        <v>77</v>
      </c>
      <c r="I35" s="48">
        <v>307</v>
      </c>
      <c r="J35" s="48">
        <v>332</v>
      </c>
      <c r="K35" s="48">
        <v>270</v>
      </c>
      <c r="L35" s="48">
        <v>25</v>
      </c>
      <c r="M35" s="48">
        <v>32</v>
      </c>
      <c r="N35" s="48">
        <v>40</v>
      </c>
      <c r="O35" s="48">
        <v>49</v>
      </c>
      <c r="P35" s="379">
        <v>58</v>
      </c>
    </row>
    <row r="36" spans="2:17" ht="32.5" customHeight="1">
      <c r="B36" s="1473" t="s">
        <v>667</v>
      </c>
      <c r="C36" s="1474"/>
      <c r="D36" s="1474"/>
      <c r="E36" s="1475"/>
      <c r="F36" s="48">
        <v>0</v>
      </c>
      <c r="G36" s="48">
        <v>0</v>
      </c>
      <c r="H36" s="48">
        <v>3768</v>
      </c>
      <c r="I36" s="48">
        <v>3428</v>
      </c>
      <c r="J36" s="48">
        <v>2176</v>
      </c>
      <c r="K36" s="48">
        <v>2304</v>
      </c>
      <c r="L36" s="48">
        <v>2129</v>
      </c>
      <c r="M36" s="48">
        <v>1335</v>
      </c>
      <c r="N36" s="48">
        <v>478</v>
      </c>
      <c r="O36" s="48">
        <v>531</v>
      </c>
      <c r="P36" s="379">
        <v>212</v>
      </c>
    </row>
    <row r="37" spans="2:17" ht="32.5" customHeight="1">
      <c r="B37" s="1473" t="s">
        <v>672</v>
      </c>
      <c r="C37" s="1474"/>
      <c r="D37" s="1474"/>
      <c r="E37" s="1475"/>
      <c r="F37" s="48">
        <v>38</v>
      </c>
      <c r="G37" s="48">
        <v>81</v>
      </c>
      <c r="H37" s="48">
        <v>43</v>
      </c>
      <c r="I37" s="48"/>
      <c r="J37" s="48"/>
      <c r="K37" s="48"/>
      <c r="L37" s="48"/>
      <c r="M37" s="48"/>
      <c r="N37" s="48"/>
      <c r="O37" s="48"/>
      <c r="P37" s="379"/>
    </row>
    <row r="38" spans="2:17">
      <c r="B38" s="1460" t="s">
        <v>668</v>
      </c>
      <c r="C38" s="1461"/>
      <c r="D38" s="1461"/>
      <c r="E38" s="1462"/>
      <c r="F38" s="48"/>
      <c r="G38" s="48"/>
      <c r="H38" s="48"/>
      <c r="I38" s="48">
        <v>-184</v>
      </c>
      <c r="J38" s="48">
        <v>-1830</v>
      </c>
      <c r="K38" s="48">
        <v>-2406</v>
      </c>
      <c r="L38" s="48">
        <v>-2419</v>
      </c>
      <c r="M38" s="48">
        <v>-2467</v>
      </c>
      <c r="N38" s="48">
        <v>-2531</v>
      </c>
      <c r="O38" s="48">
        <v>-2667</v>
      </c>
      <c r="P38" s="379">
        <v>-2809</v>
      </c>
    </row>
    <row r="39" spans="2:17" ht="15.5" customHeight="1">
      <c r="B39" s="1466" t="s">
        <v>669</v>
      </c>
      <c r="C39" s="1467"/>
      <c r="D39" s="1467"/>
      <c r="E39" s="1468"/>
      <c r="F39" s="48">
        <v>6524</v>
      </c>
      <c r="G39" s="48">
        <v>6143</v>
      </c>
      <c r="H39" s="48"/>
      <c r="I39" s="48"/>
      <c r="J39" s="48"/>
      <c r="K39" s="48"/>
      <c r="L39" s="48"/>
      <c r="M39" s="48"/>
      <c r="N39" s="48"/>
      <c r="O39" s="48"/>
      <c r="P39" s="379"/>
    </row>
    <row r="40" spans="2:17">
      <c r="B40" s="1460" t="s">
        <v>670</v>
      </c>
      <c r="C40" s="1461"/>
      <c r="D40" s="1461"/>
      <c r="E40" s="1462"/>
      <c r="F40" s="48">
        <v>50</v>
      </c>
      <c r="G40" s="48">
        <v>175</v>
      </c>
      <c r="H40" s="48">
        <v>25</v>
      </c>
      <c r="I40" s="48"/>
      <c r="J40" s="48"/>
      <c r="K40" s="48"/>
      <c r="L40" s="48"/>
      <c r="M40" s="48"/>
      <c r="N40" s="48"/>
      <c r="O40" s="48"/>
      <c r="P40" s="379"/>
    </row>
    <row r="41" spans="2:17">
      <c r="B41" s="1460" t="s">
        <v>671</v>
      </c>
      <c r="C41" s="1461"/>
      <c r="D41" s="1461"/>
      <c r="E41" s="1462"/>
      <c r="F41" s="48">
        <v>829</v>
      </c>
      <c r="G41" s="48">
        <v>844</v>
      </c>
      <c r="H41" s="48"/>
      <c r="I41" s="48"/>
      <c r="J41" s="48"/>
      <c r="K41" s="48"/>
      <c r="L41" s="48"/>
      <c r="M41" s="48"/>
      <c r="N41" s="48"/>
      <c r="O41" s="48"/>
      <c r="P41" s="379"/>
    </row>
    <row r="42" spans="2:17">
      <c r="B42" s="1469" t="s">
        <v>660</v>
      </c>
      <c r="C42" s="1470"/>
      <c r="D42" s="1470"/>
      <c r="E42" s="1471"/>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c r="B43" s="1466" t="s">
        <v>526</v>
      </c>
      <c r="C43" s="1467"/>
      <c r="D43" s="1467"/>
      <c r="E43" s="1468"/>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c r="B44" s="1460" t="s">
        <v>527</v>
      </c>
      <c r="C44" s="1461"/>
      <c r="D44" s="1461"/>
      <c r="E44" s="1462"/>
      <c r="F44" s="48">
        <f>(F43/1000)/I25</f>
        <v>9.4295157350194007E-3</v>
      </c>
      <c r="G44" s="48">
        <f>(G43/1000)/N25</f>
        <v>7.710909692780636E-3</v>
      </c>
      <c r="H44" s="48">
        <f>(H43/1000)/S25</f>
        <v>4.5933937064346298E-3</v>
      </c>
      <c r="I44" s="48">
        <f>(I43/1000)/T25</f>
        <v>3.9691564970714801E-3</v>
      </c>
      <c r="J44" s="48"/>
      <c r="K44" s="48"/>
      <c r="L44" s="48"/>
      <c r="M44" s="48"/>
      <c r="N44" s="48"/>
      <c r="O44" s="48"/>
      <c r="P44" s="379"/>
      <c r="Q44" s="302" t="s">
        <v>662</v>
      </c>
    </row>
    <row r="45" spans="2:17">
      <c r="B45" s="1463" t="s">
        <v>661</v>
      </c>
      <c r="C45" s="1464"/>
      <c r="D45" s="1464"/>
      <c r="E45" s="1465"/>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baseColWidth="10" defaultColWidth="8.83203125" defaultRowHeight="14"/>
  <cols>
    <col min="1" max="1" width="8.83203125" style="240"/>
    <col min="2" max="2" width="42.83203125" style="240" customWidth="1"/>
    <col min="3" max="3" width="7.5" style="240" bestFit="1" customWidth="1"/>
    <col min="4" max="4" width="8.83203125" style="240" customWidth="1"/>
    <col min="5" max="5" width="9" style="240" customWidth="1"/>
    <col min="6" max="13" width="8.83203125" style="240" bestFit="1" customWidth="1"/>
    <col min="14" max="14" width="9.1640625" style="240" bestFit="1" customWidth="1"/>
    <col min="15" max="19" width="8.83203125" style="240" bestFit="1" customWidth="1"/>
    <col min="20" max="22" width="9.1640625" style="240" bestFit="1" customWidth="1"/>
    <col min="23" max="16384" width="8.83203125" style="240"/>
  </cols>
  <sheetData>
    <row r="1" spans="2:29">
      <c r="B1" s="1382" t="s">
        <v>385</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29" ht="14" customHeight="1">
      <c r="B2" s="1407" t="s">
        <v>1013</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6" spans="2:29">
      <c r="B6" s="57" t="s">
        <v>399</v>
      </c>
    </row>
    <row r="7" spans="2:29" ht="14.5" customHeight="1">
      <c r="B7" s="1400" t="s">
        <v>292</v>
      </c>
      <c r="C7" s="1440"/>
      <c r="D7" s="1412" t="s">
        <v>261</v>
      </c>
      <c r="E7" s="1413"/>
      <c r="F7" s="1413"/>
      <c r="G7" s="1413"/>
      <c r="H7" s="1413"/>
      <c r="I7" s="1413"/>
      <c r="J7" s="1413"/>
      <c r="K7" s="1413"/>
      <c r="L7" s="1413"/>
      <c r="M7" s="1397"/>
      <c r="N7" s="1435"/>
      <c r="O7" s="1398" t="s">
        <v>143</v>
      </c>
      <c r="P7" s="1447"/>
      <c r="Q7" s="1447"/>
      <c r="R7" s="1447"/>
      <c r="S7" s="1447"/>
      <c r="T7" s="1447"/>
      <c r="U7" s="1447"/>
      <c r="V7" s="1447"/>
      <c r="W7" s="1447"/>
      <c r="X7" s="1447"/>
      <c r="Y7" s="1409"/>
      <c r="Z7" s="1409"/>
      <c r="AA7" s="1409"/>
      <c r="AB7" s="1409"/>
      <c r="AC7" s="1410"/>
    </row>
    <row r="8" spans="2:29">
      <c r="B8" s="1402"/>
      <c r="C8" s="1441"/>
      <c r="D8" s="805">
        <v>2018</v>
      </c>
      <c r="E8" s="1383">
        <v>2019</v>
      </c>
      <c r="F8" s="1384"/>
      <c r="G8" s="1384"/>
      <c r="H8" s="1393"/>
      <c r="I8" s="1436">
        <v>2020</v>
      </c>
      <c r="J8" s="1384"/>
      <c r="K8" s="1384"/>
      <c r="L8" s="1384"/>
      <c r="M8" s="1383">
        <v>2021</v>
      </c>
      <c r="N8" s="1393"/>
      <c r="O8" s="1448">
        <v>2021</v>
      </c>
      <c r="P8" s="1449"/>
      <c r="Q8" s="1448">
        <v>2022</v>
      </c>
      <c r="R8" s="1452"/>
      <c r="S8" s="1452"/>
      <c r="T8" s="1452"/>
      <c r="U8" s="1448">
        <v>2023</v>
      </c>
      <c r="V8" s="1452"/>
      <c r="W8" s="1452"/>
      <c r="X8" s="1452"/>
      <c r="Y8" s="1406">
        <v>2024</v>
      </c>
      <c r="Z8" s="1411"/>
      <c r="AA8" s="1411"/>
      <c r="AB8" s="1411"/>
      <c r="AC8" s="475">
        <v>2025</v>
      </c>
    </row>
    <row r="9" spans="2:29">
      <c r="B9" s="1402"/>
      <c r="C9" s="1441"/>
      <c r="D9" s="224" t="s">
        <v>138</v>
      </c>
      <c r="E9" s="224" t="s">
        <v>135</v>
      </c>
      <c r="F9" s="200" t="s">
        <v>136</v>
      </c>
      <c r="G9" s="200" t="s">
        <v>137</v>
      </c>
      <c r="H9" s="208" t="s">
        <v>138</v>
      </c>
      <c r="I9" s="201" t="s">
        <v>135</v>
      </c>
      <c r="J9" s="201" t="s">
        <v>136</v>
      </c>
      <c r="K9" s="201" t="s">
        <v>137</v>
      </c>
      <c r="L9" s="201" t="s">
        <v>138</v>
      </c>
      <c r="M9" s="216" t="s">
        <v>135</v>
      </c>
      <c r="N9" s="208" t="s">
        <v>136</v>
      </c>
      <c r="O9" s="858" t="s">
        <v>137</v>
      </c>
      <c r="P9" s="860" t="s">
        <v>138</v>
      </c>
      <c r="Q9" s="858" t="s">
        <v>135</v>
      </c>
      <c r="R9" s="859" t="s">
        <v>136</v>
      </c>
      <c r="S9" s="859" t="s">
        <v>137</v>
      </c>
      <c r="T9" s="859" t="s">
        <v>138</v>
      </c>
      <c r="U9" s="858" t="s">
        <v>135</v>
      </c>
      <c r="V9" s="859" t="s">
        <v>136</v>
      </c>
      <c r="W9" s="859" t="s">
        <v>137</v>
      </c>
      <c r="X9" s="859" t="s">
        <v>138</v>
      </c>
      <c r="Y9" s="1049" t="s">
        <v>135</v>
      </c>
      <c r="Z9" s="577" t="s">
        <v>136</v>
      </c>
      <c r="AA9" s="1050" t="s">
        <v>137</v>
      </c>
      <c r="AB9" s="1050" t="s">
        <v>138</v>
      </c>
      <c r="AC9" s="82" t="s">
        <v>135</v>
      </c>
    </row>
    <row r="10" spans="2:29">
      <c r="B10" s="207" t="s">
        <v>424</v>
      </c>
      <c r="C10" s="230"/>
      <c r="D10" s="941">
        <f>D11 +D13</f>
        <v>754.2</v>
      </c>
      <c r="E10" s="941">
        <f t="shared" ref="E10:AC10" si="0">E11 +E13</f>
        <v>768.3</v>
      </c>
      <c r="F10" s="941">
        <f t="shared" si="0"/>
        <v>781.1</v>
      </c>
      <c r="G10" s="941">
        <f t="shared" si="0"/>
        <v>792.1</v>
      </c>
      <c r="H10" s="941">
        <f t="shared" si="0"/>
        <v>801.3</v>
      </c>
      <c r="I10" s="941">
        <f t="shared" si="0"/>
        <v>808.5</v>
      </c>
      <c r="J10" s="941">
        <f t="shared" si="0"/>
        <v>821.6</v>
      </c>
      <c r="K10" s="941">
        <f t="shared" si="0"/>
        <v>825.8</v>
      </c>
      <c r="L10" s="941">
        <f t="shared" si="0"/>
        <v>821</v>
      </c>
      <c r="M10" s="941">
        <f t="shared" si="0"/>
        <v>814.1</v>
      </c>
      <c r="N10" s="1060">
        <f t="shared" si="0"/>
        <v>815.3</v>
      </c>
      <c r="O10" s="1062">
        <f t="shared" si="0"/>
        <v>829.40291089552829</v>
      </c>
      <c r="P10" s="1063">
        <f t="shared" si="0"/>
        <v>843.85759747491386</v>
      </c>
      <c r="Q10" s="1063">
        <f t="shared" si="0"/>
        <v>843.37413735570783</v>
      </c>
      <c r="R10" s="1063">
        <f t="shared" si="0"/>
        <v>859.18080292867467</v>
      </c>
      <c r="S10" s="1063">
        <f t="shared" si="0"/>
        <v>861.28301891594344</v>
      </c>
      <c r="T10" s="1063">
        <f t="shared" si="0"/>
        <v>877.68631147019892</v>
      </c>
      <c r="U10" s="1063">
        <f t="shared" si="0"/>
        <v>894.37097605549116</v>
      </c>
      <c r="V10" s="1063">
        <f t="shared" si="0"/>
        <v>911.36713476209957</v>
      </c>
      <c r="W10" s="1063">
        <f t="shared" si="0"/>
        <v>928.68060302533706</v>
      </c>
      <c r="X10" s="1063">
        <f t="shared" si="0"/>
        <v>946.31730485170817</v>
      </c>
      <c r="Y10" s="1063">
        <f t="shared" si="0"/>
        <v>964.02626563984654</v>
      </c>
      <c r="Z10" s="1063">
        <f t="shared" si="0"/>
        <v>982.06111404386252</v>
      </c>
      <c r="AA10" s="1063">
        <f t="shared" si="0"/>
        <v>1000.427847182359</v>
      </c>
      <c r="AB10" s="1063">
        <f t="shared" si="0"/>
        <v>1019.1325725353943</v>
      </c>
      <c r="AC10" s="1064">
        <f t="shared" si="0"/>
        <v>1038.181509975399</v>
      </c>
    </row>
    <row r="11" spans="2:29" ht="15">
      <c r="B11" s="95" t="s">
        <v>385</v>
      </c>
      <c r="C11" s="223" t="s">
        <v>210</v>
      </c>
      <c r="D11" s="942">
        <f>'Haver Pivoted'!GO12</f>
        <v>754.2</v>
      </c>
      <c r="E11" s="943">
        <f>'Haver Pivoted'!GP12</f>
        <v>768.3</v>
      </c>
      <c r="F11" s="943">
        <f>'Haver Pivoted'!GQ12</f>
        <v>781.1</v>
      </c>
      <c r="G11" s="943">
        <f>'Haver Pivoted'!GR12</f>
        <v>792.1</v>
      </c>
      <c r="H11" s="943">
        <f>'Haver Pivoted'!GS12</f>
        <v>801.3</v>
      </c>
      <c r="I11" s="943">
        <f>'Haver Pivoted'!GT12</f>
        <v>808.5</v>
      </c>
      <c r="J11" s="943">
        <f>'Haver Pivoted'!GU12</f>
        <v>821.6</v>
      </c>
      <c r="K11" s="943">
        <f>'Haver Pivoted'!GV12</f>
        <v>825.8</v>
      </c>
      <c r="L11" s="943">
        <f>'Haver Pivoted'!GW12</f>
        <v>821</v>
      </c>
      <c r="M11" s="943">
        <f>'Haver Pivoted'!GX12</f>
        <v>814.1</v>
      </c>
      <c r="N11" s="943">
        <f>'Haver Pivoted'!GY12</f>
        <v>815.3</v>
      </c>
      <c r="O11" s="1065">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34">
        <f t="shared" si="1"/>
        <v>1054.181509975399</v>
      </c>
    </row>
    <row r="12" spans="2:29" s="302" customFormat="1" ht="15">
      <c r="B12" s="95" t="s">
        <v>1155</v>
      </c>
      <c r="C12" s="223"/>
      <c r="D12" s="942"/>
      <c r="E12" s="943"/>
      <c r="F12" s="943"/>
      <c r="G12" s="943"/>
      <c r="H12" s="943"/>
      <c r="I12" s="943"/>
      <c r="J12" s="943">
        <f>J11-J14</f>
        <v>812</v>
      </c>
      <c r="K12" s="943">
        <f t="shared" ref="K12:N12" si="2">K11-K14</f>
        <v>811.4</v>
      </c>
      <c r="L12" s="943">
        <f t="shared" si="2"/>
        <v>806.7</v>
      </c>
      <c r="M12" s="943">
        <f t="shared" si="2"/>
        <v>799.9</v>
      </c>
      <c r="N12" s="943">
        <f t="shared" si="2"/>
        <v>801.19999999999993</v>
      </c>
      <c r="O12" s="1065">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34">
        <f t="shared" si="3"/>
        <v>1054.181509975399</v>
      </c>
    </row>
    <row r="13" spans="2:29" ht="15">
      <c r="B13" s="249" t="s">
        <v>1153</v>
      </c>
      <c r="C13" s="251"/>
      <c r="D13" s="942"/>
      <c r="E13" s="943"/>
      <c r="F13" s="943"/>
      <c r="G13" s="943"/>
      <c r="H13" s="943"/>
      <c r="I13" s="943"/>
      <c r="J13" s="943"/>
      <c r="K13" s="943"/>
      <c r="L13" s="943"/>
      <c r="M13" s="943"/>
      <c r="N13" s="1061"/>
      <c r="O13" s="1066"/>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35">
        <f t="shared" ref="AC13" si="8">AB13</f>
        <v>-16</v>
      </c>
    </row>
    <row r="14" spans="2:29" s="302" customFormat="1" ht="15">
      <c r="B14" s="249" t="s">
        <v>1154</v>
      </c>
      <c r="C14" s="1059" t="s">
        <v>1156</v>
      </c>
      <c r="D14" s="942"/>
      <c r="E14" s="943"/>
      <c r="F14" s="943"/>
      <c r="G14" s="943"/>
      <c r="H14" s="943"/>
      <c r="I14" s="943"/>
      <c r="J14" s="943">
        <v>9.6</v>
      </c>
      <c r="K14" s="943">
        <v>14.4</v>
      </c>
      <c r="L14" s="943">
        <v>14.3</v>
      </c>
      <c r="M14" s="943">
        <v>14.2</v>
      </c>
      <c r="N14" s="1061">
        <v>14.1</v>
      </c>
      <c r="O14" s="1066">
        <v>14</v>
      </c>
      <c r="P14" s="233">
        <v>14</v>
      </c>
      <c r="Q14" s="233">
        <v>14</v>
      </c>
      <c r="R14" s="233">
        <v>14</v>
      </c>
      <c r="S14" s="233"/>
      <c r="T14" s="233"/>
      <c r="U14" s="233"/>
      <c r="V14" s="233"/>
      <c r="W14" s="233"/>
      <c r="X14" s="233"/>
      <c r="Y14" s="233"/>
      <c r="Z14" s="233"/>
      <c r="AA14" s="233"/>
      <c r="AB14" s="233"/>
      <c r="AC14" s="1035"/>
    </row>
    <row r="15" spans="2:29">
      <c r="B15" s="215" t="s">
        <v>427</v>
      </c>
      <c r="C15" s="204"/>
      <c r="D15" s="944"/>
      <c r="E15" s="945"/>
      <c r="F15" s="945"/>
      <c r="G15" s="945"/>
      <c r="H15" s="945"/>
      <c r="I15" s="945"/>
      <c r="J15" s="946"/>
      <c r="K15" s="946"/>
      <c r="L15" s="946"/>
      <c r="M15" s="946"/>
      <c r="N15" s="946">
        <f>(1 + $E$24)^0.25-1</f>
        <v>1.7727048047339489E-2</v>
      </c>
      <c r="O15" s="1067">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36">
        <f t="shared" si="9"/>
        <v>1.8402413319240196E-2</v>
      </c>
    </row>
    <row r="16" spans="2:29" s="302" customFormat="1">
      <c r="B16" s="1056"/>
      <c r="C16" s="853"/>
      <c r="D16" s="1057"/>
      <c r="E16" s="1057"/>
      <c r="F16" s="1057"/>
      <c r="G16" s="1057"/>
      <c r="H16" s="1057"/>
      <c r="I16" s="1057"/>
      <c r="J16" s="1058"/>
      <c r="K16" s="1058"/>
      <c r="L16" s="1058"/>
      <c r="M16" s="1058"/>
      <c r="N16" s="1058"/>
      <c r="O16" s="1058"/>
      <c r="P16" s="1058"/>
      <c r="Q16" s="1058"/>
      <c r="R16" s="1058"/>
      <c r="S16" s="1058"/>
      <c r="T16" s="1058"/>
      <c r="U16" s="1058"/>
      <c r="V16" s="1058"/>
      <c r="W16" s="1058"/>
      <c r="X16" s="1058"/>
      <c r="Y16" s="1058"/>
      <c r="Z16" s="1058"/>
      <c r="AA16" s="1058"/>
      <c r="AB16" s="1058"/>
      <c r="AC16" s="1058"/>
    </row>
    <row r="17" spans="1:29">
      <c r="B17" s="57" t="s">
        <v>400</v>
      </c>
      <c r="O17" s="120"/>
      <c r="P17" s="120"/>
      <c r="Q17" s="120"/>
      <c r="R17" s="120"/>
      <c r="S17" s="120"/>
      <c r="T17" s="120"/>
      <c r="U17" s="120"/>
      <c r="V17" s="120"/>
      <c r="W17" s="120"/>
      <c r="X17" s="120"/>
      <c r="Y17" s="120"/>
      <c r="Z17" s="120"/>
      <c r="AA17" s="120"/>
      <c r="AB17" s="120"/>
      <c r="AC17" s="120"/>
    </row>
    <row r="18" spans="1:29">
      <c r="B18" s="742" t="s">
        <v>422</v>
      </c>
      <c r="C18" s="742">
        <v>2019</v>
      </c>
      <c r="D18" s="743">
        <v>2020</v>
      </c>
      <c r="E18" s="743">
        <v>2021</v>
      </c>
      <c r="F18" s="743">
        <v>2022</v>
      </c>
      <c r="G18" s="743">
        <v>2023</v>
      </c>
      <c r="H18" s="744">
        <v>2024</v>
      </c>
      <c r="I18" s="744">
        <v>2025</v>
      </c>
      <c r="J18" s="744">
        <v>2026</v>
      </c>
    </row>
    <row r="19" spans="1:29" ht="21" customHeight="1">
      <c r="A19" s="302"/>
      <c r="B19" s="186" t="s">
        <v>1072</v>
      </c>
      <c r="C19" s="751">
        <v>775</v>
      </c>
      <c r="D19" s="746">
        <v>912.11599999999999</v>
      </c>
      <c r="E19" s="746">
        <v>831.48500000000001</v>
      </c>
      <c r="F19" s="746">
        <v>862.72400000000005</v>
      </c>
      <c r="G19" s="746">
        <v>1007.266</v>
      </c>
      <c r="H19" s="746">
        <v>1088.671</v>
      </c>
      <c r="I19" s="746">
        <v>1171.1110000000001</v>
      </c>
      <c r="J19" s="747">
        <v>1258.2270000000001</v>
      </c>
      <c r="K19" s="231"/>
      <c r="L19" s="231"/>
      <c r="M19" s="231"/>
      <c r="N19" s="231"/>
      <c r="O19" s="231"/>
    </row>
    <row r="20" spans="1:29">
      <c r="B20" s="563" t="s">
        <v>1010</v>
      </c>
      <c r="C20" s="563"/>
      <c r="D20" s="562">
        <v>47</v>
      </c>
      <c r="E20" s="562">
        <v>-46</v>
      </c>
      <c r="F20" s="562"/>
      <c r="G20" s="562"/>
      <c r="H20" s="562"/>
      <c r="I20" s="562"/>
      <c r="J20" s="45"/>
      <c r="K20" s="302"/>
      <c r="L20" s="302"/>
      <c r="M20" s="302"/>
      <c r="N20" s="632"/>
      <c r="O20" s="323"/>
      <c r="P20" s="323"/>
      <c r="Q20" s="323"/>
    </row>
    <row r="21" spans="1:29">
      <c r="B21" s="563" t="s">
        <v>1011</v>
      </c>
      <c r="C21" s="752">
        <f>C19-C20</f>
        <v>775</v>
      </c>
      <c r="D21" s="745">
        <f t="shared" ref="D21:H21" si="10">D19-D20</f>
        <v>865.11599999999999</v>
      </c>
      <c r="E21" s="745">
        <f t="shared" si="10"/>
        <v>877.48500000000001</v>
      </c>
      <c r="F21" s="745">
        <f t="shared" si="10"/>
        <v>862.72400000000005</v>
      </c>
      <c r="G21" s="745">
        <f t="shared" si="10"/>
        <v>1007.266</v>
      </c>
      <c r="H21" s="745">
        <f t="shared" si="10"/>
        <v>1088.671</v>
      </c>
      <c r="I21" s="562"/>
      <c r="J21" s="45"/>
      <c r="K21" s="302" t="s">
        <v>1008</v>
      </c>
      <c r="L21" s="302"/>
      <c r="M21" s="302"/>
      <c r="N21" s="302"/>
      <c r="O21" s="302"/>
      <c r="P21" s="302"/>
      <c r="Q21" s="302"/>
    </row>
    <row r="22" spans="1:29">
      <c r="B22" s="563" t="s">
        <v>1009</v>
      </c>
      <c r="C22" s="753">
        <f>AVERAGE(D10:G10)</f>
        <v>773.92499999999995</v>
      </c>
      <c r="D22" s="749">
        <f>AVERAGE(H10:K10)</f>
        <v>814.3</v>
      </c>
      <c r="E22" s="750"/>
      <c r="F22" s="562"/>
      <c r="G22" s="562"/>
      <c r="H22" s="562"/>
      <c r="I22" s="562"/>
      <c r="J22" s="45"/>
      <c r="K22" s="120" t="s">
        <v>1012</v>
      </c>
      <c r="L22" s="120"/>
      <c r="M22" s="120"/>
      <c r="N22" s="120"/>
      <c r="O22" s="120"/>
      <c r="P22" s="120"/>
      <c r="Q22" s="120"/>
      <c r="R22" s="120"/>
      <c r="S22" s="120"/>
    </row>
    <row r="23" spans="1:29">
      <c r="B23" s="563" t="s">
        <v>994</v>
      </c>
      <c r="C23" s="754">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c r="B24" s="748"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c r="K25" s="120"/>
      <c r="L25" s="120"/>
      <c r="M25" s="120"/>
      <c r="N25" s="120"/>
      <c r="O25" s="120"/>
      <c r="P25" s="120"/>
      <c r="Q25" s="120"/>
      <c r="R25" s="120"/>
      <c r="S25" s="120"/>
    </row>
    <row r="26" spans="1:29">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830" customFormat="1" ht="47.5" customHeight="1">
      <c r="A1" s="839" t="s">
        <v>191</v>
      </c>
      <c r="B1" s="840" t="s">
        <v>190</v>
      </c>
      <c r="C1" s="840" t="s">
        <v>189</v>
      </c>
      <c r="D1" s="840" t="s">
        <v>188</v>
      </c>
      <c r="E1" s="840" t="s">
        <v>187</v>
      </c>
      <c r="F1" s="841" t="s">
        <v>186</v>
      </c>
    </row>
    <row r="2" spans="1:7" s="830" customFormat="1" ht="16.5" customHeight="1">
      <c r="A2" s="831" t="s">
        <v>185</v>
      </c>
      <c r="B2" s="832"/>
      <c r="C2" s="833"/>
      <c r="D2" s="833"/>
      <c r="E2" s="833"/>
      <c r="F2" s="833"/>
    </row>
    <row r="3" spans="1:7" s="834" customFormat="1" ht="75.5" customHeight="1">
      <c r="A3" s="868" t="s">
        <v>1075</v>
      </c>
      <c r="B3" s="868" t="s">
        <v>723</v>
      </c>
      <c r="C3" s="868" t="s">
        <v>1069</v>
      </c>
      <c r="D3" s="869" t="s">
        <v>1145</v>
      </c>
      <c r="E3" s="869"/>
      <c r="F3" s="869"/>
    </row>
    <row r="4" spans="1:7" s="834" customFormat="1" ht="61.5" customHeight="1">
      <c r="A4" s="869" t="s">
        <v>1076</v>
      </c>
      <c r="B4" s="868" t="s">
        <v>1139</v>
      </c>
      <c r="C4" s="868" t="s">
        <v>1077</v>
      </c>
      <c r="D4" s="869" t="s">
        <v>1145</v>
      </c>
      <c r="E4" s="869"/>
      <c r="F4" s="869"/>
    </row>
    <row r="5" spans="1:7" s="834" customFormat="1" ht="61.5" customHeight="1">
      <c r="A5" s="869" t="s">
        <v>1132</v>
      </c>
      <c r="B5" s="868" t="s">
        <v>1137</v>
      </c>
      <c r="C5" s="868" t="s">
        <v>1138</v>
      </c>
      <c r="D5" s="869" t="s">
        <v>1145</v>
      </c>
      <c r="E5" s="869"/>
      <c r="F5" s="869"/>
    </row>
    <row r="6" spans="1:7" s="834" customFormat="1" ht="63.5" customHeight="1">
      <c r="A6" s="834" t="s">
        <v>1067</v>
      </c>
      <c r="B6" s="835" t="s">
        <v>1068</v>
      </c>
      <c r="C6" s="836" t="s">
        <v>183</v>
      </c>
      <c r="D6" s="869" t="s">
        <v>1145</v>
      </c>
      <c r="E6" s="1047" t="s">
        <v>1146</v>
      </c>
      <c r="F6" s="834" t="s">
        <v>1147</v>
      </c>
      <c r="G6" s="1007" t="s">
        <v>1148</v>
      </c>
    </row>
    <row r="7" spans="1:7" s="834" customFormat="1" ht="61.5" customHeight="1">
      <c r="A7" s="834" t="s">
        <v>182</v>
      </c>
      <c r="B7" s="835" t="s">
        <v>722</v>
      </c>
      <c r="C7" s="835" t="s">
        <v>1070</v>
      </c>
      <c r="D7" s="869" t="s">
        <v>1145</v>
      </c>
    </row>
    <row r="8" spans="1:7" s="834" customFormat="1" ht="54" customHeight="1">
      <c r="A8" s="834" t="s">
        <v>1003</v>
      </c>
      <c r="B8" s="835" t="s">
        <v>1004</v>
      </c>
      <c r="C8" s="834" t="s">
        <v>1005</v>
      </c>
    </row>
    <row r="9" spans="1:7" s="834" customFormat="1" ht="43" customHeight="1">
      <c r="A9" s="831" t="s">
        <v>1054</v>
      </c>
      <c r="B9" s="837"/>
      <c r="C9" s="838"/>
      <c r="D9" s="838"/>
      <c r="E9" s="833" t="s">
        <v>1006</v>
      </c>
      <c r="F9" s="838"/>
    </row>
    <row r="10" spans="1:7" s="794" customFormat="1" ht="77.5" customHeight="1">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94" t="s">
        <v>1145</v>
      </c>
    </row>
    <row r="11" spans="1:7" s="794" customFormat="1" ht="111" customHeight="1">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94" t="s">
        <v>1145</v>
      </c>
    </row>
    <row r="12" spans="1:7" s="794" customFormat="1" ht="109.5" customHeight="1">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94" customFormat="1" ht="105" customHeight="1">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94" customFormat="1" ht="64.5" customHeight="1">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94" customFormat="1" ht="108" customHeight="1">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94" customFormat="1" ht="107" customHeight="1">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94" t="s">
        <v>1145</v>
      </c>
    </row>
    <row r="17" spans="1:6" s="794" customFormat="1" ht="129" customHeight="1">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94" t="s">
        <v>1145</v>
      </c>
    </row>
    <row r="18" spans="1:6" s="794" customFormat="1" ht="78" customHeight="1">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94" customFormat="1" ht="43" customHeight="1">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94" customFormat="1" ht="145" customHeight="1">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94" customFormat="1" ht="60.5" customHeight="1">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94" customFormat="1" ht="37.5" customHeight="1">
      <c r="A22" s="765" t="s">
        <v>717</v>
      </c>
      <c r="B22" s="26" t="s">
        <v>1025</v>
      </c>
    </row>
    <row r="23" spans="1:6" s="794" customFormat="1" ht="36" customHeight="1">
      <c r="A23" s="765" t="s">
        <v>179</v>
      </c>
      <c r="B23" s="26"/>
    </row>
    <row r="24" spans="1:6" s="794" customFormat="1" ht="16">
      <c r="A24" s="29" t="s">
        <v>177</v>
      </c>
      <c r="B24" s="28"/>
      <c r="C24" s="27"/>
      <c r="D24" s="27"/>
      <c r="E24" s="27"/>
      <c r="F24" s="27"/>
    </row>
    <row r="25" spans="1:6" s="794" customFormat="1" ht="102" customHeight="1">
      <c r="A25" s="794" t="s">
        <v>1059</v>
      </c>
      <c r="B25" s="26" t="s">
        <v>1060</v>
      </c>
      <c r="C25" s="794" t="s">
        <v>1061</v>
      </c>
    </row>
    <row r="26" spans="1:6" s="794" customFormat="1" ht="54" customHeight="1">
      <c r="A26" s="794" t="s">
        <v>1062</v>
      </c>
      <c r="B26" s="26" t="s">
        <v>1063</v>
      </c>
      <c r="C26" s="794" t="s">
        <v>1064</v>
      </c>
    </row>
    <row r="27" spans="1:6" s="794" customFormat="1">
      <c r="B27" s="26"/>
    </row>
    <row r="28" spans="1:6" s="794" customFormat="1" ht="16">
      <c r="A28" s="29" t="s">
        <v>176</v>
      </c>
      <c r="B28" s="28"/>
      <c r="C28" s="27"/>
      <c r="D28" s="27"/>
      <c r="E28" s="27"/>
      <c r="F28" s="27"/>
    </row>
    <row r="29" spans="1:6" s="794" customFormat="1" ht="32">
      <c r="A29" s="794" t="s">
        <v>175</v>
      </c>
      <c r="B29" s="26"/>
      <c r="C29" s="794" t="s">
        <v>1030</v>
      </c>
    </row>
    <row r="30" spans="1:6" s="794" customFormat="1" ht="64">
      <c r="A30" s="794" t="s">
        <v>174</v>
      </c>
      <c r="B30" s="26" t="s">
        <v>1026</v>
      </c>
      <c r="C30" s="794" t="s">
        <v>1027</v>
      </c>
    </row>
    <row r="31" spans="1:6" s="794" customFormat="1" ht="32">
      <c r="A31" s="794" t="s">
        <v>173</v>
      </c>
      <c r="B31" s="26" t="s">
        <v>1031</v>
      </c>
      <c r="C31" s="26" t="s">
        <v>1029</v>
      </c>
    </row>
    <row r="32" spans="1:6" s="794" customFormat="1" ht="96">
      <c r="A32" s="794" t="s">
        <v>172</v>
      </c>
      <c r="B32" s="26" t="s">
        <v>1065</v>
      </c>
      <c r="C32" s="794" t="s">
        <v>1066</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baseColWidth="10" defaultColWidth="8.83203125" defaultRowHeight="15"/>
  <cols>
    <col min="1" max="1" width="6" customWidth="1"/>
    <col min="2" max="2" width="29.6640625" customWidth="1"/>
    <col min="3" max="3" width="10.6640625" customWidth="1"/>
    <col min="4" max="7" width="10.6640625" style="560" customWidth="1"/>
  </cols>
  <sheetData>
    <row r="1" spans="1:29">
      <c r="B1" s="1382" t="s">
        <v>131</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1:29" ht="14.5" customHeight="1">
      <c r="B2" s="1407" t="s">
        <v>640</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1:29">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1:29">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1:29">
      <c r="B5" s="176"/>
      <c r="C5" s="36"/>
      <c r="D5" s="302"/>
      <c r="E5" s="302"/>
      <c r="F5" s="302"/>
      <c r="G5" s="302"/>
      <c r="H5" s="36"/>
      <c r="I5" s="36"/>
      <c r="J5" s="36"/>
      <c r="K5" s="36"/>
      <c r="L5" s="36"/>
      <c r="M5" s="36"/>
      <c r="N5" s="36"/>
      <c r="O5" s="36"/>
      <c r="P5" s="36"/>
      <c r="Q5" s="36"/>
      <c r="R5" s="36"/>
      <c r="S5" s="36"/>
      <c r="T5" s="36"/>
      <c r="U5" s="36"/>
      <c r="V5" s="36"/>
      <c r="W5" s="36"/>
      <c r="X5" s="36"/>
      <c r="Y5" s="36"/>
    </row>
    <row r="6" spans="1:29">
      <c r="B6" s="1400" t="s">
        <v>292</v>
      </c>
      <c r="C6" s="1401"/>
      <c r="D6" s="1412" t="s">
        <v>261</v>
      </c>
      <c r="E6" s="1413"/>
      <c r="F6" s="1413"/>
      <c r="G6" s="1413"/>
      <c r="H6" s="1413"/>
      <c r="I6" s="1413"/>
      <c r="J6" s="1413"/>
      <c r="K6" s="1413"/>
      <c r="L6" s="1413"/>
      <c r="M6" s="1397"/>
      <c r="N6" s="1435"/>
      <c r="O6" s="1398" t="s">
        <v>143</v>
      </c>
      <c r="P6" s="1447"/>
      <c r="Q6" s="1447"/>
      <c r="R6" s="1447"/>
      <c r="S6" s="1447"/>
      <c r="T6" s="1447"/>
      <c r="U6" s="1447"/>
      <c r="V6" s="1447"/>
      <c r="W6" s="1447"/>
      <c r="X6" s="1447"/>
      <c r="Y6" s="1409"/>
      <c r="Z6" s="1409"/>
      <c r="AA6" s="1409"/>
      <c r="AB6" s="1409"/>
      <c r="AC6" s="1410"/>
    </row>
    <row r="7" spans="1:29">
      <c r="B7" s="1402"/>
      <c r="C7" s="1403"/>
      <c r="D7" s="805">
        <v>2018</v>
      </c>
      <c r="E7" s="1383">
        <v>2019</v>
      </c>
      <c r="F7" s="1384"/>
      <c r="G7" s="1384"/>
      <c r="H7" s="1393"/>
      <c r="I7" s="1436">
        <v>2020</v>
      </c>
      <c r="J7" s="1384"/>
      <c r="K7" s="1384"/>
      <c r="L7" s="1384"/>
      <c r="M7" s="1383">
        <v>2021</v>
      </c>
      <c r="N7" s="1393"/>
      <c r="O7" s="1448">
        <v>2021</v>
      </c>
      <c r="P7" s="1449"/>
      <c r="Q7" s="1448">
        <v>2022</v>
      </c>
      <c r="R7" s="1452"/>
      <c r="S7" s="1452"/>
      <c r="T7" s="1452"/>
      <c r="U7" s="1448">
        <v>2023</v>
      </c>
      <c r="V7" s="1452"/>
      <c r="W7" s="1452"/>
      <c r="X7" s="1452"/>
      <c r="Y7" s="1406">
        <v>2024</v>
      </c>
      <c r="Z7" s="1411"/>
      <c r="AA7" s="1411"/>
      <c r="AB7" s="1411"/>
      <c r="AC7" s="475">
        <v>2025</v>
      </c>
    </row>
    <row r="8" spans="1:29">
      <c r="B8" s="1404"/>
      <c r="C8" s="1405"/>
      <c r="D8" s="224" t="s">
        <v>138</v>
      </c>
      <c r="E8" s="224" t="s">
        <v>135</v>
      </c>
      <c r="F8" s="200" t="s">
        <v>136</v>
      </c>
      <c r="G8" s="200" t="s">
        <v>137</v>
      </c>
      <c r="H8" s="208" t="s">
        <v>138</v>
      </c>
      <c r="I8" s="201" t="s">
        <v>135</v>
      </c>
      <c r="J8" s="201" t="s">
        <v>136</v>
      </c>
      <c r="K8" s="201" t="s">
        <v>137</v>
      </c>
      <c r="L8" s="201" t="s">
        <v>138</v>
      </c>
      <c r="M8" s="216" t="s">
        <v>135</v>
      </c>
      <c r="N8" s="208" t="s">
        <v>136</v>
      </c>
      <c r="O8" s="858" t="s">
        <v>137</v>
      </c>
      <c r="P8" s="860" t="s">
        <v>138</v>
      </c>
      <c r="Q8" s="858" t="s">
        <v>135</v>
      </c>
      <c r="R8" s="859" t="s">
        <v>136</v>
      </c>
      <c r="S8" s="859" t="s">
        <v>137</v>
      </c>
      <c r="T8" s="859" t="s">
        <v>138</v>
      </c>
      <c r="U8" s="858" t="s">
        <v>135</v>
      </c>
      <c r="V8" s="859" t="s">
        <v>136</v>
      </c>
      <c r="W8" s="859" t="s">
        <v>137</v>
      </c>
      <c r="X8" s="859" t="s">
        <v>138</v>
      </c>
      <c r="Y8" s="64" t="s">
        <v>135</v>
      </c>
      <c r="Z8" s="695" t="s">
        <v>136</v>
      </c>
      <c r="AA8" s="65" t="s">
        <v>137</v>
      </c>
      <c r="AB8" s="65" t="s">
        <v>138</v>
      </c>
      <c r="AC8" s="67" t="s">
        <v>135</v>
      </c>
    </row>
    <row r="9" spans="1:29">
      <c r="B9" s="186" t="s">
        <v>131</v>
      </c>
      <c r="C9" s="187" t="s">
        <v>241</v>
      </c>
      <c r="D9" s="932"/>
      <c r="E9" s="933"/>
      <c r="F9" s="933"/>
      <c r="G9" s="933"/>
      <c r="H9" s="933"/>
      <c r="I9" s="933"/>
      <c r="J9" s="170">
        <f>'Haver Pivoted'!GU45</f>
        <v>1078.0999999999999</v>
      </c>
      <c r="K9" s="170">
        <f>'Haver Pivoted'!GV45</f>
        <v>15.6</v>
      </c>
      <c r="L9" s="170">
        <f>'Haver Pivoted'!GW45</f>
        <v>5</v>
      </c>
      <c r="M9" s="170">
        <f>'Haver Pivoted'!GX45</f>
        <v>1933.7</v>
      </c>
      <c r="N9" s="170">
        <f>'Haver Pivoted'!GY45</f>
        <v>290.10000000000002</v>
      </c>
      <c r="O9" s="812"/>
      <c r="P9" s="813"/>
      <c r="Q9" s="813"/>
      <c r="R9" s="813"/>
      <c r="S9" s="813"/>
      <c r="T9" s="813"/>
      <c r="U9" s="813"/>
      <c r="V9" s="813"/>
      <c r="W9" s="813"/>
      <c r="X9" s="813"/>
      <c r="Y9" s="813"/>
      <c r="Z9" s="861"/>
      <c r="AA9" s="861"/>
      <c r="AB9" s="861"/>
      <c r="AC9" s="862"/>
    </row>
    <row r="10" spans="1:29">
      <c r="B10" s="188" t="s">
        <v>464</v>
      </c>
      <c r="C10" s="189"/>
      <c r="D10" s="934"/>
      <c r="E10" s="935"/>
      <c r="F10" s="935"/>
      <c r="G10" s="935"/>
      <c r="H10" s="935"/>
      <c r="I10" s="935"/>
      <c r="J10" s="936"/>
      <c r="K10" s="936"/>
      <c r="L10" s="936"/>
      <c r="M10" s="936">
        <f>M9-M11</f>
        <v>1348.1</v>
      </c>
      <c r="N10" s="936">
        <f>N9-N11</f>
        <v>290.10000000000002</v>
      </c>
      <c r="O10" s="1329">
        <v>20</v>
      </c>
      <c r="P10" s="1330"/>
      <c r="Q10" s="1330">
        <f>'ARP Score'!B6*4/2 -20</f>
        <v>14.93</v>
      </c>
      <c r="R10" s="1330">
        <f>'ARP Score'!B6*4/2</f>
        <v>34.93</v>
      </c>
      <c r="S10" s="667"/>
      <c r="T10" s="667"/>
      <c r="U10" s="667"/>
      <c r="V10" s="667"/>
      <c r="W10" s="667"/>
      <c r="X10" s="667"/>
      <c r="Y10" s="667"/>
      <c r="Z10" s="667"/>
      <c r="AA10" s="667"/>
      <c r="AB10" s="667"/>
      <c r="AC10" s="1037"/>
    </row>
    <row r="11" spans="1:29" s="75" customFormat="1">
      <c r="B11" s="190" t="s">
        <v>522</v>
      </c>
      <c r="C11" s="191"/>
      <c r="D11" s="937"/>
      <c r="E11" s="938"/>
      <c r="F11" s="938"/>
      <c r="G11" s="938"/>
      <c r="H11" s="938"/>
      <c r="I11" s="938"/>
      <c r="J11" s="939">
        <f t="shared" ref="J11:L11" si="0">J9-J10</f>
        <v>1078.0999999999999</v>
      </c>
      <c r="K11" s="939">
        <f t="shared" si="0"/>
        <v>15.6</v>
      </c>
      <c r="L11" s="939">
        <f t="shared" si="0"/>
        <v>5</v>
      </c>
      <c r="M11" s="939">
        <f>SUM(C17:D17)/12*4</f>
        <v>585.6</v>
      </c>
      <c r="N11" s="939">
        <v>0</v>
      </c>
      <c r="O11" s="940"/>
      <c r="P11" s="668"/>
      <c r="Q11" s="668"/>
      <c r="R11" s="668"/>
      <c r="S11" s="668"/>
      <c r="T11" s="668"/>
      <c r="U11" s="668"/>
      <c r="V11" s="668"/>
      <c r="W11" s="668"/>
      <c r="X11" s="668"/>
      <c r="Y11" s="668"/>
      <c r="Z11" s="668"/>
      <c r="AA11" s="668"/>
      <c r="AB11" s="668"/>
      <c r="AC11" s="1038"/>
    </row>
    <row r="12" spans="1:29">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c r="A13" s="1480"/>
      <c r="B13" s="1480"/>
      <c r="C13" s="1480"/>
      <c r="D13" s="1480"/>
      <c r="E13" s="1480"/>
      <c r="F13" s="1480"/>
      <c r="G13" s="1480"/>
      <c r="H13" s="1480"/>
      <c r="I13" s="1480"/>
      <c r="J13" s="1480"/>
      <c r="K13" s="1480"/>
      <c r="L13" s="448"/>
      <c r="M13" s="448"/>
      <c r="N13" s="448"/>
      <c r="O13" s="202"/>
      <c r="P13" s="202"/>
      <c r="Q13" s="202"/>
      <c r="R13" s="202"/>
      <c r="S13" s="202"/>
      <c r="T13" s="36"/>
      <c r="U13" s="36"/>
      <c r="V13" s="36"/>
      <c r="W13" s="36"/>
      <c r="X13" s="36"/>
      <c r="Y13" s="36"/>
    </row>
    <row r="14" spans="1:29">
      <c r="A14" s="447"/>
      <c r="B14" s="202"/>
      <c r="C14" s="293"/>
      <c r="D14" s="293"/>
      <c r="E14" s="293"/>
      <c r="F14" s="293"/>
      <c r="G14" s="293"/>
      <c r="H14" s="293"/>
      <c r="I14" s="293"/>
      <c r="J14" s="293"/>
      <c r="K14" s="293"/>
      <c r="L14" s="293"/>
      <c r="M14" s="293"/>
      <c r="N14" s="1478"/>
      <c r="O14" s="1478"/>
      <c r="P14" s="1478"/>
      <c r="Q14" s="1478"/>
      <c r="R14" s="1478"/>
      <c r="S14" s="1478"/>
      <c r="T14" s="36"/>
      <c r="U14" s="36"/>
      <c r="V14" s="36"/>
      <c r="W14" s="36"/>
      <c r="X14" s="36"/>
      <c r="Y14" s="36"/>
    </row>
    <row r="15" spans="1:29">
      <c r="A15" s="385"/>
      <c r="B15" s="1476" t="s">
        <v>639</v>
      </c>
      <c r="C15" s="1377">
        <v>2021</v>
      </c>
      <c r="D15" s="1479"/>
      <c r="E15" s="1479"/>
      <c r="F15" s="1479"/>
      <c r="G15" s="663"/>
      <c r="H15" s="662"/>
      <c r="I15" s="662"/>
      <c r="J15" s="662"/>
      <c r="K15" s="1478"/>
      <c r="L15" s="1478"/>
      <c r="M15" s="1478"/>
      <c r="N15" s="1478"/>
      <c r="O15" s="1478"/>
      <c r="P15" s="1478"/>
      <c r="Q15" s="36"/>
      <c r="R15" s="36"/>
      <c r="S15" s="36"/>
      <c r="T15" s="36"/>
      <c r="U15" s="36"/>
      <c r="V15" s="36"/>
    </row>
    <row r="16" spans="1:29">
      <c r="A16" s="202"/>
      <c r="B16" s="1477"/>
      <c r="C16" s="451" t="s">
        <v>518</v>
      </c>
      <c r="D16" s="452" t="s">
        <v>519</v>
      </c>
      <c r="E16" s="452" t="s">
        <v>520</v>
      </c>
      <c r="F16" s="452" t="s">
        <v>521</v>
      </c>
      <c r="G16" s="664"/>
      <c r="H16" s="639"/>
      <c r="I16" s="639"/>
      <c r="J16" s="639"/>
      <c r="K16" s="385"/>
      <c r="L16" s="385"/>
      <c r="M16" s="385"/>
      <c r="N16" s="385"/>
      <c r="O16" s="385"/>
      <c r="P16" s="385"/>
      <c r="Q16" s="36"/>
      <c r="R16" s="36"/>
      <c r="S16" s="36"/>
      <c r="T16" s="36"/>
      <c r="U16" s="36"/>
      <c r="V16" s="36"/>
    </row>
    <row r="17" spans="1:25" ht="17">
      <c r="A17" s="202"/>
      <c r="B17" s="450" t="s">
        <v>637</v>
      </c>
      <c r="C17" s="665">
        <v>1660.9</v>
      </c>
      <c r="D17" s="665">
        <v>95.9</v>
      </c>
      <c r="E17" s="665">
        <v>4044.2</v>
      </c>
      <c r="F17" s="666">
        <v>688</v>
      </c>
      <c r="G17" s="449"/>
      <c r="H17" s="449"/>
      <c r="I17" s="449"/>
      <c r="J17" s="449"/>
      <c r="K17" s="449"/>
      <c r="L17" s="449"/>
      <c r="M17" s="36"/>
      <c r="N17" s="36"/>
      <c r="O17" s="36"/>
      <c r="P17" s="36"/>
      <c r="Q17" s="36"/>
      <c r="R17" s="36"/>
    </row>
    <row r="18" spans="1:2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baseColWidth="10" defaultColWidth="8.6640625" defaultRowHeight="14"/>
  <cols>
    <col min="1" max="1" width="14.1640625" style="302" customWidth="1"/>
    <col min="2" max="2" width="49.33203125" style="302" customWidth="1"/>
    <col min="3" max="3" width="8.5" style="302" customWidth="1"/>
    <col min="4" max="4" width="9.33203125" style="302" customWidth="1"/>
    <col min="5" max="6" width="9.83203125" style="302" customWidth="1"/>
    <col min="7" max="7" width="9.6640625" style="302" customWidth="1"/>
    <col min="8" max="12" width="11.6640625" style="302" bestFit="1" customWidth="1"/>
    <col min="13" max="13" width="12.6640625" style="302" bestFit="1" customWidth="1"/>
    <col min="14" max="14" width="18.33203125" style="302" bestFit="1" customWidth="1"/>
    <col min="15" max="25" width="13.33203125" style="302" bestFit="1" customWidth="1"/>
    <col min="26" max="26" width="12.6640625" style="302" customWidth="1"/>
    <col min="27" max="16384" width="8.6640625" style="302"/>
  </cols>
  <sheetData>
    <row r="1" spans="2:29" ht="18" customHeight="1">
      <c r="B1" s="1481" t="s">
        <v>423</v>
      </c>
      <c r="C1" s="1481"/>
      <c r="D1" s="1481"/>
      <c r="E1" s="1481"/>
      <c r="F1" s="1481"/>
      <c r="G1" s="1481"/>
      <c r="H1" s="1481"/>
      <c r="I1" s="1481"/>
      <c r="J1" s="1481"/>
      <c r="K1" s="1481"/>
      <c r="L1" s="1481"/>
      <c r="M1" s="1481"/>
      <c r="N1" s="1481"/>
      <c r="O1" s="1481"/>
      <c r="P1" s="1481"/>
      <c r="Q1" s="1481"/>
      <c r="R1" s="1481"/>
      <c r="S1" s="1481"/>
      <c r="T1" s="1481"/>
      <c r="U1" s="1481"/>
      <c r="V1" s="1481"/>
      <c r="W1" s="1481"/>
      <c r="X1" s="1481"/>
      <c r="Y1" s="1481"/>
      <c r="Z1" s="1481"/>
      <c r="AA1" s="1481"/>
      <c r="AB1" s="1481"/>
      <c r="AC1" s="1481"/>
    </row>
    <row r="2" spans="2:29" ht="82" customHeight="1">
      <c r="B2" s="1380" t="s">
        <v>1141</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29" ht="3" customHeight="1">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29" ht="10" hidden="1" customHeight="1">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29" ht="14" hidden="1" customHeight="1">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2:29" ht="14" hidden="1" customHeight="1">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2:29">
      <c r="B7" s="516" t="s">
        <v>399</v>
      </c>
      <c r="C7" s="263"/>
      <c r="D7" s="263"/>
      <c r="E7" s="263"/>
      <c r="F7" s="263"/>
      <c r="G7" s="263"/>
      <c r="H7" s="262"/>
      <c r="I7" s="262"/>
      <c r="J7" s="262"/>
      <c r="K7" s="262"/>
      <c r="L7" s="262"/>
      <c r="M7" s="262"/>
      <c r="N7" s="262"/>
      <c r="O7" s="262"/>
      <c r="P7" s="262"/>
      <c r="Q7" s="262"/>
      <c r="R7" s="262"/>
      <c r="S7" s="262"/>
      <c r="T7" s="262"/>
      <c r="U7" s="262"/>
    </row>
    <row r="8" spans="2:29" ht="14.5" customHeight="1">
      <c r="B8" s="1400" t="s">
        <v>426</v>
      </c>
      <c r="C8" s="1401"/>
      <c r="D8" s="1412" t="s">
        <v>261</v>
      </c>
      <c r="E8" s="1413"/>
      <c r="F8" s="1413"/>
      <c r="G8" s="1413"/>
      <c r="H8" s="1413"/>
      <c r="I8" s="1413"/>
      <c r="J8" s="1413"/>
      <c r="K8" s="1413"/>
      <c r="L8" s="1413"/>
      <c r="M8" s="1413"/>
      <c r="N8" s="1414"/>
      <c r="O8" s="1398" t="s">
        <v>143</v>
      </c>
      <c r="P8" s="1447"/>
      <c r="Q8" s="1447"/>
      <c r="R8" s="1447"/>
      <c r="S8" s="1447"/>
      <c r="T8" s="1447"/>
      <c r="U8" s="1447"/>
      <c r="V8" s="1447"/>
      <c r="W8" s="1447"/>
      <c r="X8" s="1447"/>
      <c r="Y8" s="1409"/>
      <c r="Z8" s="1409"/>
      <c r="AA8" s="1409"/>
      <c r="AB8" s="1409"/>
      <c r="AC8" s="1410"/>
    </row>
    <row r="9" spans="2:29" ht="14.5" customHeight="1">
      <c r="B9" s="1402"/>
      <c r="C9" s="1441"/>
      <c r="D9" s="229">
        <v>2018</v>
      </c>
      <c r="E9" s="1484">
        <v>2019</v>
      </c>
      <c r="F9" s="1485"/>
      <c r="G9" s="1485"/>
      <c r="H9" s="1486"/>
      <c r="I9" s="1383">
        <v>2020</v>
      </c>
      <c r="J9" s="1436"/>
      <c r="K9" s="1436"/>
      <c r="L9" s="1487"/>
      <c r="M9" s="1383">
        <v>2021</v>
      </c>
      <c r="N9" s="1393"/>
      <c r="O9" s="1448">
        <v>2021</v>
      </c>
      <c r="P9" s="1449"/>
      <c r="Q9" s="1448">
        <v>2022</v>
      </c>
      <c r="R9" s="1452"/>
      <c r="S9" s="1452"/>
      <c r="T9" s="1452"/>
      <c r="U9" s="1448">
        <v>2023</v>
      </c>
      <c r="V9" s="1452"/>
      <c r="W9" s="1452"/>
      <c r="X9" s="1452"/>
      <c r="Y9" s="1406">
        <v>2024</v>
      </c>
      <c r="Z9" s="1411"/>
      <c r="AA9" s="1411"/>
      <c r="AB9" s="1411"/>
      <c r="AC9" s="475">
        <v>2025</v>
      </c>
    </row>
    <row r="10" spans="2:29">
      <c r="B10" s="1402"/>
      <c r="C10" s="1441"/>
      <c r="D10" s="232" t="s">
        <v>138</v>
      </c>
      <c r="E10" s="216" t="s">
        <v>135</v>
      </c>
      <c r="F10" s="201" t="s">
        <v>136</v>
      </c>
      <c r="G10" s="201" t="s">
        <v>137</v>
      </c>
      <c r="H10" s="208" t="s">
        <v>138</v>
      </c>
      <c r="I10" s="216" t="s">
        <v>135</v>
      </c>
      <c r="J10" s="201" t="s">
        <v>136</v>
      </c>
      <c r="K10" s="201" t="s">
        <v>137</v>
      </c>
      <c r="L10" s="208" t="s">
        <v>138</v>
      </c>
      <c r="M10" s="216" t="s">
        <v>135</v>
      </c>
      <c r="N10" s="208" t="s">
        <v>136</v>
      </c>
      <c r="O10" s="858" t="s">
        <v>137</v>
      </c>
      <c r="P10" s="860" t="s">
        <v>138</v>
      </c>
      <c r="Q10" s="858" t="s">
        <v>135</v>
      </c>
      <c r="R10" s="859" t="s">
        <v>136</v>
      </c>
      <c r="S10" s="859" t="s">
        <v>137</v>
      </c>
      <c r="T10" s="859" t="s">
        <v>138</v>
      </c>
      <c r="U10" s="858" t="s">
        <v>135</v>
      </c>
      <c r="V10" s="859" t="s">
        <v>136</v>
      </c>
      <c r="W10" s="859" t="s">
        <v>137</v>
      </c>
      <c r="X10" s="859" t="s">
        <v>138</v>
      </c>
      <c r="Y10" s="64" t="s">
        <v>135</v>
      </c>
      <c r="Z10" s="695" t="s">
        <v>136</v>
      </c>
      <c r="AA10" s="65" t="s">
        <v>137</v>
      </c>
      <c r="AB10" s="65" t="s">
        <v>138</v>
      </c>
      <c r="AC10" s="67" t="s">
        <v>135</v>
      </c>
    </row>
    <row r="11" spans="2:29">
      <c r="B11" s="1489" t="s">
        <v>145</v>
      </c>
      <c r="C11" s="1490"/>
      <c r="D11" s="827"/>
      <c r="E11" s="248"/>
      <c r="F11" s="248"/>
      <c r="G11" s="248"/>
      <c r="H11" s="170"/>
      <c r="I11" s="170"/>
      <c r="J11" s="170"/>
      <c r="K11" s="170"/>
      <c r="L11" s="170"/>
      <c r="M11" s="170"/>
      <c r="N11" s="170"/>
      <c r="O11" s="812"/>
      <c r="P11" s="813"/>
      <c r="Q11" s="813"/>
      <c r="R11" s="813"/>
      <c r="S11" s="813"/>
      <c r="T11" s="813"/>
      <c r="U11" s="813"/>
      <c r="V11" s="813"/>
      <c r="W11" s="813"/>
      <c r="X11" s="813"/>
      <c r="Y11" s="813"/>
      <c r="Z11" s="861"/>
      <c r="AA11" s="861"/>
      <c r="AB11" s="861"/>
      <c r="AC11" s="862"/>
    </row>
    <row r="12" spans="2:29">
      <c r="B12" s="212" t="s">
        <v>548</v>
      </c>
      <c r="C12" s="562" t="s">
        <v>227</v>
      </c>
      <c r="D12" s="942">
        <f>'Haver Pivoted'!GO31</f>
        <v>2222.3000000000002</v>
      </c>
      <c r="E12" s="943">
        <f>'Haver Pivoted'!GP31</f>
        <v>2298.1</v>
      </c>
      <c r="F12" s="943">
        <f>'Haver Pivoted'!GQ31</f>
        <v>2315.5</v>
      </c>
      <c r="G12" s="943">
        <f>'Haver Pivoted'!GR31</f>
        <v>2333.1999999999998</v>
      </c>
      <c r="H12" s="943">
        <f>'Haver Pivoted'!GS31</f>
        <v>2350.8000000000002</v>
      </c>
      <c r="I12" s="943">
        <f>'Haver Pivoted'!GT31</f>
        <v>2417.9</v>
      </c>
      <c r="J12" s="943">
        <f>'Haver Pivoted'!GU31</f>
        <v>4766.7</v>
      </c>
      <c r="K12" s="943">
        <f>'Haver Pivoted'!GV31</f>
        <v>3468.3</v>
      </c>
      <c r="L12" s="943">
        <f>'Haver Pivoted'!GW31</f>
        <v>2839.1</v>
      </c>
      <c r="M12" s="943">
        <f>'Haver Pivoted'!GX31</f>
        <v>5070.6000000000004</v>
      </c>
      <c r="N12" s="943">
        <f>'Haver Pivoted'!GY31</f>
        <v>3367.3</v>
      </c>
      <c r="O12" s="222">
        <f t="shared" ref="O12:Y12" si="0">SUM(O13:O21)</f>
        <v>3196.3687142669332</v>
      </c>
      <c r="P12" s="213">
        <f t="shared" si="0"/>
        <v>2692.5296741083203</v>
      </c>
      <c r="Q12" s="213">
        <f t="shared" si="0"/>
        <v>2739.7529505188995</v>
      </c>
      <c r="R12" s="213">
        <f t="shared" si="0"/>
        <v>2766.4306854560282</v>
      </c>
      <c r="S12" s="213">
        <f t="shared" si="0"/>
        <v>2722.0814505762455</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33">
        <f t="shared" si="1"/>
        <v>2982.3708012800016</v>
      </c>
    </row>
    <row r="13" spans="2:29" ht="30">
      <c r="B13" s="250" t="s">
        <v>429</v>
      </c>
      <c r="C13" s="562"/>
      <c r="D13" s="942">
        <f>'Unemployment Insurance'!D20+'Unemployment Insurance'!D19</f>
        <v>27.1</v>
      </c>
      <c r="E13" s="943">
        <f>'Unemployment Insurance'!E20+'Unemployment Insurance'!E19</f>
        <v>28.4</v>
      </c>
      <c r="F13" s="943">
        <f>'Unemployment Insurance'!F20+'Unemployment Insurance'!F19</f>
        <v>27.8</v>
      </c>
      <c r="G13" s="943">
        <f>'Unemployment Insurance'!G20+'Unemployment Insurance'!G19</f>
        <v>27.4</v>
      </c>
      <c r="H13" s="943">
        <f>'Unemployment Insurance'!H20+'Unemployment Insurance'!H19</f>
        <v>26.8</v>
      </c>
      <c r="I13" s="943">
        <f>'Unemployment Insurance'!I20+'Unemployment Insurance'!I19</f>
        <v>39.5</v>
      </c>
      <c r="J13" s="943">
        <f>'Unemployment Insurance'!J20+'Unemployment Insurance'!J19</f>
        <v>1039.4000000000001</v>
      </c>
      <c r="K13" s="943">
        <f>'Unemployment Insurance'!K20+'Unemployment Insurance'!K19</f>
        <v>767.8</v>
      </c>
      <c r="L13" s="943">
        <f>'Unemployment Insurance'!L20+'Unemployment Insurance'!L19</f>
        <v>299.89999999999998</v>
      </c>
      <c r="M13" s="943">
        <f>'Unemployment Insurance'!M20+'Unemployment Insurance'!M19</f>
        <v>565.79999999999995</v>
      </c>
      <c r="N13" s="943">
        <f>'Unemployment Insurance'!N20+'Unemployment Insurance'!N19</f>
        <v>480.5</v>
      </c>
      <c r="O13" s="222">
        <f>'Unemployment Insurance'!O20+'Unemployment Insurance'!O19</f>
        <v>274.43464739884394</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33">
        <f>'Unemployment Insurance'!AC20+'Unemployment Insurance'!AC19</f>
        <v>32.385971098265927</v>
      </c>
    </row>
    <row r="14" spans="2:29" ht="15">
      <c r="B14" s="250" t="s">
        <v>385</v>
      </c>
      <c r="C14" s="562"/>
      <c r="D14" s="942">
        <f>Medicare!D10</f>
        <v>754.2</v>
      </c>
      <c r="E14" s="943">
        <f>Medicare!E10</f>
        <v>768.3</v>
      </c>
      <c r="F14" s="943">
        <f>Medicare!F10</f>
        <v>781.1</v>
      </c>
      <c r="G14" s="943">
        <f>Medicare!G10</f>
        <v>792.1</v>
      </c>
      <c r="H14" s="943">
        <f>Medicare!H10</f>
        <v>801.3</v>
      </c>
      <c r="I14" s="943">
        <f>Medicare!I10</f>
        <v>808.5</v>
      </c>
      <c r="J14" s="943">
        <f>Medicare!J10</f>
        <v>821.6</v>
      </c>
      <c r="K14" s="943">
        <f>Medicare!K10</f>
        <v>825.8</v>
      </c>
      <c r="L14" s="943">
        <f>Medicare!L10</f>
        <v>821</v>
      </c>
      <c r="M14" s="943">
        <f>Medicare!M10</f>
        <v>814.1</v>
      </c>
      <c r="N14" s="943">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33">
        <f>Medicare!AC10</f>
        <v>1038.181509975399</v>
      </c>
    </row>
    <row r="15" spans="2:29" ht="30">
      <c r="B15" s="245" t="s">
        <v>428</v>
      </c>
      <c r="C15" s="562"/>
      <c r="D15" s="966"/>
      <c r="E15" s="37"/>
      <c r="F15" s="37"/>
      <c r="G15" s="37"/>
      <c r="H15" s="943">
        <f>'Rebate Checks'!H10 +'Rebate Checks'!H11</f>
        <v>0</v>
      </c>
      <c r="I15" s="943">
        <f>'Rebate Checks'!I10 +'Rebate Checks'!I11</f>
        <v>0</v>
      </c>
      <c r="J15" s="943">
        <f>'Rebate Checks'!J10 +'Rebate Checks'!J11</f>
        <v>1078.0999999999999</v>
      </c>
      <c r="K15" s="943">
        <f>'Rebate Checks'!K10 +'Rebate Checks'!K11</f>
        <v>15.6</v>
      </c>
      <c r="L15" s="943">
        <f>'Rebate Checks'!L10 +'Rebate Checks'!L11</f>
        <v>5</v>
      </c>
      <c r="M15" s="943">
        <f>'Rebate Checks'!M10 +'Rebate Checks'!M11</f>
        <v>1933.6999999999998</v>
      </c>
      <c r="N15" s="943">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33">
        <f>'Rebate Checks'!AC10 +'Rebate Checks'!AC11</f>
        <v>0</v>
      </c>
    </row>
    <row r="16" spans="2:29" ht="30">
      <c r="B16" s="245" t="s">
        <v>686</v>
      </c>
      <c r="C16" s="562"/>
      <c r="D16" s="966"/>
      <c r="E16" s="37"/>
      <c r="F16" s="37"/>
      <c r="G16" s="37"/>
      <c r="H16" s="943"/>
      <c r="I16" s="943">
        <f>I62</f>
        <v>2.5817499999999995</v>
      </c>
      <c r="J16" s="943">
        <f t="shared" ref="J16:Y16" si="2">J62</f>
        <v>37.358750000000001</v>
      </c>
      <c r="K16" s="943">
        <f t="shared" si="2"/>
        <v>38.026749999999993</v>
      </c>
      <c r="L16" s="943">
        <f t="shared" si="2"/>
        <v>38.350750000000005</v>
      </c>
      <c r="M16" s="943">
        <f t="shared" si="2"/>
        <v>54.966750000000005</v>
      </c>
      <c r="N16" s="943">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33">
        <f t="shared" si="3"/>
        <v>0</v>
      </c>
    </row>
    <row r="17" spans="1:29" ht="15">
      <c r="B17" s="245" t="s">
        <v>486</v>
      </c>
      <c r="C17" s="562"/>
      <c r="D17" s="966"/>
      <c r="E17" s="37"/>
      <c r="F17" s="37"/>
      <c r="G17" s="37"/>
      <c r="H17" s="943"/>
      <c r="I17" s="943"/>
      <c r="J17" s="73">
        <v>19.100000000000001</v>
      </c>
      <c r="K17" s="73">
        <v>27</v>
      </c>
      <c r="L17" s="73">
        <v>10.8</v>
      </c>
      <c r="M17" s="73">
        <v>10.8</v>
      </c>
      <c r="N17" s="943">
        <f>PPP!N53</f>
        <v>24.7</v>
      </c>
      <c r="O17" s="222">
        <f>PPP!O53</f>
        <v>22.137795972560305</v>
      </c>
      <c r="P17" s="213">
        <f>PPP!P53</f>
        <v>1.8499668068156667</v>
      </c>
      <c r="Q17" s="213"/>
      <c r="R17" s="213"/>
      <c r="S17" s="213"/>
      <c r="T17" s="213"/>
      <c r="U17" s="213"/>
      <c r="V17" s="213"/>
      <c r="W17" s="213"/>
      <c r="X17" s="213"/>
      <c r="Y17" s="213"/>
      <c r="Z17" s="213"/>
      <c r="AA17" s="213"/>
      <c r="AB17" s="213"/>
      <c r="AC17" s="1033"/>
    </row>
    <row r="18" spans="1:29" ht="15">
      <c r="B18" s="245" t="s">
        <v>487</v>
      </c>
      <c r="C18" s="562"/>
      <c r="D18" s="966"/>
      <c r="E18" s="37"/>
      <c r="F18" s="37"/>
      <c r="G18" s="37"/>
      <c r="H18" s="943"/>
      <c r="I18" s="943"/>
      <c r="J18" s="73">
        <v>160.9</v>
      </c>
      <c r="K18" s="73">
        <v>58.4</v>
      </c>
      <c r="L18" s="73">
        <v>34.5</v>
      </c>
      <c r="M18" s="73">
        <v>43</v>
      </c>
      <c r="N18" s="943">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33"/>
    </row>
    <row r="19" spans="1:29" ht="15">
      <c r="A19" s="120"/>
      <c r="B19" s="245" t="s">
        <v>495</v>
      </c>
      <c r="C19" s="562"/>
      <c r="D19" s="966"/>
      <c r="E19" s="37"/>
      <c r="F19" s="37"/>
      <c r="G19" s="37"/>
      <c r="H19" s="943"/>
      <c r="I19" s="943"/>
      <c r="J19" s="73"/>
      <c r="K19" s="73"/>
      <c r="L19" s="73"/>
      <c r="M19" s="73"/>
      <c r="N19" s="943">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33">
        <f t="shared" si="5"/>
        <v>4.702</v>
      </c>
    </row>
    <row r="20" spans="1:29">
      <c r="B20" s="343" t="s">
        <v>687</v>
      </c>
      <c r="C20" s="562"/>
      <c r="D20" s="967">
        <f>D54</f>
        <v>0</v>
      </c>
      <c r="E20" s="651">
        <f t="shared" ref="E20:N20" si="6">E54</f>
        <v>0</v>
      </c>
      <c r="F20" s="651">
        <f t="shared" si="6"/>
        <v>0</v>
      </c>
      <c r="G20" s="651">
        <f t="shared" si="6"/>
        <v>0</v>
      </c>
      <c r="H20" s="651">
        <f t="shared" si="6"/>
        <v>0</v>
      </c>
      <c r="I20" s="651">
        <f t="shared" si="6"/>
        <v>-2.5817500000000564</v>
      </c>
      <c r="J20" s="651">
        <f t="shared" si="6"/>
        <v>33.241249999999809</v>
      </c>
      <c r="K20" s="651">
        <f t="shared" si="6"/>
        <v>151.57324999999992</v>
      </c>
      <c r="L20" s="651">
        <f t="shared" si="6"/>
        <v>38.349249999999302</v>
      </c>
      <c r="M20" s="651">
        <f t="shared" si="6"/>
        <v>49.933249999999589</v>
      </c>
      <c r="N20" s="651">
        <f t="shared" si="6"/>
        <v>1.6026099999992311</v>
      </c>
      <c r="O20" s="504">
        <v>0</v>
      </c>
      <c r="P20" s="505">
        <v>0</v>
      </c>
      <c r="Q20" s="505">
        <v>0</v>
      </c>
      <c r="R20" s="505">
        <v>0</v>
      </c>
      <c r="S20" s="505">
        <v>0</v>
      </c>
      <c r="T20" s="505">
        <v>0</v>
      </c>
      <c r="U20" s="505">
        <v>0</v>
      </c>
      <c r="V20" s="505">
        <v>0</v>
      </c>
      <c r="W20" s="505">
        <v>0</v>
      </c>
      <c r="X20" s="505">
        <v>0</v>
      </c>
      <c r="Y20" s="505">
        <v>0</v>
      </c>
      <c r="Z20" s="505">
        <v>0</v>
      </c>
      <c r="AA20" s="505">
        <v>0</v>
      </c>
      <c r="AB20" s="505">
        <v>0</v>
      </c>
      <c r="AC20" s="1105">
        <v>0</v>
      </c>
    </row>
    <row r="21" spans="1:29" ht="30">
      <c r="B21" s="866" t="s">
        <v>489</v>
      </c>
      <c r="C21" s="562"/>
      <c r="D21" s="942">
        <f t="shared" ref="D21:N21" si="7">D12-SUM(D13:D20)</f>
        <v>1441</v>
      </c>
      <c r="E21" s="943">
        <f t="shared" si="7"/>
        <v>1501.4</v>
      </c>
      <c r="F21" s="943">
        <f t="shared" si="7"/>
        <v>1506.6</v>
      </c>
      <c r="G21" s="943">
        <f t="shared" si="7"/>
        <v>1513.6999999999998</v>
      </c>
      <c r="H21" s="943">
        <f t="shared" si="7"/>
        <v>1522.7000000000003</v>
      </c>
      <c r="I21" s="943">
        <f t="shared" si="7"/>
        <v>1569.9</v>
      </c>
      <c r="J21" s="943">
        <f t="shared" si="7"/>
        <v>1577</v>
      </c>
      <c r="K21" s="943">
        <f t="shared" si="7"/>
        <v>1584.1000000000004</v>
      </c>
      <c r="L21" s="943">
        <f t="shared" si="7"/>
        <v>1591.2000000000005</v>
      </c>
      <c r="M21" s="943">
        <f t="shared" si="7"/>
        <v>1598.3000000000006</v>
      </c>
      <c r="N21" s="943">
        <f t="shared" si="7"/>
        <v>1605.4000000000008</v>
      </c>
      <c r="O21" s="1043">
        <f>N21+($L21-$I21)/3</f>
        <v>1612.5000000000009</v>
      </c>
      <c r="P21" s="1044">
        <f>O21+($L21-$I21)/3</f>
        <v>1619.600000000001</v>
      </c>
      <c r="Q21" s="1044">
        <f>M21*E41</f>
        <v>1685.3262120071224</v>
      </c>
      <c r="R21" s="1044">
        <f>Q21+($L21-$I21)/3</f>
        <v>1692.4262120071226</v>
      </c>
      <c r="S21" s="1044">
        <f>R21+($L21-$I21)/3</f>
        <v>1699.5262120071227</v>
      </c>
      <c r="T21" s="1044">
        <f>S21+($L21-$I21)/3</f>
        <v>1706.6262120071228</v>
      </c>
      <c r="U21" s="1044">
        <f>Q21*F41</f>
        <v>1783.9785508694649</v>
      </c>
      <c r="V21" s="1044">
        <f>U21+($L21-$I21)/3</f>
        <v>1791.0785508694651</v>
      </c>
      <c r="W21" s="1044">
        <f>V21+($L21-$I21)/3</f>
        <v>1798.1785508694652</v>
      </c>
      <c r="X21" s="1044">
        <f>W21+($L21-$I21)/3</f>
        <v>1805.2785508694653</v>
      </c>
      <c r="Y21" s="1044">
        <f>U21*$G$41</f>
        <v>1878.701320206336</v>
      </c>
      <c r="Z21" s="1044">
        <f>Y21+($L21-$I21)/3</f>
        <v>1885.8013202063362</v>
      </c>
      <c r="AA21" s="1044">
        <f t="shared" ref="AA21:AC21" si="8">Z21+($L21-$I21)/3</f>
        <v>1892.9013202063363</v>
      </c>
      <c r="AB21" s="1044">
        <f t="shared" si="8"/>
        <v>1900.0013202063365</v>
      </c>
      <c r="AC21" s="1045">
        <f t="shared" si="8"/>
        <v>1907.1013202063366</v>
      </c>
    </row>
    <row r="22" spans="1:29" s="470" customFormat="1" ht="15">
      <c r="B22" s="631" t="s">
        <v>507</v>
      </c>
      <c r="C22" s="189"/>
      <c r="D22" s="968">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30">
      <c r="B23" s="259" t="s">
        <v>506</v>
      </c>
      <c r="C23" s="562"/>
      <c r="D23" s="966"/>
      <c r="E23" s="37"/>
      <c r="F23" s="37"/>
      <c r="G23" s="37"/>
      <c r="H23" s="943"/>
      <c r="I23" s="943"/>
      <c r="J23" s="943"/>
      <c r="K23" s="943"/>
      <c r="L23" s="943"/>
      <c r="M23" s="943">
        <f t="shared" ref="M23:Y23" si="11">SUM(M24:M25)</f>
        <v>0</v>
      </c>
      <c r="N23" s="943">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33">
        <f t="shared" si="12"/>
        <v>4.702</v>
      </c>
    </row>
    <row r="24" spans="1:29" s="470" customFormat="1" ht="15">
      <c r="B24" s="326" t="s">
        <v>549</v>
      </c>
      <c r="C24" s="189"/>
      <c r="D24" s="934"/>
      <c r="E24" s="935"/>
      <c r="F24" s="935"/>
      <c r="G24" s="935"/>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5">
      <c r="B25" s="326" t="s">
        <v>431</v>
      </c>
      <c r="C25" s="189"/>
      <c r="D25" s="934"/>
      <c r="E25" s="935"/>
      <c r="F25" s="935"/>
      <c r="G25" s="935"/>
      <c r="H25" s="260"/>
      <c r="I25" s="260"/>
      <c r="J25" s="260"/>
      <c r="K25" s="260"/>
      <c r="L25" s="260"/>
      <c r="M25" s="260">
        <f>'ARP Quarterly'!C4</f>
        <v>0</v>
      </c>
      <c r="N25" s="260">
        <f>'ARP Quarterly'!D4</f>
        <v>0</v>
      </c>
      <c r="O25" s="480">
        <f>'ARP Quarterly'!E4</f>
        <v>203.10400000000004</v>
      </c>
      <c r="P25" s="481">
        <f>'ARP Quarterly'!F4</f>
        <v>74.718999999999994</v>
      </c>
      <c r="Q25" s="481">
        <f>'ARP Quarterly'!G4</f>
        <v>74.718999999999994</v>
      </c>
      <c r="R25" s="481">
        <f>'ARP Quarterly'!H4</f>
        <v>74.718999999999994</v>
      </c>
      <c r="S25" s="481">
        <f>'ARP Quarterly'!I4</f>
        <v>74.718999999999994</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c r="B26" s="257"/>
      <c r="C26" s="189"/>
      <c r="D26" s="934"/>
      <c r="E26" s="935"/>
      <c r="F26" s="935"/>
      <c r="G26" s="935"/>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c r="B27" s="1491" t="s">
        <v>425</v>
      </c>
      <c r="C27" s="1488"/>
      <c r="D27" s="971"/>
      <c r="E27" s="972"/>
      <c r="F27" s="972"/>
      <c r="G27" s="972"/>
      <c r="H27" s="973"/>
      <c r="I27" s="973"/>
      <c r="J27" s="973"/>
      <c r="K27" s="973"/>
      <c r="L27" s="973"/>
      <c r="M27" s="973"/>
      <c r="N27" s="973"/>
      <c r="O27" s="929"/>
      <c r="P27" s="930"/>
      <c r="Q27" s="930"/>
      <c r="R27" s="930"/>
      <c r="S27" s="930"/>
      <c r="T27" s="930"/>
      <c r="U27" s="930"/>
      <c r="V27" s="930"/>
      <c r="W27" s="930"/>
      <c r="X27" s="930"/>
      <c r="Y27" s="930"/>
      <c r="Z27" s="930"/>
      <c r="AA27" s="930"/>
      <c r="AB27" s="930"/>
      <c r="AC27" s="1032"/>
    </row>
    <row r="28" spans="1:29">
      <c r="B28" s="212" t="s">
        <v>7</v>
      </c>
      <c r="C28" s="562" t="s">
        <v>233</v>
      </c>
      <c r="D28" s="942">
        <f>'Haver Pivoted'!GO37</f>
        <v>731.6</v>
      </c>
      <c r="E28" s="943">
        <f>'Haver Pivoted'!GP37</f>
        <v>741.5</v>
      </c>
      <c r="F28" s="943">
        <f>'Haver Pivoted'!GQ37</f>
        <v>758.6</v>
      </c>
      <c r="G28" s="943">
        <f>'Haver Pivoted'!GR37</f>
        <v>767.8</v>
      </c>
      <c r="H28" s="943">
        <f>'Haver Pivoted'!GS37</f>
        <v>767.1</v>
      </c>
      <c r="I28" s="943">
        <f>'Haver Pivoted'!GT37</f>
        <v>755.9</v>
      </c>
      <c r="J28" s="943">
        <f>'Haver Pivoted'!GU37</f>
        <v>803.8</v>
      </c>
      <c r="K28" s="943">
        <f>'Haver Pivoted'!GV37</f>
        <v>842.2</v>
      </c>
      <c r="L28" s="943">
        <f>'Haver Pivoted'!GW37</f>
        <v>831.1</v>
      </c>
      <c r="M28" s="943">
        <f>'Haver Pivoted'!GX37</f>
        <v>850</v>
      </c>
      <c r="N28" s="943">
        <f>'Haver Pivoted'!GY37</f>
        <v>890.5</v>
      </c>
      <c r="O28" s="1096">
        <f t="shared" ref="O28:Y28" si="13">O29+O30</f>
        <v>927.66404345185651</v>
      </c>
      <c r="P28" s="1097">
        <f t="shared" si="13"/>
        <v>941.48737718799373</v>
      </c>
      <c r="Q28" s="1097">
        <f t="shared" si="13"/>
        <v>955.518256174008</v>
      </c>
      <c r="R28" s="1097">
        <f t="shared" si="13"/>
        <v>969.75981602488616</v>
      </c>
      <c r="S28" s="1097">
        <f t="shared" si="13"/>
        <v>984.21523997075303</v>
      </c>
      <c r="T28" s="1097">
        <f t="shared" si="13"/>
        <v>988.68315028879317</v>
      </c>
      <c r="U28" s="1097">
        <f t="shared" si="13"/>
        <v>993.18241692535821</v>
      </c>
      <c r="V28" s="1097">
        <f t="shared" si="13"/>
        <v>997.71334902852971</v>
      </c>
      <c r="W28" s="1097">
        <f t="shared" si="13"/>
        <v>1002.2762592579029</v>
      </c>
      <c r="X28" s="1097">
        <f t="shared" si="13"/>
        <v>1038.3418194632172</v>
      </c>
      <c r="Y28" s="1097">
        <f t="shared" si="13"/>
        <v>1075.8248310688409</v>
      </c>
      <c r="Z28" s="1097">
        <f t="shared" ref="Z28:AC28" si="14">Z29+Z30</f>
        <v>1114.7826415100146</v>
      </c>
      <c r="AA28" s="1097">
        <f t="shared" si="14"/>
        <v>1155.2749389338678</v>
      </c>
      <c r="AB28" s="1097">
        <f t="shared" si="14"/>
        <v>1197.3638479888391</v>
      </c>
      <c r="AC28" s="1098">
        <f t="shared" si="14"/>
        <v>1241.1140295371251</v>
      </c>
    </row>
    <row r="29" spans="1:29">
      <c r="B29" s="217" t="s">
        <v>430</v>
      </c>
      <c r="C29" s="562"/>
      <c r="D29" s="942">
        <v>589.54899999999998</v>
      </c>
      <c r="E29" s="943">
        <v>598.78200000000004</v>
      </c>
      <c r="F29" s="943">
        <v>614.49400000000003</v>
      </c>
      <c r="G29" s="943">
        <v>622.35699999999997</v>
      </c>
      <c r="H29" s="943">
        <f>Medicaid!D25</f>
        <v>620.5</v>
      </c>
      <c r="I29" s="943">
        <f>Medicaid!E25</f>
        <v>606.20000000000005</v>
      </c>
      <c r="J29" s="943">
        <f>Medicaid!F25</f>
        <v>654.20000000000005</v>
      </c>
      <c r="K29" s="943">
        <f>Medicaid!G25</f>
        <v>690.4</v>
      </c>
      <c r="L29" s="943">
        <f>Medicaid!H25</f>
        <v>678.3</v>
      </c>
      <c r="M29" s="943">
        <f>Medicaid!I25</f>
        <v>695.9</v>
      </c>
      <c r="N29" s="943">
        <f>Medicaid!J25</f>
        <v>735.5</v>
      </c>
      <c r="O29" s="1096">
        <f>Medicaid!K25</f>
        <v>770.8</v>
      </c>
      <c r="P29" s="1097">
        <f>Medicaid!L25</f>
        <v>782.73687313595531</v>
      </c>
      <c r="Q29" s="1097">
        <f>Medicaid!M25</f>
        <v>794.85860478289123</v>
      </c>
      <c r="R29" s="1097">
        <f>Medicaid!N25</f>
        <v>807.16805772310374</v>
      </c>
      <c r="S29" s="1097">
        <f>Medicaid!O25</f>
        <v>819.66813907291714</v>
      </c>
      <c r="T29" s="1097">
        <f>Medicaid!P25</f>
        <v>822.15719167514692</v>
      </c>
      <c r="U29" s="1097">
        <f>Medicaid!Q25</f>
        <v>824.65380268127376</v>
      </c>
      <c r="V29" s="1097">
        <f>Medicaid!R25</f>
        <v>827.15799504359268</v>
      </c>
      <c r="W29" s="1097">
        <f>Medicaid!S25</f>
        <v>829.66979178409679</v>
      </c>
      <c r="X29" s="1097">
        <f>Medicaid!T25</f>
        <v>863.65957163171674</v>
      </c>
      <c r="Y29" s="1097">
        <f>Medicaid!U25</f>
        <v>899.04183936491506</v>
      </c>
      <c r="Z29" s="1097">
        <f>Medicaid!V25</f>
        <v>935.87364220553832</v>
      </c>
      <c r="AA29" s="1097">
        <f>Medicaid!W25</f>
        <v>974.21436447692884</v>
      </c>
      <c r="AB29" s="1097">
        <f>Medicaid!X25</f>
        <v>1014.1258233499268</v>
      </c>
      <c r="AC29" s="1097">
        <f>Medicaid!Y25</f>
        <v>1055.6723685113786</v>
      </c>
    </row>
    <row r="30" spans="1:29" ht="28" customHeight="1">
      <c r="B30" s="254" t="s">
        <v>445</v>
      </c>
      <c r="C30" s="189"/>
      <c r="D30" s="968">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099">
        <f t="shared" ref="AC30" si="20">AB30*(1+AVERAGE($F$31:$I$31))</f>
        <v>185.44166102574647</v>
      </c>
    </row>
    <row r="31" spans="1:29" ht="19" customHeight="1">
      <c r="B31" s="256" t="s">
        <v>444</v>
      </c>
      <c r="C31" s="562"/>
      <c r="D31" s="969"/>
      <c r="E31" s="970">
        <f t="shared" ref="E31:M31" si="21">E30/D30-1</f>
        <v>4.6954966878087756E-3</v>
      </c>
      <c r="F31" s="970">
        <f t="shared" si="21"/>
        <v>9.7254726103226385E-3</v>
      </c>
      <c r="G31" s="970">
        <f t="shared" si="21"/>
        <v>9.2778926623457991E-3</v>
      </c>
      <c r="H31" s="970">
        <f t="shared" si="21"/>
        <v>7.9550064286355582E-3</v>
      </c>
      <c r="I31" s="970">
        <f t="shared" si="21"/>
        <v>2.1145975443382703E-2</v>
      </c>
      <c r="J31" s="970">
        <f t="shared" si="21"/>
        <v>-6.6800267201083674E-4</v>
      </c>
      <c r="K31" s="970">
        <f t="shared" si="21"/>
        <v>1.4705882352942234E-2</v>
      </c>
      <c r="L31" s="970">
        <f t="shared" si="21"/>
        <v>6.5876152832673451E-3</v>
      </c>
      <c r="M31" s="970">
        <f t="shared" si="21"/>
        <v>8.5078534031410857E-3</v>
      </c>
      <c r="N31" s="970">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31">
        <f t="shared" ref="AC31" si="37">AC30/AB30-1</f>
        <v>1.2026086786171675E-2</v>
      </c>
    </row>
    <row r="32" spans="1:29">
      <c r="B32" s="1488"/>
      <c r="C32" s="1488"/>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c r="B33" s="57" t="s">
        <v>400</v>
      </c>
    </row>
    <row r="34" spans="2:29" ht="23" customHeight="1">
      <c r="B34" s="489" t="s">
        <v>657</v>
      </c>
      <c r="C34" s="485">
        <v>2020</v>
      </c>
      <c r="D34" s="485">
        <v>2021</v>
      </c>
      <c r="E34" s="485">
        <v>2022</v>
      </c>
      <c r="F34" s="485">
        <v>2023</v>
      </c>
      <c r="G34" s="486">
        <v>2024</v>
      </c>
    </row>
    <row r="35" spans="2:29" ht="23" customHeight="1">
      <c r="B35" s="490" t="s">
        <v>1057</v>
      </c>
      <c r="C35" s="487">
        <v>1090</v>
      </c>
      <c r="D35" s="487">
        <v>1129</v>
      </c>
      <c r="E35" s="487">
        <v>1203</v>
      </c>
      <c r="F35" s="487">
        <v>1281</v>
      </c>
      <c r="G35" s="488">
        <v>1358</v>
      </c>
    </row>
    <row r="36" spans="2:29">
      <c r="B36" s="490" t="s">
        <v>529</v>
      </c>
      <c r="C36" s="487">
        <v>300.51900000000001</v>
      </c>
      <c r="D36" s="487">
        <v>300.82</v>
      </c>
      <c r="E36" s="487">
        <v>307.28300000000002</v>
      </c>
      <c r="F36" s="487">
        <v>320.10899999999998</v>
      </c>
      <c r="G36" s="488">
        <v>329.596</v>
      </c>
    </row>
    <row r="37" spans="2:29">
      <c r="B37" s="490" t="s">
        <v>530</v>
      </c>
      <c r="C37" s="487">
        <v>124.39699999999999</v>
      </c>
      <c r="D37" s="487">
        <v>129.75700000000001</v>
      </c>
      <c r="E37" s="487">
        <v>133.31899999999999</v>
      </c>
      <c r="F37" s="487">
        <v>138.328</v>
      </c>
      <c r="G37" s="488">
        <v>144.351</v>
      </c>
    </row>
    <row r="38" spans="2:29">
      <c r="B38" s="490" t="s">
        <v>531</v>
      </c>
      <c r="C38" s="487">
        <v>1.976</v>
      </c>
      <c r="D38" s="487">
        <v>3.512</v>
      </c>
      <c r="E38" s="487">
        <v>4.5960000000000001</v>
      </c>
      <c r="F38" s="487">
        <v>5.24</v>
      </c>
      <c r="G38" s="488">
        <v>5.3659999999999997</v>
      </c>
    </row>
    <row r="39" spans="2:29">
      <c r="B39" s="49"/>
      <c r="C39" s="35"/>
      <c r="D39" s="35"/>
      <c r="E39" s="35"/>
      <c r="F39" s="35"/>
      <c r="G39" s="45"/>
    </row>
    <row r="40" spans="2:29">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c r="B41" s="492" t="s">
        <v>659</v>
      </c>
      <c r="C41" s="47"/>
      <c r="D41" s="388">
        <f>D40/C40</f>
        <v>1.0304550356914004</v>
      </c>
      <c r="E41" s="388">
        <f>E40/D40</f>
        <v>1.0544492348164436</v>
      </c>
      <c r="F41" s="388">
        <f>F40/E40</f>
        <v>1.0585360496736436</v>
      </c>
      <c r="G41" s="479">
        <f>G40/F40</f>
        <v>1.0530963611029436</v>
      </c>
    </row>
    <row r="45" spans="2:29">
      <c r="B45" s="57" t="s">
        <v>401</v>
      </c>
    </row>
    <row r="46" spans="2:29">
      <c r="B46" s="1400" t="s">
        <v>683</v>
      </c>
      <c r="C46" s="1401"/>
      <c r="D46" s="1412" t="s">
        <v>261</v>
      </c>
      <c r="E46" s="1413"/>
      <c r="F46" s="1413"/>
      <c r="G46" s="1413"/>
      <c r="H46" s="1413"/>
      <c r="I46" s="1413"/>
      <c r="J46" s="1413"/>
      <c r="K46" s="1413"/>
      <c r="L46" s="1413"/>
      <c r="M46" s="1413"/>
      <c r="N46" s="1414"/>
      <c r="O46" s="1398" t="s">
        <v>143</v>
      </c>
      <c r="P46" s="1447"/>
      <c r="Q46" s="1447"/>
      <c r="R46" s="1447"/>
      <c r="S46" s="1447"/>
      <c r="T46" s="1447"/>
      <c r="U46" s="1447"/>
      <c r="V46" s="1447"/>
      <c r="W46" s="1447"/>
      <c r="X46" s="1447"/>
      <c r="Y46" s="1409"/>
      <c r="Z46" s="1409"/>
      <c r="AA46" s="1409"/>
      <c r="AB46" s="1409"/>
      <c r="AC46" s="1410"/>
    </row>
    <row r="47" spans="2:29">
      <c r="B47" s="1402"/>
      <c r="C47" s="1441"/>
      <c r="D47" s="229">
        <v>2018</v>
      </c>
      <c r="E47" s="1484">
        <v>2019</v>
      </c>
      <c r="F47" s="1485"/>
      <c r="G47" s="1485"/>
      <c r="H47" s="1486"/>
      <c r="I47" s="1383">
        <v>2020</v>
      </c>
      <c r="J47" s="1436"/>
      <c r="K47" s="1436"/>
      <c r="L47" s="1487"/>
      <c r="M47" s="1383">
        <v>2021</v>
      </c>
      <c r="N47" s="1393"/>
      <c r="O47" s="1448">
        <v>2021</v>
      </c>
      <c r="P47" s="1449"/>
      <c r="Q47" s="1448">
        <v>2022</v>
      </c>
      <c r="R47" s="1452"/>
      <c r="S47" s="1452"/>
      <c r="T47" s="1452"/>
      <c r="U47" s="1448">
        <v>2023</v>
      </c>
      <c r="V47" s="1452"/>
      <c r="W47" s="1452"/>
      <c r="X47" s="1452"/>
      <c r="Y47" s="1406">
        <v>2024</v>
      </c>
      <c r="Z47" s="1411"/>
      <c r="AA47" s="1411"/>
      <c r="AB47" s="1411"/>
      <c r="AC47" s="475">
        <v>2025</v>
      </c>
    </row>
    <row r="48" spans="2:29">
      <c r="B48" s="1402"/>
      <c r="C48" s="1441"/>
      <c r="D48" s="232" t="s">
        <v>138</v>
      </c>
      <c r="E48" s="216" t="s">
        <v>135</v>
      </c>
      <c r="F48" s="201" t="s">
        <v>136</v>
      </c>
      <c r="G48" s="201" t="s">
        <v>137</v>
      </c>
      <c r="H48" s="208" t="s">
        <v>138</v>
      </c>
      <c r="I48" s="216" t="s">
        <v>135</v>
      </c>
      <c r="J48" s="201" t="s">
        <v>136</v>
      </c>
      <c r="K48" s="201" t="s">
        <v>137</v>
      </c>
      <c r="L48" s="208" t="s">
        <v>138</v>
      </c>
      <c r="M48" s="216" t="s">
        <v>135</v>
      </c>
      <c r="N48" s="208" t="s">
        <v>136</v>
      </c>
      <c r="O48" s="858" t="s">
        <v>137</v>
      </c>
      <c r="P48" s="860" t="s">
        <v>138</v>
      </c>
      <c r="Q48" s="858" t="s">
        <v>135</v>
      </c>
      <c r="R48" s="859" t="s">
        <v>136</v>
      </c>
      <c r="S48" s="859" t="s">
        <v>137</v>
      </c>
      <c r="T48" s="859" t="s">
        <v>138</v>
      </c>
      <c r="U48" s="858" t="s">
        <v>135</v>
      </c>
      <c r="V48" s="859" t="s">
        <v>136</v>
      </c>
      <c r="W48" s="859" t="s">
        <v>137</v>
      </c>
      <c r="X48" s="859" t="s">
        <v>138</v>
      </c>
      <c r="Y48" s="64" t="s">
        <v>135</v>
      </c>
      <c r="Z48" s="695" t="s">
        <v>136</v>
      </c>
      <c r="AA48" s="65" t="s">
        <v>137</v>
      </c>
      <c r="AB48" s="65" t="s">
        <v>138</v>
      </c>
      <c r="AC48" s="67" t="s">
        <v>135</v>
      </c>
    </row>
    <row r="49" spans="2:29">
      <c r="B49" s="46" t="s">
        <v>502</v>
      </c>
      <c r="C49" s="562"/>
      <c r="D49" s="700">
        <f t="shared" ref="D49:Y49" si="39">SUM(D13:D18)</f>
        <v>781.30000000000007</v>
      </c>
      <c r="E49" s="926">
        <f t="shared" si="39"/>
        <v>796.69999999999993</v>
      </c>
      <c r="F49" s="926">
        <f t="shared" si="39"/>
        <v>808.9</v>
      </c>
      <c r="G49" s="926">
        <f t="shared" si="39"/>
        <v>819.5</v>
      </c>
      <c r="H49" s="926">
        <f t="shared" si="39"/>
        <v>828.09999999999991</v>
      </c>
      <c r="I49" s="926">
        <f t="shared" si="39"/>
        <v>850.58175000000006</v>
      </c>
      <c r="J49" s="926">
        <f t="shared" si="39"/>
        <v>3156.4587499999998</v>
      </c>
      <c r="K49" s="926">
        <f t="shared" si="39"/>
        <v>1732.6267499999999</v>
      </c>
      <c r="L49" s="926">
        <f t="shared" si="39"/>
        <v>1209.5507500000001</v>
      </c>
      <c r="M49" s="926">
        <f t="shared" si="39"/>
        <v>3422.3667500000001</v>
      </c>
      <c r="N49" s="926">
        <f>SUM(N13:N19)</f>
        <v>1760.2973900000002</v>
      </c>
      <c r="O49" s="929">
        <f t="shared" si="39"/>
        <v>1243.3253542669324</v>
      </c>
      <c r="P49" s="930">
        <f t="shared" si="39"/>
        <v>945.45367410831921</v>
      </c>
      <c r="Q49" s="930">
        <f t="shared" si="39"/>
        <v>926.9507385117771</v>
      </c>
      <c r="R49" s="930">
        <f t="shared" si="39"/>
        <v>946.52847344890586</v>
      </c>
      <c r="S49" s="930">
        <f t="shared" si="39"/>
        <v>895.07923856912271</v>
      </c>
      <c r="T49" s="930">
        <f t="shared" si="39"/>
        <v>906.13059470719315</v>
      </c>
      <c r="U49" s="930">
        <f t="shared" si="39"/>
        <v>923.01077952369928</v>
      </c>
      <c r="V49" s="930">
        <f t="shared" si="39"/>
        <v>940.44490354822676</v>
      </c>
      <c r="W49" s="930">
        <f t="shared" si="39"/>
        <v>958.20415793863185</v>
      </c>
      <c r="X49" s="930">
        <f t="shared" si="39"/>
        <v>976.31010831991625</v>
      </c>
      <c r="Y49" s="930">
        <f t="shared" si="39"/>
        <v>994.6056298016963</v>
      </c>
      <c r="Z49" s="930">
        <f t="shared" ref="Z49:AC49" si="40">SUM(Z13:Z18)</f>
        <v>1013.1253683791226</v>
      </c>
      <c r="AA49" s="930">
        <f t="shared" si="40"/>
        <v>1031.8753211707983</v>
      </c>
      <c r="AB49" s="930">
        <f t="shared" si="40"/>
        <v>1051.0571158879955</v>
      </c>
      <c r="AC49" s="1032">
        <f t="shared" si="40"/>
        <v>1070.5674810736648</v>
      </c>
    </row>
    <row r="50" spans="2:29">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3196.3687142669332</v>
      </c>
      <c r="P50" s="213">
        <f t="shared" si="41"/>
        <v>2692.5296741083203</v>
      </c>
      <c r="Q50" s="213">
        <f t="shared" si="41"/>
        <v>2739.7529505188995</v>
      </c>
      <c r="R50" s="213">
        <f t="shared" si="41"/>
        <v>2766.4306854560282</v>
      </c>
      <c r="S50" s="213">
        <f t="shared" si="41"/>
        <v>2722.0814505762455</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33">
        <f t="shared" si="42"/>
        <v>2982.3708012800016</v>
      </c>
    </row>
    <row r="51" spans="2:29">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8"/>
      <c r="P51" s="859"/>
      <c r="Q51" s="859"/>
      <c r="R51" s="859"/>
      <c r="S51" s="859"/>
      <c r="T51" s="859"/>
      <c r="U51" s="859"/>
      <c r="V51" s="859"/>
      <c r="W51" s="859"/>
      <c r="X51" s="859"/>
      <c r="Y51" s="859"/>
      <c r="Z51" s="859"/>
      <c r="AA51" s="859"/>
      <c r="AB51" s="859"/>
      <c r="AC51" s="860"/>
    </row>
    <row r="52" spans="2:29">
      <c r="B52" s="966"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63">
        <f>L52+($H$52-$E$52)/3 +(M53-L53)</f>
        <v>1598.3000000000006</v>
      </c>
      <c r="N52" s="606">
        <f>M52+($H$52-$E$52)/3</f>
        <v>1605.4000000000008</v>
      </c>
      <c r="O52" s="858"/>
      <c r="P52" s="859"/>
      <c r="Q52" s="859"/>
      <c r="R52" s="859"/>
      <c r="S52" s="859"/>
      <c r="T52" s="859"/>
      <c r="U52" s="859"/>
      <c r="V52" s="859"/>
      <c r="W52" s="859"/>
      <c r="X52" s="859"/>
      <c r="Y52" s="859"/>
      <c r="Z52" s="859"/>
      <c r="AA52" s="859"/>
      <c r="AB52" s="859"/>
      <c r="AC52" s="860"/>
    </row>
    <row r="53" spans="2:29">
      <c r="B53" s="217" t="s">
        <v>528</v>
      </c>
      <c r="C53" s="562" t="s">
        <v>716</v>
      </c>
      <c r="D53" s="965">
        <f>'Haver Pivoted'!GO81</f>
        <v>0</v>
      </c>
      <c r="E53" s="964">
        <f>'Haver Pivoted'!GP81</f>
        <v>0</v>
      </c>
      <c r="F53" s="964">
        <f>'Haver Pivoted'!GQ81</f>
        <v>0</v>
      </c>
      <c r="G53" s="964">
        <f>'Haver Pivoted'!GR81</f>
        <v>0</v>
      </c>
      <c r="H53" s="964">
        <f>'Haver Pivoted'!GS81</f>
        <v>0</v>
      </c>
      <c r="I53" s="964">
        <f>'Haver Pivoted'!GT81</f>
        <v>0</v>
      </c>
      <c r="J53" s="964">
        <f>'Haver Pivoted'!GU81</f>
        <v>0</v>
      </c>
      <c r="K53" s="964">
        <f>'Haver Pivoted'!GV81</f>
        <v>0</v>
      </c>
      <c r="L53" s="964">
        <f>'Haver Pivoted'!GW81</f>
        <v>0</v>
      </c>
      <c r="M53" s="964">
        <f>'Haver Pivoted'!GX81</f>
        <v>0</v>
      </c>
      <c r="N53" s="964">
        <f>'Haver Pivoted'!GY81</f>
        <v>0</v>
      </c>
      <c r="O53" s="858"/>
      <c r="P53" s="859"/>
      <c r="Q53" s="859"/>
      <c r="R53" s="859"/>
      <c r="S53" s="859"/>
      <c r="T53" s="859"/>
      <c r="U53" s="859"/>
      <c r="V53" s="859"/>
      <c r="W53" s="859"/>
      <c r="X53" s="859"/>
      <c r="Y53" s="859"/>
      <c r="Z53" s="859"/>
      <c r="AA53" s="859"/>
      <c r="AB53" s="859"/>
      <c r="AC53" s="860"/>
    </row>
    <row r="54" spans="2:29">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39">
        <v>30</v>
      </c>
      <c r="P54" s="1040">
        <v>30</v>
      </c>
      <c r="Q54" s="1040">
        <v>30</v>
      </c>
      <c r="R54" s="1040">
        <v>25</v>
      </c>
      <c r="S54" s="1040">
        <v>20</v>
      </c>
      <c r="T54" s="1040">
        <v>15</v>
      </c>
      <c r="U54" s="65">
        <v>10</v>
      </c>
      <c r="V54" s="65">
        <v>5</v>
      </c>
      <c r="W54" s="65"/>
      <c r="X54" s="65"/>
      <c r="Y54" s="65"/>
      <c r="Z54" s="65"/>
      <c r="AA54" s="65"/>
      <c r="AB54" s="65"/>
      <c r="AC54" s="66"/>
    </row>
    <row r="55" spans="2:29" ht="39.5" customHeight="1">
      <c r="B55" s="1483" t="s">
        <v>688</v>
      </c>
      <c r="C55" s="1483"/>
      <c r="D55" s="1483"/>
      <c r="E55" s="1483"/>
      <c r="F55" s="1483"/>
      <c r="G55" s="1483"/>
      <c r="H55" s="1483"/>
      <c r="I55" s="1483"/>
      <c r="J55" s="1483"/>
      <c r="K55" s="1483"/>
      <c r="L55" s="1483"/>
      <c r="M55" s="1483"/>
      <c r="N55" s="1483"/>
      <c r="O55" s="1483"/>
      <c r="P55" s="1483"/>
      <c r="Q55" s="1483"/>
      <c r="R55" s="1483"/>
      <c r="S55" s="1483"/>
      <c r="T55" s="1483"/>
      <c r="U55" s="1483"/>
      <c r="V55" s="1483"/>
      <c r="W55" s="1483"/>
      <c r="X55" s="1483"/>
      <c r="Y55" s="1483"/>
      <c r="Z55" s="1483"/>
      <c r="AA55" s="1483"/>
      <c r="AB55" s="1483"/>
      <c r="AC55" s="1483"/>
    </row>
    <row r="56" spans="2:29">
      <c r="D56" s="48"/>
      <c r="E56" s="48"/>
      <c r="F56" s="48"/>
      <c r="G56" s="48"/>
      <c r="H56" s="48"/>
      <c r="I56" s="48"/>
      <c r="J56" s="48"/>
      <c r="K56" s="48"/>
      <c r="L56" s="48"/>
      <c r="M56" s="48"/>
      <c r="N56" s="389"/>
      <c r="O56" s="389"/>
      <c r="P56" s="389"/>
      <c r="Q56" s="389"/>
      <c r="R56" s="389"/>
      <c r="S56" s="389"/>
      <c r="T56" s="389"/>
      <c r="U56" s="389"/>
      <c r="V56" s="389"/>
      <c r="W56" s="389"/>
      <c r="X56" s="389"/>
      <c r="Y56" s="389"/>
    </row>
    <row r="57" spans="2:29">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c r="B58" s="1482" t="s">
        <v>1073</v>
      </c>
      <c r="C58" s="1482"/>
      <c r="D58" s="1482"/>
      <c r="E58" s="1482"/>
      <c r="F58" s="1482"/>
      <c r="G58" s="1482"/>
      <c r="H58" s="1482"/>
      <c r="I58" s="1482"/>
      <c r="J58" s="1482"/>
      <c r="K58" s="1482"/>
      <c r="L58" s="1482"/>
      <c r="M58" s="1482"/>
      <c r="N58" s="1482"/>
      <c r="O58" s="1482"/>
      <c r="P58" s="1482"/>
      <c r="Q58" s="1482"/>
      <c r="R58" s="1482"/>
      <c r="S58" s="1482"/>
      <c r="T58" s="1482"/>
      <c r="U58" s="1482"/>
      <c r="V58" s="1482"/>
      <c r="W58" s="1482"/>
      <c r="X58" s="1482"/>
      <c r="Y58" s="1482"/>
      <c r="Z58" s="1482"/>
      <c r="AA58" s="1482"/>
      <c r="AB58" s="1482"/>
      <c r="AC58" s="1482"/>
    </row>
    <row r="59" spans="2:29" ht="14.5" customHeight="1">
      <c r="B59" s="1402" t="s">
        <v>685</v>
      </c>
      <c r="C59" s="1403"/>
      <c r="D59" s="1412" t="s">
        <v>261</v>
      </c>
      <c r="E59" s="1413"/>
      <c r="F59" s="1413"/>
      <c r="G59" s="1413"/>
      <c r="H59" s="1413"/>
      <c r="I59" s="1413"/>
      <c r="J59" s="1413"/>
      <c r="K59" s="1413"/>
      <c r="L59" s="1413"/>
      <c r="M59" s="1413"/>
      <c r="N59" s="1414"/>
      <c r="O59" s="1398" t="s">
        <v>143</v>
      </c>
      <c r="P59" s="1447"/>
      <c r="Q59" s="1447"/>
      <c r="R59" s="1447"/>
      <c r="S59" s="1447"/>
      <c r="T59" s="1447"/>
      <c r="U59" s="1447"/>
      <c r="V59" s="1447"/>
      <c r="W59" s="1447"/>
      <c r="X59" s="1447"/>
      <c r="Y59" s="1409"/>
      <c r="Z59" s="1409"/>
      <c r="AA59" s="1409"/>
      <c r="AB59" s="1409"/>
      <c r="AC59" s="1410"/>
    </row>
    <row r="60" spans="2:29">
      <c r="B60" s="1402"/>
      <c r="C60" s="1403"/>
      <c r="D60" s="229">
        <v>2018</v>
      </c>
      <c r="E60" s="1484">
        <v>2019</v>
      </c>
      <c r="F60" s="1485"/>
      <c r="G60" s="1485"/>
      <c r="H60" s="1486"/>
      <c r="I60" s="1383">
        <v>2020</v>
      </c>
      <c r="J60" s="1436"/>
      <c r="K60" s="1436"/>
      <c r="L60" s="1487"/>
      <c r="M60" s="1383">
        <v>2021</v>
      </c>
      <c r="N60" s="1393"/>
      <c r="O60" s="1448">
        <v>2021</v>
      </c>
      <c r="P60" s="1449"/>
      <c r="Q60" s="1448">
        <v>2022</v>
      </c>
      <c r="R60" s="1452"/>
      <c r="S60" s="1452"/>
      <c r="T60" s="1452"/>
      <c r="U60" s="1448">
        <v>2023</v>
      </c>
      <c r="V60" s="1452"/>
      <c r="W60" s="1452"/>
      <c r="X60" s="1452"/>
      <c r="Y60" s="1406">
        <v>2024</v>
      </c>
      <c r="Z60" s="1411"/>
      <c r="AA60" s="1411"/>
      <c r="AB60" s="1411"/>
      <c r="AC60" s="475">
        <v>2025</v>
      </c>
    </row>
    <row r="61" spans="2:29">
      <c r="B61" s="1404"/>
      <c r="C61" s="1405"/>
      <c r="D61" s="232" t="s">
        <v>138</v>
      </c>
      <c r="E61" s="216" t="s">
        <v>135</v>
      </c>
      <c r="F61" s="201" t="s">
        <v>136</v>
      </c>
      <c r="G61" s="201" t="s">
        <v>137</v>
      </c>
      <c r="H61" s="208" t="s">
        <v>138</v>
      </c>
      <c r="I61" s="216" t="s">
        <v>135</v>
      </c>
      <c r="J61" s="201" t="s">
        <v>136</v>
      </c>
      <c r="K61" s="201" t="s">
        <v>137</v>
      </c>
      <c r="L61" s="208" t="s">
        <v>138</v>
      </c>
      <c r="M61" s="216" t="s">
        <v>135</v>
      </c>
      <c r="N61" s="208" t="s">
        <v>136</v>
      </c>
      <c r="O61" s="858" t="s">
        <v>137</v>
      </c>
      <c r="P61" s="860" t="s">
        <v>138</v>
      </c>
      <c r="Q61" s="858" t="s">
        <v>135</v>
      </c>
      <c r="R61" s="859" t="s">
        <v>136</v>
      </c>
      <c r="S61" s="859" t="s">
        <v>137</v>
      </c>
      <c r="T61" s="859" t="s">
        <v>138</v>
      </c>
      <c r="U61" s="858" t="s">
        <v>135</v>
      </c>
      <c r="V61" s="859" t="s">
        <v>136</v>
      </c>
      <c r="W61" s="859" t="s">
        <v>137</v>
      </c>
      <c r="X61" s="859" t="s">
        <v>138</v>
      </c>
      <c r="Y61" s="64" t="s">
        <v>135</v>
      </c>
      <c r="Z61" s="695" t="s">
        <v>136</v>
      </c>
      <c r="AA61" s="65" t="s">
        <v>137</v>
      </c>
      <c r="AB61" s="65" t="s">
        <v>138</v>
      </c>
      <c r="AC61" s="67" t="s">
        <v>135</v>
      </c>
    </row>
    <row r="62" spans="2:29">
      <c r="B62" s="46" t="s">
        <v>496</v>
      </c>
      <c r="C62" s="35"/>
      <c r="D62" s="962"/>
      <c r="E62" s="927"/>
      <c r="F62" s="927"/>
      <c r="G62" s="927"/>
      <c r="H62" s="927"/>
      <c r="I62" s="926">
        <f>(I63-AVERAGE($E63:$H63))</f>
        <v>2.5817499999999995</v>
      </c>
      <c r="J62" s="926">
        <f t="shared" ref="J62:N62" si="47">(J63-AVERAGE($E63:$H63))</f>
        <v>37.358750000000001</v>
      </c>
      <c r="K62" s="926">
        <f t="shared" si="47"/>
        <v>38.026749999999993</v>
      </c>
      <c r="L62" s="926">
        <f t="shared" si="47"/>
        <v>38.350750000000005</v>
      </c>
      <c r="M62" s="926">
        <f t="shared" si="47"/>
        <v>54.966750000000005</v>
      </c>
      <c r="N62" s="926">
        <f t="shared" si="47"/>
        <v>69.648749999999993</v>
      </c>
      <c r="O62" s="929">
        <v>80</v>
      </c>
      <c r="P62" s="813">
        <v>50</v>
      </c>
      <c r="Q62" s="813">
        <v>25</v>
      </c>
      <c r="R62" s="930">
        <v>20</v>
      </c>
      <c r="S62" s="930">
        <v>5</v>
      </c>
      <c r="T62" s="930">
        <v>0</v>
      </c>
      <c r="U62" s="813"/>
      <c r="V62" s="813"/>
      <c r="W62" s="813"/>
      <c r="X62" s="813"/>
      <c r="Y62" s="813"/>
      <c r="Z62" s="861"/>
      <c r="AA62" s="861"/>
      <c r="AB62" s="861"/>
      <c r="AC62" s="862"/>
    </row>
    <row r="63" spans="2:29">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09"/>
      <c r="P63" s="810"/>
      <c r="Q63" s="810"/>
      <c r="R63" s="810"/>
      <c r="S63" s="810"/>
      <c r="T63" s="810"/>
      <c r="U63" s="810"/>
      <c r="V63" s="810"/>
      <c r="W63" s="810"/>
      <c r="X63" s="810"/>
      <c r="Y63" s="810"/>
      <c r="Z63" s="859"/>
      <c r="AA63" s="859"/>
      <c r="AB63" s="859"/>
      <c r="AC63" s="860"/>
    </row>
    <row r="64" spans="2:29">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70.181999999999988</v>
      </c>
      <c r="O64" s="64"/>
      <c r="P64" s="65"/>
      <c r="Q64" s="65"/>
      <c r="R64" s="65"/>
      <c r="S64" s="65"/>
      <c r="T64" s="65"/>
      <c r="U64" s="65"/>
      <c r="V64" s="65"/>
      <c r="W64" s="65"/>
      <c r="X64" s="65"/>
      <c r="Y64" s="65"/>
      <c r="Z64" s="65"/>
      <c r="AA64" s="65"/>
      <c r="AB64" s="65"/>
      <c r="AC64" s="66"/>
    </row>
    <row r="65" spans="2:25" ht="14" customHeight="1">
      <c r="B65" s="855"/>
      <c r="C65" s="855"/>
      <c r="D65" s="961"/>
      <c r="E65" s="961"/>
      <c r="F65" s="961"/>
      <c r="G65" s="961"/>
      <c r="H65" s="961"/>
      <c r="I65" s="961"/>
      <c r="J65" s="961"/>
      <c r="K65" s="961"/>
      <c r="L65" s="961"/>
      <c r="M65" s="961"/>
      <c r="N65" s="961"/>
      <c r="O65" s="961"/>
      <c r="P65" s="961"/>
      <c r="Q65" s="961"/>
      <c r="R65" s="961"/>
      <c r="S65" s="961"/>
      <c r="T65" s="961"/>
      <c r="U65" s="961"/>
      <c r="V65" s="961"/>
      <c r="W65" s="961"/>
      <c r="X65" s="961"/>
      <c r="Y65" s="961"/>
    </row>
    <row r="66" spans="2:25" ht="14" customHeight="1">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c r="B68" s="120"/>
      <c r="C68" s="37"/>
      <c r="D68" s="609"/>
      <c r="E68" s="609"/>
      <c r="F68" s="609"/>
      <c r="G68" s="609"/>
      <c r="H68" s="609"/>
      <c r="I68" s="609"/>
      <c r="J68" s="609"/>
      <c r="K68" s="609"/>
      <c r="L68" s="609"/>
      <c r="M68" s="609"/>
      <c r="N68" s="609"/>
      <c r="O68" s="609"/>
      <c r="P68" s="607"/>
      <c r="Q68" s="37"/>
    </row>
    <row r="69" spans="2:25" ht="15">
      <c r="B69" s="1172"/>
      <c r="C69" s="37"/>
      <c r="D69" s="1084"/>
      <c r="E69" s="560"/>
      <c r="F69" s="560"/>
      <c r="G69" s="560"/>
      <c r="H69" s="560"/>
      <c r="I69" s="560"/>
      <c r="J69" s="560"/>
      <c r="K69" s="560"/>
      <c r="L69" s="560"/>
      <c r="M69" s="560"/>
      <c r="N69" s="560"/>
      <c r="O69" s="607"/>
      <c r="P69" s="607"/>
      <c r="Q69" s="37"/>
    </row>
    <row r="70" spans="2:25" ht="15">
      <c r="B70" s="299"/>
      <c r="C70" s="37"/>
      <c r="D70" s="1084"/>
      <c r="E70" s="560"/>
      <c r="F70" s="560"/>
      <c r="G70" s="560"/>
      <c r="H70" s="560"/>
      <c r="I70" s="560"/>
      <c r="J70" s="560"/>
      <c r="K70" s="560"/>
      <c r="L70" s="560"/>
      <c r="M70" s="560"/>
      <c r="N70" s="560"/>
      <c r="O70" s="37"/>
      <c r="P70" s="37"/>
      <c r="Q70" s="37"/>
    </row>
    <row r="71" spans="2:25" ht="15">
      <c r="B71" s="299"/>
      <c r="C71" s="37"/>
      <c r="D71" s="1084"/>
      <c r="E71" s="560"/>
      <c r="F71" s="560"/>
      <c r="G71" s="560"/>
      <c r="H71" s="560"/>
      <c r="I71" s="560"/>
      <c r="J71" s="560"/>
      <c r="K71" s="560"/>
      <c r="L71" s="560"/>
      <c r="M71" s="560"/>
      <c r="N71" s="560"/>
      <c r="O71" s="37"/>
      <c r="P71" s="37"/>
      <c r="Q71" s="37"/>
    </row>
    <row r="72" spans="2:25" ht="14" customHeight="1">
      <c r="B72" s="299"/>
      <c r="C72" s="608"/>
      <c r="D72" s="1084"/>
      <c r="E72" s="560"/>
      <c r="F72" s="560"/>
      <c r="G72" s="560"/>
      <c r="H72" s="560"/>
      <c r="I72" s="560"/>
      <c r="J72" s="560"/>
      <c r="K72" s="560"/>
      <c r="L72" s="560"/>
      <c r="M72" s="560"/>
      <c r="N72" s="560"/>
      <c r="O72" s="608"/>
      <c r="P72" s="608"/>
      <c r="Q72" s="608"/>
      <c r="R72" s="26"/>
      <c r="S72" s="26"/>
      <c r="T72" s="26"/>
      <c r="U72" s="26"/>
      <c r="V72" s="26"/>
      <c r="W72" s="26"/>
      <c r="X72" s="26"/>
    </row>
    <row r="73" spans="2:25" ht="14" customHeight="1">
      <c r="B73" s="299"/>
      <c r="C73" s="608"/>
      <c r="D73" s="1084"/>
      <c r="E73" s="560"/>
      <c r="F73" s="560"/>
      <c r="G73" s="560"/>
      <c r="H73" s="560"/>
      <c r="I73" s="560"/>
      <c r="J73" s="560"/>
      <c r="K73" s="560"/>
      <c r="L73" s="560"/>
      <c r="M73" s="560"/>
      <c r="N73" s="560"/>
      <c r="O73" s="608"/>
      <c r="P73" s="608"/>
      <c r="Q73" s="608"/>
      <c r="R73" s="26"/>
      <c r="S73" s="26"/>
      <c r="T73" s="26"/>
      <c r="U73" s="26"/>
      <c r="V73" s="26"/>
      <c r="W73" s="26"/>
      <c r="X73" s="26"/>
    </row>
    <row r="74" spans="2:25" ht="14" customHeight="1">
      <c r="B74" s="299"/>
      <c r="C74" s="608"/>
      <c r="D74" s="1084"/>
      <c r="E74" s="560"/>
      <c r="F74" s="560"/>
      <c r="G74" s="560"/>
      <c r="H74" s="560"/>
      <c r="I74" s="560"/>
      <c r="J74" s="560"/>
      <c r="K74" s="560"/>
      <c r="L74" s="560"/>
      <c r="M74" s="560"/>
      <c r="N74" s="560"/>
      <c r="O74" s="608"/>
      <c r="P74" s="608"/>
      <c r="Q74" s="608"/>
      <c r="R74" s="26"/>
      <c r="S74" s="26"/>
      <c r="T74" s="26"/>
      <c r="U74" s="26"/>
      <c r="V74" s="26"/>
      <c r="W74" s="26"/>
      <c r="X74" s="26"/>
    </row>
    <row r="75" spans="2:25" ht="15">
      <c r="B75" s="299"/>
      <c r="C75" s="37"/>
      <c r="D75" s="1084"/>
      <c r="E75" s="560"/>
      <c r="F75" s="560"/>
      <c r="G75" s="560"/>
      <c r="H75" s="560"/>
      <c r="I75" s="560"/>
      <c r="J75" s="560"/>
      <c r="K75" s="560"/>
      <c r="L75" s="560"/>
      <c r="M75" s="560"/>
      <c r="N75" s="560"/>
      <c r="O75" s="37"/>
      <c r="P75" s="37"/>
      <c r="Q75" s="37"/>
    </row>
    <row r="76" spans="2:25" ht="15">
      <c r="B76" s="299"/>
      <c r="D76" s="1084"/>
      <c r="E76" s="560"/>
      <c r="F76" s="560"/>
      <c r="G76" s="560"/>
      <c r="H76" s="560"/>
      <c r="I76" s="560"/>
      <c r="J76" s="560"/>
      <c r="K76" s="560"/>
      <c r="L76" s="560"/>
      <c r="M76" s="560"/>
      <c r="N76" s="560"/>
    </row>
    <row r="77" spans="2:25" ht="15">
      <c r="B77" s="299"/>
      <c r="D77" s="1084"/>
      <c r="E77" s="560"/>
      <c r="F77" s="560"/>
      <c r="G77" s="560"/>
      <c r="H77" s="560"/>
      <c r="I77" s="560"/>
      <c r="J77" s="560"/>
      <c r="K77" s="560"/>
      <c r="L77" s="560"/>
      <c r="M77" s="560"/>
      <c r="N77" s="560"/>
    </row>
    <row r="78" spans="2:25" ht="15">
      <c r="B78" s="299"/>
      <c r="D78" s="1084"/>
      <c r="E78" s="560"/>
      <c r="F78" s="560"/>
      <c r="G78" s="560"/>
      <c r="H78" s="560"/>
      <c r="I78" s="560"/>
      <c r="J78" s="560"/>
      <c r="K78" s="560"/>
      <c r="L78" s="560"/>
      <c r="M78" s="560"/>
      <c r="N78" s="560"/>
    </row>
    <row r="79" spans="2:25" ht="15">
      <c r="B79" s="299"/>
      <c r="D79" s="1084"/>
      <c r="E79" s="560"/>
      <c r="F79" s="560"/>
      <c r="G79" s="560"/>
      <c r="H79" s="560"/>
      <c r="I79" s="560"/>
      <c r="J79" s="560"/>
      <c r="K79" s="560"/>
      <c r="L79" s="560"/>
      <c r="M79" s="560"/>
      <c r="N79" s="560"/>
    </row>
    <row r="80" spans="2:25" ht="15">
      <c r="B80" s="299"/>
      <c r="D80" s="1084"/>
      <c r="E80" s="560"/>
      <c r="F80" s="560"/>
      <c r="G80" s="560"/>
      <c r="H80" s="560"/>
      <c r="I80" s="560"/>
      <c r="J80" s="560"/>
      <c r="K80" s="560"/>
      <c r="L80" s="560"/>
      <c r="M80" s="560"/>
      <c r="N80" s="560"/>
    </row>
    <row r="81" spans="2:14" ht="15">
      <c r="B81" s="299"/>
      <c r="D81" s="1084"/>
      <c r="E81" s="560"/>
      <c r="F81" s="560"/>
      <c r="G81" s="560"/>
      <c r="H81" s="560"/>
      <c r="I81" s="560"/>
      <c r="J81" s="560"/>
      <c r="K81" s="560"/>
      <c r="L81" s="560"/>
      <c r="M81" s="560"/>
      <c r="N81" s="560"/>
    </row>
    <row r="82" spans="2:14" ht="15">
      <c r="B82" s="299"/>
      <c r="D82" s="1084"/>
      <c r="E82" s="560"/>
      <c r="F82" s="560"/>
      <c r="G82" s="560"/>
      <c r="H82" s="560"/>
      <c r="I82" s="560"/>
      <c r="J82" s="560"/>
      <c r="K82" s="560"/>
      <c r="L82" s="560"/>
      <c r="M82" s="560"/>
      <c r="N82" s="560"/>
    </row>
    <row r="83" spans="2:14" ht="15">
      <c r="B83" s="299"/>
      <c r="D83" s="1084"/>
      <c r="E83" s="560"/>
      <c r="F83" s="560"/>
      <c r="G83" s="560"/>
      <c r="H83" s="560"/>
      <c r="I83" s="560"/>
      <c r="J83" s="560"/>
      <c r="K83" s="560"/>
      <c r="L83" s="560"/>
      <c r="M83" s="560"/>
      <c r="N83" s="560"/>
    </row>
    <row r="84" spans="2:14" ht="15">
      <c r="B84" s="299"/>
      <c r="D84" s="1084"/>
      <c r="E84" s="560"/>
      <c r="F84" s="560"/>
      <c r="G84" s="560"/>
      <c r="H84" s="560"/>
      <c r="I84" s="560"/>
      <c r="J84" s="560"/>
      <c r="K84" s="560"/>
      <c r="L84" s="560"/>
      <c r="M84" s="560"/>
      <c r="N84" s="560"/>
    </row>
    <row r="85" spans="2:14">
      <c r="B85" s="120"/>
    </row>
    <row r="86" spans="2:14">
      <c r="B86" s="120"/>
    </row>
    <row r="87" spans="2:14">
      <c r="B87" s="120"/>
      <c r="J87" s="763"/>
      <c r="K87" s="763"/>
      <c r="L87" s="763"/>
      <c r="M87" s="763"/>
      <c r="N87" s="763"/>
    </row>
    <row r="91" spans="2:14">
      <c r="C91" s="37"/>
      <c r="D91" s="609"/>
      <c r="E91" s="609"/>
      <c r="F91" s="609"/>
      <c r="G91" s="609"/>
      <c r="H91" s="609"/>
      <c r="I91" s="609"/>
      <c r="J91" s="609"/>
      <c r="K91" s="609"/>
      <c r="L91" s="609"/>
      <c r="M91" s="609"/>
      <c r="N91" s="609"/>
    </row>
    <row r="92" spans="2:14" ht="15">
      <c r="B92" s="1083"/>
      <c r="C92" s="37"/>
      <c r="D92" s="1084"/>
      <c r="E92" s="560"/>
      <c r="F92" s="560"/>
      <c r="G92" s="560"/>
      <c r="H92" s="560"/>
      <c r="I92" s="560"/>
      <c r="J92" s="560"/>
      <c r="K92" s="560"/>
      <c r="L92" s="560"/>
      <c r="M92" s="560"/>
      <c r="N92" s="560"/>
    </row>
    <row r="93" spans="2:14" ht="15">
      <c r="B93" s="560"/>
      <c r="C93" s="37"/>
      <c r="D93" s="1084"/>
      <c r="E93" s="560"/>
      <c r="F93" s="560"/>
      <c r="G93" s="560"/>
      <c r="H93" s="560"/>
      <c r="I93" s="560"/>
      <c r="J93" s="560"/>
      <c r="K93" s="560"/>
      <c r="L93" s="560"/>
      <c r="M93" s="560"/>
      <c r="N93" s="560"/>
    </row>
    <row r="94" spans="2:14" ht="15">
      <c r="B94" s="560"/>
      <c r="C94" s="37"/>
      <c r="D94" s="1084"/>
      <c r="E94" s="560"/>
      <c r="F94" s="560"/>
      <c r="G94" s="560"/>
      <c r="H94" s="560"/>
      <c r="I94" s="560"/>
      <c r="J94" s="560"/>
      <c r="K94" s="560"/>
      <c r="L94" s="560"/>
      <c r="M94" s="560"/>
      <c r="N94" s="560"/>
    </row>
    <row r="95" spans="2:14" ht="15">
      <c r="B95" s="560"/>
      <c r="C95" s="608"/>
      <c r="D95" s="1084"/>
      <c r="E95" s="560"/>
      <c r="F95" s="560"/>
      <c r="G95" s="560"/>
      <c r="H95" s="560"/>
      <c r="I95" s="560"/>
      <c r="J95" s="560"/>
      <c r="K95" s="560"/>
      <c r="L95" s="560"/>
      <c r="M95" s="560"/>
      <c r="N95" s="560"/>
    </row>
    <row r="96" spans="2:14" ht="15">
      <c r="B96" s="560"/>
      <c r="C96" s="608"/>
      <c r="D96" s="1084"/>
      <c r="E96" s="560"/>
      <c r="F96" s="560"/>
      <c r="G96" s="560"/>
      <c r="H96" s="560"/>
      <c r="I96" s="560"/>
      <c r="J96" s="560"/>
      <c r="K96" s="560"/>
      <c r="L96" s="560"/>
      <c r="M96" s="560"/>
      <c r="N96" s="560"/>
    </row>
    <row r="97" spans="2:14" ht="15">
      <c r="B97" s="560"/>
      <c r="C97" s="608"/>
      <c r="D97" s="1084"/>
      <c r="E97" s="560"/>
      <c r="F97" s="560"/>
      <c r="G97" s="560"/>
      <c r="H97" s="560"/>
      <c r="I97" s="560"/>
      <c r="J97" s="560"/>
      <c r="K97" s="560"/>
      <c r="L97" s="560"/>
      <c r="M97" s="560"/>
      <c r="N97" s="560"/>
    </row>
    <row r="98" spans="2:14" ht="15">
      <c r="B98" s="560"/>
      <c r="C98" s="37"/>
      <c r="D98" s="1084"/>
      <c r="E98" s="560"/>
      <c r="F98" s="560"/>
      <c r="G98" s="560"/>
      <c r="H98" s="560"/>
      <c r="I98" s="560"/>
      <c r="J98" s="560"/>
      <c r="K98" s="560"/>
      <c r="L98" s="560"/>
      <c r="M98" s="560"/>
      <c r="N98" s="560"/>
    </row>
    <row r="99" spans="2:14" ht="15">
      <c r="B99" s="560"/>
      <c r="D99" s="1084"/>
      <c r="E99" s="560"/>
      <c r="F99" s="560"/>
      <c r="G99" s="560"/>
      <c r="H99" s="560"/>
      <c r="I99" s="560"/>
      <c r="J99" s="560"/>
      <c r="K99" s="560"/>
      <c r="L99" s="560"/>
      <c r="M99" s="560"/>
      <c r="N99" s="560"/>
    </row>
    <row r="100" spans="2:14" ht="15">
      <c r="B100" s="560"/>
      <c r="D100" s="1084"/>
      <c r="E100" s="560"/>
      <c r="F100" s="560"/>
      <c r="G100" s="560"/>
      <c r="H100" s="560"/>
      <c r="I100" s="560"/>
      <c r="J100" s="560"/>
      <c r="K100" s="560"/>
      <c r="L100" s="560"/>
      <c r="M100" s="560"/>
      <c r="N100" s="560"/>
    </row>
    <row r="101" spans="2:14" ht="15">
      <c r="B101" s="560"/>
      <c r="D101" s="1084"/>
      <c r="E101" s="560"/>
      <c r="F101" s="560"/>
      <c r="G101" s="560"/>
      <c r="H101" s="560"/>
      <c r="I101" s="560"/>
      <c r="J101" s="560"/>
      <c r="K101" s="560"/>
      <c r="L101" s="560"/>
      <c r="M101" s="560"/>
      <c r="N101" s="560"/>
    </row>
    <row r="102" spans="2:14" ht="15">
      <c r="B102" s="560"/>
      <c r="D102" s="1084"/>
      <c r="E102" s="560"/>
      <c r="F102" s="560"/>
      <c r="G102" s="560"/>
      <c r="H102" s="560"/>
      <c r="I102" s="560"/>
      <c r="J102" s="560"/>
      <c r="K102" s="560"/>
      <c r="L102" s="560"/>
      <c r="M102" s="560"/>
      <c r="N102" s="560"/>
    </row>
    <row r="103" spans="2:14" ht="15">
      <c r="B103" s="560"/>
      <c r="D103" s="1084"/>
      <c r="E103" s="560"/>
      <c r="F103" s="560"/>
      <c r="G103" s="560"/>
      <c r="H103" s="560"/>
      <c r="I103" s="560"/>
      <c r="J103" s="560"/>
      <c r="K103" s="560"/>
      <c r="L103" s="560"/>
      <c r="M103" s="560"/>
      <c r="N103" s="560"/>
    </row>
    <row r="104" spans="2:14" ht="15">
      <c r="B104" s="560"/>
      <c r="D104" s="1084"/>
      <c r="E104" s="560"/>
      <c r="F104" s="560"/>
      <c r="G104" s="560"/>
      <c r="H104" s="560"/>
      <c r="I104" s="560"/>
      <c r="J104" s="560"/>
      <c r="K104" s="560"/>
      <c r="L104" s="560"/>
      <c r="M104" s="560"/>
      <c r="N104" s="560"/>
    </row>
    <row r="105" spans="2:14" ht="15">
      <c r="B105" s="560"/>
      <c r="D105" s="1084"/>
      <c r="E105" s="560"/>
      <c r="F105" s="560"/>
      <c r="G105" s="560"/>
      <c r="H105" s="560"/>
      <c r="I105" s="560"/>
      <c r="J105" s="560"/>
      <c r="K105" s="560"/>
      <c r="L105" s="560"/>
      <c r="M105" s="560"/>
      <c r="N105" s="560"/>
    </row>
    <row r="106" spans="2:14" ht="15">
      <c r="B106" s="560"/>
      <c r="D106" s="1084"/>
      <c r="E106" s="560"/>
      <c r="F106" s="560"/>
      <c r="G106" s="560"/>
      <c r="H106" s="560"/>
      <c r="I106" s="560"/>
      <c r="J106" s="560"/>
      <c r="K106" s="560"/>
      <c r="L106" s="560"/>
      <c r="M106" s="560"/>
      <c r="N106" s="560"/>
    </row>
    <row r="107" spans="2:14" ht="15">
      <c r="B107" s="560"/>
      <c r="D107" s="1084"/>
      <c r="E107" s="560"/>
      <c r="F107" s="560"/>
      <c r="G107" s="560"/>
      <c r="H107" s="560"/>
      <c r="I107" s="560"/>
      <c r="J107" s="560"/>
      <c r="K107" s="560"/>
      <c r="L107" s="560"/>
      <c r="M107" s="560"/>
      <c r="N107" s="560"/>
    </row>
    <row r="108" spans="2:14" ht="15">
      <c r="E108" s="560"/>
      <c r="F108" s="560"/>
      <c r="G108" s="560"/>
      <c r="H108" s="560"/>
      <c r="I108" s="560"/>
      <c r="J108" s="560"/>
      <c r="K108" s="560"/>
      <c r="L108" s="560"/>
      <c r="M108" s="560"/>
      <c r="N108" s="560"/>
    </row>
    <row r="109" spans="2:14" ht="15">
      <c r="E109" s="560"/>
      <c r="F109" s="560"/>
      <c r="G109" s="560"/>
      <c r="H109" s="560"/>
      <c r="I109" s="560"/>
      <c r="J109" s="560"/>
      <c r="K109" s="560"/>
      <c r="L109" s="560"/>
      <c r="M109" s="560"/>
      <c r="N109" s="560"/>
    </row>
    <row r="110" spans="2:14" ht="15">
      <c r="E110" s="560"/>
      <c r="F110" s="560"/>
      <c r="G110" s="560"/>
      <c r="H110" s="560"/>
      <c r="I110" s="560"/>
      <c r="J110" s="560"/>
      <c r="K110" s="560"/>
      <c r="L110" s="560"/>
      <c r="M110" s="560"/>
      <c r="N110" s="560"/>
    </row>
    <row r="111" spans="2:14" ht="15">
      <c r="E111" s="560"/>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baseColWidth="10" defaultColWidth="10.83203125" defaultRowHeight="14"/>
  <cols>
    <col min="1" max="2" width="0" style="302" hidden="1" customWidth="1"/>
    <col min="3" max="3" width="10.83203125" style="302"/>
    <col min="4" max="4" width="45.1640625" style="302" customWidth="1"/>
    <col min="5" max="5" width="11.1640625" style="302" bestFit="1" customWidth="1"/>
    <col min="6" max="12" width="10.83203125" style="302"/>
    <col min="13" max="13" width="12.5" style="302" customWidth="1"/>
    <col min="14" max="14" width="13.5" style="302" customWidth="1"/>
    <col min="15" max="15" width="13.33203125" style="302" customWidth="1"/>
    <col min="16" max="16" width="8.33203125" style="302" customWidth="1"/>
    <col min="17" max="16384" width="10.83203125" style="302"/>
  </cols>
  <sheetData>
    <row r="1" spans="4:56">
      <c r="D1" s="1382" t="s">
        <v>582</v>
      </c>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4:56" ht="14" customHeight="1">
      <c r="D2" s="1380" t="s">
        <v>1216</v>
      </c>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4:56" ht="28.5" customHeight="1">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4:56">
      <c r="D4" s="1265" t="s">
        <v>399</v>
      </c>
    </row>
    <row r="5" spans="4:56">
      <c r="D5" s="1400" t="s">
        <v>292</v>
      </c>
      <c r="E5" s="1401"/>
      <c r="F5" s="1493" t="s">
        <v>261</v>
      </c>
      <c r="G5" s="1494"/>
      <c r="H5" s="1494"/>
      <c r="I5" s="1494"/>
      <c r="J5" s="1494"/>
      <c r="K5" s="1494"/>
      <c r="L5" s="1494"/>
      <c r="M5" s="1494"/>
      <c r="N5" s="1495"/>
      <c r="O5" s="1398" t="s">
        <v>143</v>
      </c>
      <c r="P5" s="1447"/>
      <c r="Q5" s="1447"/>
      <c r="R5" s="1447"/>
      <c r="S5" s="1447"/>
      <c r="T5" s="1447"/>
      <c r="U5" s="1447"/>
      <c r="V5" s="1447"/>
      <c r="W5" s="1447"/>
      <c r="X5" s="1447"/>
      <c r="Y5" s="1409"/>
      <c r="Z5" s="1409"/>
      <c r="AA5" s="1409"/>
      <c r="AB5" s="1409"/>
      <c r="AC5" s="1410"/>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c r="D6" s="1402"/>
      <c r="E6" s="1441"/>
      <c r="F6" s="1383">
        <v>2019</v>
      </c>
      <c r="G6" s="1436"/>
      <c r="H6" s="1393"/>
      <c r="I6" s="1436">
        <v>2020</v>
      </c>
      <c r="J6" s="1436"/>
      <c r="K6" s="1436"/>
      <c r="L6" s="1393"/>
      <c r="M6" s="1383">
        <v>2021</v>
      </c>
      <c r="N6" s="1393"/>
      <c r="O6" s="1448">
        <v>2021</v>
      </c>
      <c r="P6" s="1502"/>
      <c r="Q6" s="1448">
        <v>2022</v>
      </c>
      <c r="R6" s="1452"/>
      <c r="S6" s="1452"/>
      <c r="T6" s="1452"/>
      <c r="U6" s="1448">
        <v>2023</v>
      </c>
      <c r="V6" s="1452"/>
      <c r="W6" s="1452"/>
      <c r="X6" s="1452"/>
      <c r="Y6" s="1406">
        <v>2024</v>
      </c>
      <c r="Z6" s="1411"/>
      <c r="AA6" s="1411"/>
      <c r="AB6" s="1411"/>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c r="D7" s="1404"/>
      <c r="E7" s="1442"/>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ht="15">
      <c r="D8" s="386" t="s">
        <v>145</v>
      </c>
      <c r="E8" s="821"/>
      <c r="F8" s="1266"/>
      <c r="G8" s="1267"/>
      <c r="H8" s="1268"/>
      <c r="I8" s="1268"/>
      <c r="J8" s="1268"/>
      <c r="K8" s="1268"/>
      <c r="L8" s="1268"/>
      <c r="M8" s="1268"/>
      <c r="N8" s="1269"/>
      <c r="O8" s="1205"/>
      <c r="P8" s="463"/>
      <c r="Q8" s="464"/>
      <c r="R8" s="464"/>
      <c r="S8" s="463"/>
      <c r="T8" s="464"/>
      <c r="U8" s="464"/>
      <c r="V8" s="464"/>
      <c r="W8" s="463"/>
      <c r="X8" s="464"/>
      <c r="Y8" s="464"/>
      <c r="Z8" s="464"/>
      <c r="AA8" s="464"/>
      <c r="AB8" s="464"/>
      <c r="AC8" s="1206"/>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5">
      <c r="D9" s="106" t="s">
        <v>641</v>
      </c>
      <c r="E9" s="951"/>
      <c r="F9" s="1270">
        <f t="shared" ref="F9:X9" si="0">SUM(F10:F12)</f>
        <v>3273.3999999999996</v>
      </c>
      <c r="G9" s="957">
        <f t="shared" si="0"/>
        <v>3290</v>
      </c>
      <c r="H9" s="957">
        <f t="shared" si="0"/>
        <v>3332.9</v>
      </c>
      <c r="I9" s="957">
        <f t="shared" si="0"/>
        <v>3380.8</v>
      </c>
      <c r="J9" s="957">
        <f t="shared" si="0"/>
        <v>3111.4</v>
      </c>
      <c r="K9" s="957">
        <f t="shared" si="0"/>
        <v>3257.3</v>
      </c>
      <c r="L9" s="957">
        <f t="shared" si="0"/>
        <v>3379.5</v>
      </c>
      <c r="M9" s="957">
        <f t="shared" si="0"/>
        <v>3536</v>
      </c>
      <c r="N9" s="1201">
        <f t="shared" si="0"/>
        <v>3646.9</v>
      </c>
      <c r="O9" s="1207">
        <f t="shared" si="0"/>
        <v>3702.7279180746473</v>
      </c>
      <c r="P9" s="472">
        <f t="shared" si="0"/>
        <v>3753.1986685626935</v>
      </c>
      <c r="Q9" s="472">
        <f t="shared" si="0"/>
        <v>3789.474466066139</v>
      </c>
      <c r="R9" s="472">
        <f t="shared" si="0"/>
        <v>3839.6232913716235</v>
      </c>
      <c r="S9" s="472">
        <f t="shared" si="0"/>
        <v>3885.73396048325</v>
      </c>
      <c r="T9" s="472">
        <f t="shared" si="0"/>
        <v>3928.7228259014305</v>
      </c>
      <c r="U9" s="472">
        <f t="shared" si="0"/>
        <v>3963.2082474974463</v>
      </c>
      <c r="V9" s="472">
        <f t="shared" si="0"/>
        <v>4002.0105959242255</v>
      </c>
      <c r="W9" s="472">
        <f t="shared" si="0"/>
        <v>4040.4862419569254</v>
      </c>
      <c r="X9" s="472">
        <f t="shared" si="0"/>
        <v>4078.1458539417649</v>
      </c>
      <c r="Y9" s="472">
        <f t="shared" ref="Y9" si="1">SUM(Y10:Y12)</f>
        <v>4114.5364253800335</v>
      </c>
      <c r="Z9" s="472">
        <f t="shared" ref="Z9" si="2">SUM(Z10:Z12)</f>
        <v>4150.5791355082993</v>
      </c>
      <c r="AA9" s="472">
        <f t="shared" ref="AA9" si="3">SUM(AA10:AA12)</f>
        <v>4188.264463641015</v>
      </c>
      <c r="AB9" s="472">
        <f t="shared" ref="AB9" si="4">SUM(AB10:AB12)</f>
        <v>4225.9780741350496</v>
      </c>
      <c r="AC9" s="1208">
        <f t="shared" ref="AC9" si="5">SUM(AC10:AC12)</f>
        <v>4264.7804553946153</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ht="15">
      <c r="D10" s="195" t="s">
        <v>575</v>
      </c>
      <c r="E10" s="362" t="s">
        <v>223</v>
      </c>
      <c r="F10" s="1271">
        <f>'Haver Pivoted'!GQ27</f>
        <v>1701.9</v>
      </c>
      <c r="G10" s="958">
        <f>'Haver Pivoted'!GR27</f>
        <v>1707.8</v>
      </c>
      <c r="H10" s="958">
        <f>'Haver Pivoted'!GS27</f>
        <v>1728.6</v>
      </c>
      <c r="I10" s="958">
        <f>'Haver Pivoted'!GT27</f>
        <v>1737.9</v>
      </c>
      <c r="J10" s="958">
        <f>'Haver Pivoted'!GU27</f>
        <v>1581.5</v>
      </c>
      <c r="K10" s="958">
        <f>'Haver Pivoted'!GV27</f>
        <v>1662.2</v>
      </c>
      <c r="L10" s="958">
        <f>'Haver Pivoted'!GW27</f>
        <v>1736.9</v>
      </c>
      <c r="M10" s="958">
        <f>'Haver Pivoted'!GX27</f>
        <v>1851.9</v>
      </c>
      <c r="N10" s="1202">
        <f>'Haver Pivoted'!GY27</f>
        <v>1927.2</v>
      </c>
      <c r="O10" s="1209">
        <f>N10*O71/N71</f>
        <v>1945.038516966476</v>
      </c>
      <c r="P10" s="1094">
        <f t="shared" ref="P10" si="6">O10*P71/O71</f>
        <v>1967.7521565821751</v>
      </c>
      <c r="Q10" s="1094">
        <f>Q71*I63</f>
        <v>2006.4113595057511</v>
      </c>
      <c r="R10" s="1094">
        <f t="shared" ref="R10:T10" si="7">Q10*R71/Q71</f>
        <v>2034.3828708312194</v>
      </c>
      <c r="S10" s="1094">
        <f t="shared" si="7"/>
        <v>2060.0894323458206</v>
      </c>
      <c r="T10" s="1094">
        <f t="shared" si="7"/>
        <v>2083.9642311718512</v>
      </c>
      <c r="U10" s="1094">
        <f>U71*J63</f>
        <v>2106.4775847563756</v>
      </c>
      <c r="V10" s="1094">
        <f t="shared" ref="V10:X10" si="8">U10*V71/U71</f>
        <v>2128.3102157201483</v>
      </c>
      <c r="W10" s="1094">
        <f t="shared" si="8"/>
        <v>2149.4992543879371</v>
      </c>
      <c r="X10" s="1094">
        <f t="shared" si="8"/>
        <v>2169.661020737135</v>
      </c>
      <c r="Y10" s="1094">
        <f>Y71*K63</f>
        <v>2189.6866425621829</v>
      </c>
      <c r="Z10" s="1094">
        <f t="shared" ref="Z10:AB10" si="9">Y10*Z71/Y71</f>
        <v>2208.6107314191036</v>
      </c>
      <c r="AA10" s="1094">
        <f t="shared" si="9"/>
        <v>2228.7353674435335</v>
      </c>
      <c r="AB10" s="465">
        <f t="shared" si="9"/>
        <v>2249.2189299407237</v>
      </c>
      <c r="AC10" s="1210">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ht="15">
      <c r="D11" s="195" t="s">
        <v>574</v>
      </c>
      <c r="E11" s="117" t="s">
        <v>226</v>
      </c>
      <c r="F11" s="1271">
        <f>'Haver Pivoted'!GQ30</f>
        <v>1399.3</v>
      </c>
      <c r="G11" s="958">
        <f>'Haver Pivoted'!GR30</f>
        <v>1406.9</v>
      </c>
      <c r="H11" s="958">
        <f>'Haver Pivoted'!GS30</f>
        <v>1426.4</v>
      </c>
      <c r="I11" s="958">
        <f>'Haver Pivoted'!GT30</f>
        <v>1457.1</v>
      </c>
      <c r="J11" s="958">
        <f>'Haver Pivoted'!GU30</f>
        <v>1391.6</v>
      </c>
      <c r="K11" s="958">
        <f>'Haver Pivoted'!GV30</f>
        <v>1443.8</v>
      </c>
      <c r="L11" s="958">
        <f>'Haver Pivoted'!GW30</f>
        <v>1486</v>
      </c>
      <c r="M11" s="958">
        <f>'Haver Pivoted'!GX30</f>
        <v>1517.9</v>
      </c>
      <c r="N11" s="1202">
        <f>'Haver Pivoted'!GY30</f>
        <v>1542.1</v>
      </c>
      <c r="O11" s="1209">
        <f t="shared" ref="O11:P13" si="10">N11*O74/N74</f>
        <v>1576.9716080402011</v>
      </c>
      <c r="P11" s="1094">
        <f t="shared" si="10"/>
        <v>1602.0791658291459</v>
      </c>
      <c r="Q11" s="1094">
        <f>Q74*I64</f>
        <v>1605.7542807198761</v>
      </c>
      <c r="R11" s="1094">
        <f t="shared" ref="R11:T13" si="11">Q11*R74/Q74</f>
        <v>1625.6653887410114</v>
      </c>
      <c r="S11" s="1094">
        <f t="shared" si="11"/>
        <v>1643.5853859600331</v>
      </c>
      <c r="T11" s="1094">
        <f t="shared" si="11"/>
        <v>1660.4332465933016</v>
      </c>
      <c r="U11" s="1094">
        <f>U74*J64</f>
        <v>1676.0558082714233</v>
      </c>
      <c r="V11" s="1094">
        <f t="shared" ref="V11:X13" si="12">U11*V74/U74</f>
        <v>1691.2188828413648</v>
      </c>
      <c r="W11" s="1094">
        <f t="shared" si="12"/>
        <v>1706.6882821500931</v>
      </c>
      <c r="X11" s="1094">
        <f t="shared" si="12"/>
        <v>1722.4640061976081</v>
      </c>
      <c r="Y11" s="1094">
        <f>Y74*K64</f>
        <v>1737.2135423701877</v>
      </c>
      <c r="Z11" s="1094">
        <f t="shared" ref="Z11:AB13" si="13">Y11*Z74/Y74</f>
        <v>1752.6829416789158</v>
      </c>
      <c r="AA11" s="1094">
        <f t="shared" si="13"/>
        <v>1768.5352469111274</v>
      </c>
      <c r="AB11" s="465">
        <f t="shared" si="13"/>
        <v>1784.1731248261883</v>
      </c>
      <c r="AC11" s="1210">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ht="15">
      <c r="D12" s="195" t="s">
        <v>572</v>
      </c>
      <c r="E12" s="362" t="s">
        <v>224</v>
      </c>
      <c r="F12" s="1271">
        <f>'Haver Pivoted'!GQ28</f>
        <v>172.2</v>
      </c>
      <c r="G12" s="958">
        <f>'Haver Pivoted'!GR28</f>
        <v>175.3</v>
      </c>
      <c r="H12" s="958">
        <f>'Haver Pivoted'!GS28</f>
        <v>177.9</v>
      </c>
      <c r="I12" s="958">
        <f>'Haver Pivoted'!GT28</f>
        <v>185.8</v>
      </c>
      <c r="J12" s="958">
        <f>'Haver Pivoted'!GU28</f>
        <v>138.30000000000001</v>
      </c>
      <c r="K12" s="958">
        <f>'Haver Pivoted'!GV28</f>
        <v>151.30000000000001</v>
      </c>
      <c r="L12" s="958">
        <f>'Haver Pivoted'!GW28</f>
        <v>156.6</v>
      </c>
      <c r="M12" s="958">
        <f>'Haver Pivoted'!GX28</f>
        <v>166.2</v>
      </c>
      <c r="N12" s="1202">
        <f>'Haver Pivoted'!GY28</f>
        <v>177.6</v>
      </c>
      <c r="O12" s="1209">
        <f t="shared" si="10"/>
        <v>180.71779306796989</v>
      </c>
      <c r="P12" s="1094">
        <f t="shared" si="10"/>
        <v>183.36734615137289</v>
      </c>
      <c r="Q12" s="1094">
        <f>Q75*I65</f>
        <v>177.30882584051193</v>
      </c>
      <c r="R12" s="1094">
        <f t="shared" si="11"/>
        <v>179.57503179939275</v>
      </c>
      <c r="S12" s="1094">
        <f t="shared" si="11"/>
        <v>182.05914217739672</v>
      </c>
      <c r="T12" s="1094">
        <f t="shared" si="11"/>
        <v>184.32534813627754</v>
      </c>
      <c r="U12" s="1094">
        <f>U75*J65</f>
        <v>180.67485446964741</v>
      </c>
      <c r="V12" s="1094">
        <f t="shared" si="12"/>
        <v>182.48149736271273</v>
      </c>
      <c r="W12" s="1094">
        <f t="shared" si="12"/>
        <v>184.29870541889539</v>
      </c>
      <c r="X12" s="1094">
        <f t="shared" si="12"/>
        <v>186.02082700702198</v>
      </c>
      <c r="Y12" s="1094">
        <f>Y75*K65</f>
        <v>187.63624044766337</v>
      </c>
      <c r="Z12" s="1094">
        <f t="shared" si="13"/>
        <v>189.28546241028027</v>
      </c>
      <c r="AA12" s="1094">
        <f t="shared" si="13"/>
        <v>190.99384928635433</v>
      </c>
      <c r="AB12" s="465">
        <f t="shared" si="13"/>
        <v>192.58601936813761</v>
      </c>
      <c r="AC12" s="1210">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5">
      <c r="D13" s="106" t="s">
        <v>642</v>
      </c>
      <c r="E13" s="952" t="s">
        <v>225</v>
      </c>
      <c r="F13" s="1272">
        <f>'Haver Pivoted'!GQ29</f>
        <v>218.9</v>
      </c>
      <c r="G13" s="739">
        <f>'Haver Pivoted'!GR29</f>
        <v>206.5</v>
      </c>
      <c r="H13" s="739">
        <f>'Haver Pivoted'!GS29</f>
        <v>231.4</v>
      </c>
      <c r="I13" s="739">
        <f>'Haver Pivoted'!GT29</f>
        <v>166.7</v>
      </c>
      <c r="J13" s="739">
        <f>'Haver Pivoted'!GU29</f>
        <v>167.4</v>
      </c>
      <c r="K13" s="739">
        <f>'Haver Pivoted'!GV29</f>
        <v>211.7</v>
      </c>
      <c r="L13" s="739">
        <f>'Haver Pivoted'!GW29</f>
        <v>225.1</v>
      </c>
      <c r="M13" s="739">
        <f>'Haver Pivoted'!GX29</f>
        <v>246.4</v>
      </c>
      <c r="N13" s="1203">
        <f>'Haver Pivoted'!GY29</f>
        <v>261.2</v>
      </c>
      <c r="O13" s="1209">
        <f t="shared" si="10"/>
        <v>275.36144578313252</v>
      </c>
      <c r="P13" s="1094">
        <f t="shared" si="10"/>
        <v>278.50843373493979</v>
      </c>
      <c r="Q13" s="1094">
        <f>Q76*I66</f>
        <v>331.9957125021694</v>
      </c>
      <c r="R13" s="1094">
        <f t="shared" si="11"/>
        <v>337.72752744381148</v>
      </c>
      <c r="S13" s="1094">
        <f t="shared" si="11"/>
        <v>339.30096683955634</v>
      </c>
      <c r="T13" s="1094">
        <f t="shared" si="11"/>
        <v>339.07618978302133</v>
      </c>
      <c r="U13" s="1094">
        <f>U76*J66</f>
        <v>337.39036185900898</v>
      </c>
      <c r="V13" s="1094">
        <f t="shared" si="12"/>
        <v>334.46826012405421</v>
      </c>
      <c r="W13" s="1094">
        <f t="shared" si="12"/>
        <v>332.67004367177435</v>
      </c>
      <c r="X13" s="1094">
        <f t="shared" si="12"/>
        <v>332.67004367177435</v>
      </c>
      <c r="Y13" s="1094">
        <f>Y76*K66</f>
        <v>332.1755341473974</v>
      </c>
      <c r="Z13" s="1094">
        <f t="shared" si="13"/>
        <v>333.80516780727601</v>
      </c>
      <c r="AA13" s="1094">
        <f t="shared" si="13"/>
        <v>335.18754670496617</v>
      </c>
      <c r="AB13" s="465">
        <f t="shared" si="13"/>
        <v>337.08691283268678</v>
      </c>
      <c r="AC13" s="1210">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c r="D14" s="386"/>
      <c r="E14" s="821"/>
      <c r="F14" s="949"/>
      <c r="G14" s="955"/>
      <c r="H14" s="956"/>
      <c r="I14" s="956"/>
      <c r="J14" s="956"/>
      <c r="K14" s="956"/>
      <c r="L14" s="956"/>
      <c r="M14" s="956"/>
      <c r="N14" s="1204"/>
      <c r="O14" s="1211"/>
      <c r="P14" s="466"/>
      <c r="Q14" s="467"/>
      <c r="R14" s="466"/>
      <c r="S14" s="466"/>
      <c r="T14" s="467"/>
      <c r="U14" s="468"/>
      <c r="V14" s="466"/>
      <c r="W14" s="466"/>
      <c r="X14" s="466"/>
      <c r="Y14" s="466"/>
      <c r="Z14" s="466"/>
      <c r="AA14" s="466"/>
      <c r="AB14" s="466"/>
      <c r="AC14" s="1212"/>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c r="D15" s="387" t="s">
        <v>425</v>
      </c>
      <c r="E15" s="117"/>
      <c r="F15" s="959"/>
      <c r="G15" s="956"/>
      <c r="H15" s="955"/>
      <c r="I15" s="955"/>
      <c r="J15" s="955"/>
      <c r="K15" s="955"/>
      <c r="L15" s="955"/>
      <c r="M15" s="955"/>
      <c r="N15" s="1204"/>
      <c r="O15" s="1213"/>
      <c r="P15" s="464"/>
      <c r="Q15" s="464"/>
      <c r="R15" s="464"/>
      <c r="S15" s="464"/>
      <c r="T15" s="464"/>
      <c r="U15" s="464"/>
      <c r="V15" s="464"/>
      <c r="W15" s="464"/>
      <c r="X15" s="464"/>
      <c r="Y15" s="464"/>
      <c r="Z15" s="464"/>
      <c r="AA15" s="464"/>
      <c r="AB15" s="464"/>
      <c r="AC15" s="1206"/>
    </row>
    <row r="16" spans="4:56" s="470" customFormat="1">
      <c r="D16" s="454" t="s">
        <v>641</v>
      </c>
      <c r="E16" s="953"/>
      <c r="F16" s="1272">
        <f t="shared" ref="F16:X16" si="14">SUM(F17:F19)</f>
        <v>1890.1</v>
      </c>
      <c r="G16" s="739">
        <f t="shared" si="14"/>
        <v>1889.7999999999997</v>
      </c>
      <c r="H16" s="739">
        <f t="shared" si="14"/>
        <v>1893.3000000000002</v>
      </c>
      <c r="I16" s="739">
        <f t="shared" si="14"/>
        <v>1915.1999999999998</v>
      </c>
      <c r="J16" s="739">
        <f t="shared" si="14"/>
        <v>1858.8000000000002</v>
      </c>
      <c r="K16" s="739">
        <f t="shared" si="14"/>
        <v>1932.2</v>
      </c>
      <c r="L16" s="739">
        <f t="shared" si="14"/>
        <v>1943.7</v>
      </c>
      <c r="M16" s="739">
        <f t="shared" si="14"/>
        <v>1995.3000000000002</v>
      </c>
      <c r="N16" s="1203">
        <f t="shared" si="14"/>
        <v>2107.7999999999997</v>
      </c>
      <c r="O16" s="1214">
        <f t="shared" si="14"/>
        <v>2164.4482919103875</v>
      </c>
      <c r="P16" s="471">
        <f t="shared" si="14"/>
        <v>2194.3223121532637</v>
      </c>
      <c r="Q16" s="471">
        <f t="shared" si="14"/>
        <v>2224.5413720016322</v>
      </c>
      <c r="R16" s="471">
        <f t="shared" si="14"/>
        <v>2253.7176920087013</v>
      </c>
      <c r="S16" s="471">
        <f t="shared" si="14"/>
        <v>2284.0426377976205</v>
      </c>
      <c r="T16" s="471">
        <f t="shared" si="14"/>
        <v>2311.8513323667312</v>
      </c>
      <c r="U16" s="471">
        <f t="shared" si="14"/>
        <v>2336.816532152634</v>
      </c>
      <c r="V16" s="471">
        <f t="shared" si="14"/>
        <v>2360.4098395562496</v>
      </c>
      <c r="W16" s="471">
        <f t="shared" si="14"/>
        <v>2383.8947046963863</v>
      </c>
      <c r="X16" s="471">
        <f t="shared" si="14"/>
        <v>2406.1925927068878</v>
      </c>
      <c r="Y16" s="471">
        <f t="shared" ref="Y16" si="15">SUM(Y17:Y19)</f>
        <v>2427.4681701856962</v>
      </c>
      <c r="Z16" s="471">
        <f t="shared" ref="Z16" si="16">SUM(Z17:Z19)</f>
        <v>2448.7029333186206</v>
      </c>
      <c r="AA16" s="471">
        <f t="shared" ref="AA16" si="17">SUM(AA17:AA19)</f>
        <v>2470.8658012154724</v>
      </c>
      <c r="AB16" s="471">
        <f t="shared" ref="AB16" si="18">SUM(AB17:AB19)</f>
        <v>2492.091879620777</v>
      </c>
      <c r="AC16" s="1215">
        <f t="shared" ref="AC16" si="19">SUM(AC17:AC19)</f>
        <v>2514.7144630554176</v>
      </c>
    </row>
    <row r="17" spans="4:40" ht="15">
      <c r="D17" s="195" t="s">
        <v>573</v>
      </c>
      <c r="E17" s="117" t="s">
        <v>229</v>
      </c>
      <c r="F17" s="1271">
        <f>'Haver Pivoted'!GQ33</f>
        <v>520.9</v>
      </c>
      <c r="G17" s="958">
        <f>'Haver Pivoted'!GR33</f>
        <v>497.4</v>
      </c>
      <c r="H17" s="958">
        <f>'Haver Pivoted'!GS33</f>
        <v>494.7</v>
      </c>
      <c r="I17" s="958">
        <f>'Haver Pivoted'!GT33</f>
        <v>503.8</v>
      </c>
      <c r="J17" s="958">
        <f>'Haver Pivoted'!GU33</f>
        <v>517.5</v>
      </c>
      <c r="K17" s="958">
        <f>'Haver Pivoted'!GV33</f>
        <v>519.6</v>
      </c>
      <c r="L17" s="958">
        <f>'Haver Pivoted'!GW33</f>
        <v>522.79999999999995</v>
      </c>
      <c r="M17" s="958">
        <f>'Haver Pivoted'!GX33</f>
        <v>560.20000000000005</v>
      </c>
      <c r="N17" s="1202">
        <f>'Haver Pivoted'!GY33</f>
        <v>623.29999999999995</v>
      </c>
      <c r="O17" s="1216">
        <f t="shared" ref="O17:AC17" si="20">O96*O71</f>
        <v>632.43468284193159</v>
      </c>
      <c r="P17" s="469">
        <f t="shared" si="20"/>
        <v>639.82008592841873</v>
      </c>
      <c r="Q17" s="469">
        <f t="shared" si="20"/>
        <v>648.91874241383073</v>
      </c>
      <c r="R17" s="469">
        <f t="shared" si="20"/>
        <v>657.96536082871478</v>
      </c>
      <c r="S17" s="469">
        <f t="shared" si="20"/>
        <v>666.27944332770323</v>
      </c>
      <c r="T17" s="469">
        <f t="shared" si="20"/>
        <v>674.00109240837196</v>
      </c>
      <c r="U17" s="469">
        <f t="shared" si="20"/>
        <v>681.28241935380288</v>
      </c>
      <c r="V17" s="469">
        <f t="shared" si="20"/>
        <v>688.34358523161507</v>
      </c>
      <c r="W17" s="469">
        <f t="shared" si="20"/>
        <v>695.1965988273148</v>
      </c>
      <c r="X17" s="469">
        <f t="shared" si="20"/>
        <v>701.71736935733509</v>
      </c>
      <c r="Y17" s="469">
        <f t="shared" si="20"/>
        <v>708.19410767383181</v>
      </c>
      <c r="Z17" s="469">
        <f t="shared" si="20"/>
        <v>714.31458535363595</v>
      </c>
      <c r="AA17" s="469">
        <f t="shared" si="20"/>
        <v>720.82334709814995</v>
      </c>
      <c r="AB17" s="469">
        <f t="shared" si="20"/>
        <v>727.44819376922646</v>
      </c>
      <c r="AC17" s="1217">
        <f t="shared" si="20"/>
        <v>734.38126593496929</v>
      </c>
    </row>
    <row r="18" spans="4:40" ht="15">
      <c r="D18" s="195" t="s">
        <v>574</v>
      </c>
      <c r="E18" s="117" t="s">
        <v>232</v>
      </c>
      <c r="F18" s="1271">
        <f>'Haver Pivoted'!GQ36</f>
        <v>20.5</v>
      </c>
      <c r="G18" s="958">
        <f>'Haver Pivoted'!GR36</f>
        <v>20.3</v>
      </c>
      <c r="H18" s="958">
        <f>'Haver Pivoted'!GS36</f>
        <v>20.2</v>
      </c>
      <c r="I18" s="958">
        <f>'Haver Pivoted'!GT36</f>
        <v>20.100000000000001</v>
      </c>
      <c r="J18" s="958">
        <f>'Haver Pivoted'!GU36</f>
        <v>19.100000000000001</v>
      </c>
      <c r="K18" s="958">
        <f>'Haver Pivoted'!GV36</f>
        <v>19.899999999999999</v>
      </c>
      <c r="L18" s="958">
        <f>'Haver Pivoted'!GW36</f>
        <v>20.5</v>
      </c>
      <c r="M18" s="958">
        <f>'Haver Pivoted'!GX36</f>
        <v>21.2</v>
      </c>
      <c r="N18" s="1202">
        <f>'Haver Pivoted'!GY36</f>
        <v>21.9</v>
      </c>
      <c r="O18" s="1216">
        <f t="shared" ref="O18:AC18" si="21">O97*O74</f>
        <v>21.701292779476194</v>
      </c>
      <c r="P18" s="469">
        <f t="shared" si="21"/>
        <v>22.046807219798076</v>
      </c>
      <c r="Q18" s="469">
        <f t="shared" si="21"/>
        <v>22.360329582312374</v>
      </c>
      <c r="R18" s="469">
        <f t="shared" si="21"/>
        <v>22.63759425664475</v>
      </c>
      <c r="S18" s="469">
        <f t="shared" si="21"/>
        <v>22.887132463543885</v>
      </c>
      <c r="T18" s="469">
        <f t="shared" si="21"/>
        <v>23.121741034132818</v>
      </c>
      <c r="U18" s="469">
        <f t="shared" si="21"/>
        <v>23.339287163224373</v>
      </c>
      <c r="V18" s="469">
        <f t="shared" si="21"/>
        <v>23.550434876754409</v>
      </c>
      <c r="W18" s="469">
        <f t="shared" si="21"/>
        <v>23.765848200658795</v>
      </c>
      <c r="X18" s="469">
        <f t="shared" si="21"/>
        <v>23.98552713493752</v>
      </c>
      <c r="Y18" s="469">
        <f t="shared" si="21"/>
        <v>24.190916274462193</v>
      </c>
      <c r="Z18" s="469">
        <f t="shared" si="21"/>
        <v>24.406329598366575</v>
      </c>
      <c r="AA18" s="469">
        <f t="shared" si="21"/>
        <v>24.627074935238888</v>
      </c>
      <c r="AB18" s="469">
        <f t="shared" si="21"/>
        <v>24.844834344849161</v>
      </c>
      <c r="AC18" s="1217">
        <f t="shared" si="21"/>
        <v>25.062807034978153</v>
      </c>
    </row>
    <row r="19" spans="4:40" ht="15">
      <c r="D19" s="195" t="s">
        <v>572</v>
      </c>
      <c r="E19" s="117" t="s">
        <v>230</v>
      </c>
      <c r="F19" s="1271">
        <f>'Haver Pivoted'!GQ34</f>
        <v>1348.7</v>
      </c>
      <c r="G19" s="958">
        <f>'Haver Pivoted'!GR34</f>
        <v>1372.1</v>
      </c>
      <c r="H19" s="958">
        <f>'Haver Pivoted'!GS34</f>
        <v>1378.4</v>
      </c>
      <c r="I19" s="958">
        <f>'Haver Pivoted'!GT34</f>
        <v>1391.3</v>
      </c>
      <c r="J19" s="958">
        <f>'Haver Pivoted'!GU34</f>
        <v>1322.2</v>
      </c>
      <c r="K19" s="958">
        <f>'Haver Pivoted'!GV34</f>
        <v>1392.7</v>
      </c>
      <c r="L19" s="958">
        <f>'Haver Pivoted'!GW34</f>
        <v>1400.4</v>
      </c>
      <c r="M19" s="958">
        <f>'Haver Pivoted'!GX34</f>
        <v>1413.9</v>
      </c>
      <c r="N19" s="1202">
        <f>'Haver Pivoted'!GY34</f>
        <v>1462.6</v>
      </c>
      <c r="O19" s="1216">
        <f t="shared" ref="O19:AC19" si="22">O98*O75</f>
        <v>1510.3123162889797</v>
      </c>
      <c r="P19" s="469">
        <f t="shared" si="22"/>
        <v>1532.4554190050467</v>
      </c>
      <c r="Q19" s="469">
        <f t="shared" si="22"/>
        <v>1553.2623000054889</v>
      </c>
      <c r="R19" s="469">
        <f t="shared" si="22"/>
        <v>1573.114736923342</v>
      </c>
      <c r="S19" s="469">
        <f t="shared" si="22"/>
        <v>1594.8760620063733</v>
      </c>
      <c r="T19" s="469">
        <f t="shared" si="22"/>
        <v>1614.7284989242264</v>
      </c>
      <c r="U19" s="469">
        <f t="shared" si="22"/>
        <v>1632.1948256356068</v>
      </c>
      <c r="V19" s="469">
        <f t="shared" si="22"/>
        <v>1648.5158194478804</v>
      </c>
      <c r="W19" s="469">
        <f t="shared" si="22"/>
        <v>1664.9322576684126</v>
      </c>
      <c r="X19" s="469">
        <f t="shared" si="22"/>
        <v>1680.4896962146149</v>
      </c>
      <c r="Y19" s="469">
        <f t="shared" si="22"/>
        <v>1695.0831462374022</v>
      </c>
      <c r="Z19" s="469">
        <f t="shared" si="22"/>
        <v>1709.9820183666179</v>
      </c>
      <c r="AA19" s="469">
        <f t="shared" si="22"/>
        <v>1725.4153791820836</v>
      </c>
      <c r="AB19" s="469">
        <f t="shared" si="22"/>
        <v>1739.7988515067013</v>
      </c>
      <c r="AC19" s="1217">
        <f t="shared" si="22"/>
        <v>1755.2703900854704</v>
      </c>
    </row>
    <row r="20" spans="4:40" s="470" customFormat="1" ht="15">
      <c r="D20" s="474" t="s">
        <v>642</v>
      </c>
      <c r="E20" s="954" t="s">
        <v>231</v>
      </c>
      <c r="F20" s="1273">
        <f>'Haver Pivoted'!GQ35</f>
        <v>72.8</v>
      </c>
      <c r="G20" s="950">
        <f>'Haver Pivoted'!GR35</f>
        <v>73.099999999999994</v>
      </c>
      <c r="H20" s="950">
        <f>'Haver Pivoted'!GS35</f>
        <v>72.400000000000006</v>
      </c>
      <c r="I20" s="950">
        <f>'Haver Pivoted'!GT35</f>
        <v>66.5</v>
      </c>
      <c r="J20" s="950">
        <f>'Haver Pivoted'!GU35</f>
        <v>61.9</v>
      </c>
      <c r="K20" s="950">
        <f>'Haver Pivoted'!GV35</f>
        <v>76.8</v>
      </c>
      <c r="L20" s="950">
        <f>'Haver Pivoted'!GW35</f>
        <v>78.8</v>
      </c>
      <c r="M20" s="950">
        <f>'Haver Pivoted'!GX35</f>
        <v>85.5</v>
      </c>
      <c r="N20" s="960">
        <f>'Haver Pivoted'!GY35</f>
        <v>90.6</v>
      </c>
      <c r="O20" s="1218">
        <f t="shared" ref="O20:AC20" si="23">O99*O76</f>
        <v>119.87954743783622</v>
      </c>
      <c r="P20" s="1219">
        <f t="shared" si="23"/>
        <v>121.24959940855436</v>
      </c>
      <c r="Q20" s="1219">
        <f t="shared" si="23"/>
        <v>119.03333886768679</v>
      </c>
      <c r="R20" s="1219">
        <f t="shared" si="23"/>
        <v>121.08841682376399</v>
      </c>
      <c r="S20" s="1219">
        <f t="shared" si="23"/>
        <v>121.65255587053028</v>
      </c>
      <c r="T20" s="1219">
        <f t="shared" si="23"/>
        <v>121.57196457813509</v>
      </c>
      <c r="U20" s="1219">
        <f t="shared" si="23"/>
        <v>120.96752988517122</v>
      </c>
      <c r="V20" s="1219">
        <f t="shared" si="23"/>
        <v>119.91984308403381</v>
      </c>
      <c r="W20" s="1219">
        <f t="shared" si="23"/>
        <v>119.27511274487235</v>
      </c>
      <c r="X20" s="1219">
        <f t="shared" si="23"/>
        <v>119.27511274487235</v>
      </c>
      <c r="Y20" s="1219">
        <f t="shared" si="23"/>
        <v>119.09781190160294</v>
      </c>
      <c r="Z20" s="1219">
        <f t="shared" si="23"/>
        <v>119.68209877146802</v>
      </c>
      <c r="AA20" s="1219">
        <f t="shared" si="23"/>
        <v>120.17773521969842</v>
      </c>
      <c r="AB20" s="1219">
        <f t="shared" si="23"/>
        <v>120.85873164043772</v>
      </c>
      <c r="AC20" s="1220">
        <f t="shared" si="23"/>
        <v>121.18512637463822</v>
      </c>
    </row>
    <row r="21" spans="4:40" s="740" customFormat="1">
      <c r="D21" s="736"/>
      <c r="E21" s="737"/>
      <c r="F21" s="738"/>
      <c r="G21" s="738"/>
      <c r="H21" s="739"/>
      <c r="I21" s="739"/>
      <c r="J21" s="739"/>
      <c r="K21" s="739"/>
      <c r="L21" s="739"/>
      <c r="M21" s="739"/>
      <c r="N21" s="739"/>
      <c r="O21" s="739"/>
      <c r="P21" s="739"/>
      <c r="Q21" s="739"/>
      <c r="R21" s="739"/>
      <c r="S21" s="739"/>
      <c r="T21" s="739"/>
      <c r="U21" s="739"/>
      <c r="V21" s="739"/>
      <c r="W21" s="739"/>
      <c r="X21" s="739"/>
      <c r="Y21" s="739"/>
    </row>
    <row r="22" spans="4:40" ht="41.5" customHeight="1">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c r="D23" s="525" t="s">
        <v>1190</v>
      </c>
      <c r="E23" s="526">
        <v>2018</v>
      </c>
      <c r="F23" s="527">
        <v>2019</v>
      </c>
      <c r="G23" s="527">
        <v>2020</v>
      </c>
      <c r="H23" s="536">
        <v>2021</v>
      </c>
      <c r="I23" s="535">
        <v>2022</v>
      </c>
      <c r="J23" s="535">
        <v>2023</v>
      </c>
      <c r="K23" s="535">
        <v>2024</v>
      </c>
      <c r="L23" s="1041">
        <v>2025</v>
      </c>
      <c r="M23" s="37"/>
      <c r="N23" s="1095"/>
      <c r="O23" s="749"/>
      <c r="P23" s="37"/>
      <c r="Q23" s="37"/>
      <c r="R23" s="37"/>
      <c r="S23" s="37"/>
      <c r="T23" s="37"/>
      <c r="U23" s="37"/>
      <c r="V23" s="37"/>
      <c r="W23" s="37"/>
      <c r="X23" s="37"/>
      <c r="Y23" s="37"/>
      <c r="Z23" s="37"/>
      <c r="AA23" s="37"/>
      <c r="AB23" s="37"/>
      <c r="AC23" s="37"/>
    </row>
    <row r="24" spans="4:40" s="57" customFormat="1" ht="16.5" customHeight="1">
      <c r="D24" s="1167" t="s">
        <v>643</v>
      </c>
      <c r="E24" s="1154">
        <v>1683.5</v>
      </c>
      <c r="F24" s="1155">
        <v>1717.9</v>
      </c>
      <c r="G24" s="1163">
        <v>1609</v>
      </c>
      <c r="H24" s="1156">
        <v>1951.672</v>
      </c>
      <c r="I24" s="1156">
        <v>2327.7150000000001</v>
      </c>
      <c r="J24" s="1156">
        <v>2333.6329999999998</v>
      </c>
      <c r="K24" s="1156">
        <v>2353.3359999999998</v>
      </c>
      <c r="L24" s="1157">
        <v>2383.1750000000002</v>
      </c>
      <c r="M24" s="1196" t="s">
        <v>1158</v>
      </c>
      <c r="N24" s="847"/>
      <c r="O24" s="843"/>
      <c r="P24" s="844"/>
      <c r="Q24" s="844"/>
      <c r="R24" s="844"/>
      <c r="S24" s="844"/>
      <c r="T24" s="844"/>
      <c r="U24" s="844"/>
      <c r="V24" s="844"/>
      <c r="W24" s="844"/>
      <c r="X24" s="788"/>
      <c r="Y24" s="842"/>
      <c r="Z24" s="845"/>
    </row>
    <row r="25" spans="4:40" s="57" customFormat="1" ht="16.5" customHeight="1">
      <c r="D25" s="1167" t="s">
        <v>644</v>
      </c>
      <c r="E25" s="1158">
        <v>1170.7</v>
      </c>
      <c r="F25" s="1159">
        <v>1243.4000000000001</v>
      </c>
      <c r="G25" s="1164">
        <v>1310</v>
      </c>
      <c r="H25" s="505">
        <v>1345.5429999999999</v>
      </c>
      <c r="I25" s="505">
        <v>1391.2439999999999</v>
      </c>
      <c r="J25" s="505">
        <v>1503.952</v>
      </c>
      <c r="K25" s="505">
        <v>1549.5619999999999</v>
      </c>
      <c r="L25" s="1105">
        <v>1588.4880000000001</v>
      </c>
      <c r="M25" s="842"/>
      <c r="N25" s="842"/>
      <c r="O25" s="843"/>
      <c r="P25" s="844"/>
      <c r="Q25" s="844"/>
      <c r="R25" s="844"/>
      <c r="S25" s="844"/>
      <c r="T25" s="844"/>
      <c r="U25" s="844"/>
      <c r="V25" s="844"/>
      <c r="W25" s="844"/>
      <c r="X25" s="788"/>
      <c r="Y25" s="842"/>
      <c r="Z25" s="845"/>
    </row>
    <row r="26" spans="4:40" s="57" customFormat="1">
      <c r="D26" s="563" t="s">
        <v>1196</v>
      </c>
      <c r="E26" s="762">
        <f>E27+E28</f>
        <v>136.30000000000001</v>
      </c>
      <c r="F26" s="426">
        <f t="shared" ref="F26:G26" si="24">F27+F28</f>
        <v>170.6</v>
      </c>
      <c r="G26" s="1165">
        <f t="shared" si="24"/>
        <v>156</v>
      </c>
      <c r="H26" s="505">
        <f>H27+H28</f>
        <v>156</v>
      </c>
      <c r="I26" s="505">
        <f>I27+I28</f>
        <v>174</v>
      </c>
      <c r="J26" s="505">
        <f>J27+J28</f>
        <v>177</v>
      </c>
      <c r="K26" s="505">
        <f>K27+K28</f>
        <v>181</v>
      </c>
      <c r="L26" s="1105">
        <f>L27+L28</f>
        <v>181</v>
      </c>
      <c r="N26" s="792"/>
      <c r="O26" s="848"/>
      <c r="P26" s="849"/>
      <c r="Q26" s="849"/>
      <c r="R26" s="849"/>
      <c r="S26" s="849"/>
      <c r="T26" s="849"/>
      <c r="U26" s="849"/>
      <c r="V26" s="849"/>
      <c r="W26" s="849"/>
      <c r="X26" s="848"/>
    </row>
    <row r="27" spans="4:40" s="57" customFormat="1" ht="16.5" customHeight="1">
      <c r="D27" s="195" t="s">
        <v>1197</v>
      </c>
      <c r="E27" s="1158">
        <v>95</v>
      </c>
      <c r="F27" s="1159">
        <v>99.8</v>
      </c>
      <c r="G27" s="1164">
        <v>87</v>
      </c>
      <c r="H27" s="1151">
        <v>75</v>
      </c>
      <c r="I27" s="1151">
        <v>86</v>
      </c>
      <c r="J27" s="1151">
        <v>88</v>
      </c>
      <c r="K27" s="1151">
        <v>91</v>
      </c>
      <c r="L27" s="1160">
        <v>91</v>
      </c>
      <c r="M27" s="842"/>
      <c r="N27" s="842"/>
      <c r="O27" s="846"/>
      <c r="P27" s="844"/>
      <c r="Q27" s="844"/>
      <c r="R27" s="844"/>
      <c r="S27" s="844"/>
      <c r="T27" s="844"/>
      <c r="U27" s="844"/>
      <c r="V27" s="844"/>
      <c r="W27" s="844"/>
      <c r="X27" s="788"/>
      <c r="Y27" s="842"/>
      <c r="Z27" s="845"/>
    </row>
    <row r="28" spans="4:40" s="57" customFormat="1" ht="16.5" customHeight="1">
      <c r="D28" s="195" t="s">
        <v>1198</v>
      </c>
      <c r="E28" s="1158">
        <v>41.3</v>
      </c>
      <c r="F28" s="1159">
        <v>70.8</v>
      </c>
      <c r="G28" s="1164">
        <v>69</v>
      </c>
      <c r="H28" s="1151">
        <v>81</v>
      </c>
      <c r="I28" s="1151">
        <v>88</v>
      </c>
      <c r="J28" s="1151">
        <v>89</v>
      </c>
      <c r="K28" s="1151">
        <v>90</v>
      </c>
      <c r="L28" s="1160">
        <v>90</v>
      </c>
      <c r="M28" s="842"/>
      <c r="N28" s="842"/>
      <c r="O28" s="846"/>
      <c r="P28" s="844"/>
      <c r="Q28" s="844"/>
      <c r="R28" s="844"/>
      <c r="S28" s="844"/>
      <c r="T28" s="844"/>
      <c r="U28" s="844"/>
      <c r="V28" s="844"/>
      <c r="W28" s="844"/>
      <c r="X28" s="788"/>
      <c r="Y28" s="842"/>
      <c r="Z28" s="845"/>
    </row>
    <row r="29" spans="4:40" ht="16.5" customHeight="1">
      <c r="D29" s="1168" t="s">
        <v>645</v>
      </c>
      <c r="E29" s="1161">
        <v>204.7</v>
      </c>
      <c r="F29" s="1162">
        <v>230.2</v>
      </c>
      <c r="G29" s="1166">
        <v>212</v>
      </c>
      <c r="H29" s="1152">
        <v>238.38800000000001</v>
      </c>
      <c r="I29" s="1152">
        <v>316.697</v>
      </c>
      <c r="J29" s="1152">
        <v>379.19200000000001</v>
      </c>
      <c r="K29" s="1152">
        <v>389.55099999999999</v>
      </c>
      <c r="L29" s="1153">
        <v>402.43099999999998</v>
      </c>
      <c r="M29" s="456"/>
      <c r="N29" s="456"/>
      <c r="O29" s="789"/>
      <c r="P29" s="790"/>
      <c r="Q29" s="790"/>
      <c r="R29" s="790"/>
      <c r="S29" s="790"/>
      <c r="T29" s="790"/>
      <c r="U29" s="790"/>
      <c r="V29" s="790"/>
      <c r="W29" s="790"/>
      <c r="X29" s="791"/>
      <c r="Y29" s="456"/>
      <c r="Z29" s="391"/>
    </row>
    <row r="30" spans="4:40" ht="16.5" customHeight="1">
      <c r="D30" s="390"/>
      <c r="E30" s="458"/>
      <c r="F30" s="458"/>
      <c r="G30" s="456"/>
      <c r="H30" s="456"/>
      <c r="I30" s="456"/>
      <c r="J30" s="456"/>
      <c r="K30" s="456"/>
      <c r="L30" s="456"/>
      <c r="M30" s="456"/>
      <c r="N30" s="456"/>
      <c r="O30" s="791"/>
      <c r="P30" s="791"/>
      <c r="Q30" s="791"/>
      <c r="R30" s="791"/>
      <c r="S30" s="791"/>
      <c r="T30" s="791"/>
      <c r="U30" s="791"/>
      <c r="V30" s="791"/>
      <c r="W30" s="791"/>
      <c r="X30" s="791"/>
      <c r="Y30" s="456"/>
      <c r="Z30" s="391"/>
    </row>
    <row r="31" spans="4:40">
      <c r="D31" s="521" t="s">
        <v>690</v>
      </c>
      <c r="E31" s="1130">
        <v>2018</v>
      </c>
      <c r="F31" s="1131">
        <v>2019</v>
      </c>
      <c r="G31" s="1132">
        <v>2020</v>
      </c>
      <c r="H31" s="1133">
        <v>2021</v>
      </c>
      <c r="I31" s="1133">
        <v>2022</v>
      </c>
      <c r="J31" s="1133">
        <v>2023</v>
      </c>
      <c r="K31" s="1133">
        <v>2024</v>
      </c>
      <c r="L31" s="1134">
        <v>2025</v>
      </c>
      <c r="O31" s="302" t="s">
        <v>646</v>
      </c>
    </row>
    <row r="32" spans="4:40" ht="14.5" customHeight="1">
      <c r="D32" s="520" t="s">
        <v>643</v>
      </c>
      <c r="E32" s="389">
        <v>1622</v>
      </c>
      <c r="F32" s="389">
        <v>1687</v>
      </c>
      <c r="G32" s="457">
        <v>1695</v>
      </c>
      <c r="H32" s="1135">
        <f>AVERAGE(L10:O10)</f>
        <v>1865.259629241619</v>
      </c>
      <c r="I32" s="1136">
        <f>AVERAGE(P10:S10)</f>
        <v>2017.1589548162415</v>
      </c>
      <c r="J32" s="1136">
        <f>AVERAGE(T10:W10)</f>
        <v>2117.0628215090783</v>
      </c>
      <c r="K32" s="1136">
        <f>AVERAGE(X10:AA10)</f>
        <v>2199.1734405404886</v>
      </c>
      <c r="L32" s="1137"/>
    </row>
    <row r="33" spans="4:20">
      <c r="D33" s="520" t="s">
        <v>647</v>
      </c>
      <c r="E33" s="389">
        <v>1332</v>
      </c>
      <c r="F33" s="389">
        <v>1388</v>
      </c>
      <c r="G33" s="457">
        <v>1414</v>
      </c>
      <c r="H33" s="1096">
        <f>AVERAGE(L11:O11)</f>
        <v>1530.7429020100503</v>
      </c>
      <c r="I33" s="1097">
        <f>AVERAGE(P11:S11)</f>
        <v>1619.2710553125166</v>
      </c>
      <c r="J33" s="1097">
        <f>AVERAGE(T11:W11)</f>
        <v>1683.5990549640458</v>
      </c>
      <c r="K33" s="1097">
        <f>AVERAGE(X11:AA11)</f>
        <v>1745.2239342894597</v>
      </c>
      <c r="L33" s="1138"/>
      <c r="N33" s="558"/>
      <c r="O33" s="1492"/>
      <c r="P33" s="1492"/>
      <c r="Q33" s="1492"/>
      <c r="R33" s="1492"/>
    </row>
    <row r="34" spans="4:20">
      <c r="D34" s="520" t="s">
        <v>648</v>
      </c>
      <c r="E34" s="389">
        <v>150</v>
      </c>
      <c r="F34" s="389">
        <v>175</v>
      </c>
      <c r="G34" s="379">
        <v>160</v>
      </c>
      <c r="H34" s="1096">
        <f>AVERAGE(L12:O12)</f>
        <v>170.27944826699246</v>
      </c>
      <c r="I34" s="1097">
        <f>AVERAGE(P12:S12)</f>
        <v>180.57758649216856</v>
      </c>
      <c r="J34" s="1097">
        <f>AVERAGE(T12:W12)</f>
        <v>182.94510134688329</v>
      </c>
      <c r="K34" s="1097">
        <f>AVERAGE(X12:AA12)</f>
        <v>188.48409478783</v>
      </c>
      <c r="L34" s="1138"/>
      <c r="N34" s="558"/>
      <c r="O34" s="1492" t="s">
        <v>488</v>
      </c>
      <c r="P34" s="1492"/>
      <c r="Q34" s="1492"/>
      <c r="R34" s="1492"/>
    </row>
    <row r="35" spans="4:20">
      <c r="D35" s="491" t="s">
        <v>511</v>
      </c>
      <c r="E35" s="196">
        <v>208</v>
      </c>
      <c r="F35" s="196">
        <v>219</v>
      </c>
      <c r="G35" s="459">
        <v>197</v>
      </c>
      <c r="H35" s="1139">
        <f>AVERAGE(L13:O13)</f>
        <v>252.01536144578313</v>
      </c>
      <c r="I35" s="1140">
        <f>AVERAGE(P13:S13)</f>
        <v>321.88316013011922</v>
      </c>
      <c r="J35" s="1140">
        <f>AVERAGE(T13:W13)</f>
        <v>335.90121385946475</v>
      </c>
      <c r="K35" s="1140">
        <f>AVERAGE(X13:AA13)</f>
        <v>333.45957308285347</v>
      </c>
      <c r="L35" s="1141"/>
      <c r="N35" s="558"/>
      <c r="O35" s="384" t="s">
        <v>649</v>
      </c>
      <c r="P35" s="384" t="s">
        <v>650</v>
      </c>
      <c r="Q35" s="384" t="s">
        <v>651</v>
      </c>
      <c r="R35" s="384" t="s">
        <v>652</v>
      </c>
    </row>
    <row r="36" spans="4:20" ht="15">
      <c r="D36" s="460"/>
      <c r="E36" s="389"/>
      <c r="F36" s="389"/>
      <c r="G36" s="389"/>
      <c r="H36" s="120"/>
      <c r="I36" s="120"/>
      <c r="J36" s="120"/>
      <c r="K36" s="120"/>
      <c r="L36" s="120"/>
      <c r="N36" s="302" t="s">
        <v>653</v>
      </c>
      <c r="O36" s="383">
        <v>2291.1</v>
      </c>
      <c r="P36" s="383">
        <v>2308.4</v>
      </c>
      <c r="Q36" s="383">
        <v>2338.6999999999998</v>
      </c>
      <c r="R36" s="383">
        <v>2350.6</v>
      </c>
    </row>
    <row r="37" spans="4:20">
      <c r="D37" s="595" t="s">
        <v>1201</v>
      </c>
      <c r="E37" s="389"/>
      <c r="F37" s="389"/>
      <c r="G37" s="389"/>
      <c r="H37" s="120"/>
      <c r="I37" s="120"/>
      <c r="J37" s="120"/>
      <c r="K37" s="120"/>
      <c r="L37" s="120"/>
      <c r="P37" s="302">
        <f>P36/O36</f>
        <v>1.0075509580550828</v>
      </c>
      <c r="Q37" s="302">
        <f>Q36/P36</f>
        <v>1.0131259747010914</v>
      </c>
      <c r="R37" s="302">
        <f>R36/Q36</f>
        <v>1.0050882969170907</v>
      </c>
    </row>
    <row r="38" spans="4:20">
      <c r="D38" s="522" t="s">
        <v>689</v>
      </c>
      <c r="E38" s="523">
        <v>2018</v>
      </c>
      <c r="F38" s="523">
        <v>2019</v>
      </c>
      <c r="G38" s="524">
        <v>2020</v>
      </c>
      <c r="H38" s="1148">
        <v>2021</v>
      </c>
      <c r="I38" s="1149">
        <v>2022</v>
      </c>
      <c r="J38" s="1149">
        <v>2023</v>
      </c>
      <c r="K38" s="1149">
        <v>2024</v>
      </c>
      <c r="L38" s="1150">
        <v>2025</v>
      </c>
    </row>
    <row r="39" spans="4:20">
      <c r="D39" s="520" t="s">
        <v>643</v>
      </c>
      <c r="E39" s="418">
        <f t="shared" ref="E39:G41" si="25">E32/E24</f>
        <v>0.96346896346896349</v>
      </c>
      <c r="F39" s="418">
        <f t="shared" si="25"/>
        <v>0.98201292275452579</v>
      </c>
      <c r="G39" s="440">
        <f t="shared" si="25"/>
        <v>1.0534493474207582</v>
      </c>
      <c r="H39" s="1143">
        <f t="shared" ref="H39:K39" si="26">H32/H24</f>
        <v>0.95572392760751756</v>
      </c>
      <c r="I39" s="1144">
        <f t="shared" si="26"/>
        <v>0.86658330371898684</v>
      </c>
      <c r="J39" s="1144">
        <f t="shared" si="26"/>
        <v>0.90719612788689497</v>
      </c>
      <c r="K39" s="1144">
        <f t="shared" si="26"/>
        <v>0.93449190448813468</v>
      </c>
      <c r="L39" s="1262"/>
      <c r="T39" s="235"/>
    </row>
    <row r="40" spans="4:20">
      <c r="D40" s="520" t="s">
        <v>647</v>
      </c>
      <c r="E40" s="418">
        <f t="shared" si="25"/>
        <v>1.1377808148970701</v>
      </c>
      <c r="F40" s="418">
        <f t="shared" si="25"/>
        <v>1.1162940324915553</v>
      </c>
      <c r="G40" s="440">
        <f t="shared" si="25"/>
        <v>1.0793893129770993</v>
      </c>
      <c r="H40" s="1145">
        <f t="shared" ref="H40:K40" si="27">H33/H25</f>
        <v>1.1376395269493806</v>
      </c>
      <c r="I40" s="1142">
        <f t="shared" si="27"/>
        <v>1.1639015552358298</v>
      </c>
      <c r="J40" s="1142">
        <f t="shared" si="27"/>
        <v>1.1194499923960644</v>
      </c>
      <c r="K40" s="1142">
        <f t="shared" si="27"/>
        <v>1.1262691872215891</v>
      </c>
      <c r="L40" s="1138"/>
    </row>
    <row r="41" spans="4:20">
      <c r="D41" s="520" t="s">
        <v>648</v>
      </c>
      <c r="E41" s="418">
        <f t="shared" si="25"/>
        <v>1.1005135730007336</v>
      </c>
      <c r="F41" s="418">
        <f t="shared" si="25"/>
        <v>1.0257913247362251</v>
      </c>
      <c r="G41" s="418">
        <f t="shared" si="25"/>
        <v>1.0256410256410255</v>
      </c>
      <c r="H41" s="1145">
        <f t="shared" ref="H41:K41" si="28">H34/H26</f>
        <v>1.0915349247884132</v>
      </c>
      <c r="I41" s="1142">
        <f t="shared" si="28"/>
        <v>1.0378022212193596</v>
      </c>
      <c r="J41" s="1142">
        <f t="shared" si="28"/>
        <v>1.0335881432027305</v>
      </c>
      <c r="K41" s="1142">
        <f t="shared" si="28"/>
        <v>1.0413485899880111</v>
      </c>
      <c r="L41" s="1138"/>
    </row>
    <row r="42" spans="4:20">
      <c r="D42" s="491" t="s">
        <v>511</v>
      </c>
      <c r="E42" s="443">
        <f>E35/E29</f>
        <v>1.0161211529066927</v>
      </c>
      <c r="F42" s="443">
        <f>F35/F29</f>
        <v>0.95134665508253702</v>
      </c>
      <c r="G42" s="443">
        <f>G35/G29</f>
        <v>0.92924528301886788</v>
      </c>
      <c r="H42" s="1146">
        <f t="shared" ref="H42:K42" si="29">H35/H29</f>
        <v>1.057164628445153</v>
      </c>
      <c r="I42" s="1147">
        <f t="shared" si="29"/>
        <v>1.0163757791520578</v>
      </c>
      <c r="J42" s="1147">
        <f t="shared" si="29"/>
        <v>0.88583412587677146</v>
      </c>
      <c r="K42" s="1147">
        <f t="shared" si="29"/>
        <v>0.85601005537876551</v>
      </c>
      <c r="L42" s="1141"/>
    </row>
    <row r="44" spans="4:20">
      <c r="D44" s="460"/>
      <c r="E44" s="389"/>
      <c r="F44" s="389"/>
      <c r="G44" s="389"/>
    </row>
    <row r="45" spans="4:20">
      <c r="D45" s="302" t="s">
        <v>704</v>
      </c>
    </row>
    <row r="46" spans="4:20">
      <c r="D46" s="489" t="s">
        <v>1200</v>
      </c>
      <c r="E46" s="1130">
        <v>2018</v>
      </c>
      <c r="F46" s="1186">
        <v>2019</v>
      </c>
      <c r="G46" s="1186">
        <v>2020</v>
      </c>
      <c r="H46" s="1187">
        <v>2021</v>
      </c>
      <c r="I46" s="1188">
        <v>2022</v>
      </c>
      <c r="J46" s="1188">
        <v>2023</v>
      </c>
      <c r="K46" s="1188">
        <v>2024</v>
      </c>
      <c r="L46" s="1189">
        <v>2025</v>
      </c>
    </row>
    <row r="47" spans="4:20">
      <c r="D47" s="1197" t="s">
        <v>1199</v>
      </c>
      <c r="E47" s="762">
        <v>14016.099999999999</v>
      </c>
      <c r="F47" s="426">
        <v>14604.2</v>
      </c>
      <c r="G47" s="534">
        <v>14711.300000000001</v>
      </c>
      <c r="H47" s="533">
        <v>15405.2</v>
      </c>
      <c r="I47" s="533">
        <v>16319.2</v>
      </c>
      <c r="J47" s="533">
        <v>17105.099999999999</v>
      </c>
      <c r="K47" s="533">
        <v>17768.5</v>
      </c>
      <c r="L47" s="461">
        <v>18434.599999999999</v>
      </c>
    </row>
    <row r="48" spans="4:20">
      <c r="D48" s="1197" t="s">
        <v>1202</v>
      </c>
      <c r="E48" s="198">
        <v>8804</v>
      </c>
      <c r="F48" s="48">
        <v>9209</v>
      </c>
      <c r="G48" s="534">
        <v>9300</v>
      </c>
      <c r="H48" s="533">
        <v>9843</v>
      </c>
      <c r="I48" s="533">
        <v>10541</v>
      </c>
      <c r="J48" s="533">
        <v>10992</v>
      </c>
      <c r="K48" s="533">
        <v>11395</v>
      </c>
      <c r="L48" s="461">
        <v>11808</v>
      </c>
    </row>
    <row r="49" spans="4:25">
      <c r="D49" s="1197" t="s">
        <v>1203</v>
      </c>
      <c r="E49" s="198">
        <v>13844</v>
      </c>
      <c r="F49" s="48">
        <v>14403</v>
      </c>
      <c r="G49" s="534">
        <v>14201</v>
      </c>
      <c r="H49" s="533">
        <v>15238</v>
      </c>
      <c r="I49" s="533">
        <v>16381</v>
      </c>
      <c r="J49" s="533">
        <v>17184</v>
      </c>
      <c r="K49" s="533">
        <v>17840</v>
      </c>
      <c r="L49" s="461">
        <v>18477</v>
      </c>
    </row>
    <row r="50" spans="4:25">
      <c r="D50" s="1198" t="s">
        <v>1204</v>
      </c>
      <c r="E50" s="1088">
        <v>2211</v>
      </c>
      <c r="F50" s="1089">
        <v>2243</v>
      </c>
      <c r="G50" s="1090">
        <v>2125</v>
      </c>
      <c r="H50" s="1091">
        <v>2616</v>
      </c>
      <c r="I50" s="1091">
        <v>2996</v>
      </c>
      <c r="J50" s="1091">
        <v>2989</v>
      </c>
      <c r="K50" s="1091">
        <v>2967</v>
      </c>
      <c r="L50" s="1092">
        <v>3017</v>
      </c>
    </row>
    <row r="51" spans="4:25" s="57" customFormat="1"/>
    <row r="53" spans="4:25">
      <c r="D53" s="302" t="s">
        <v>705</v>
      </c>
    </row>
    <row r="54" spans="4:25">
      <c r="D54" s="521" t="s">
        <v>654</v>
      </c>
      <c r="E54" s="351">
        <v>2018</v>
      </c>
      <c r="F54" s="850">
        <v>2019</v>
      </c>
      <c r="G54" s="850">
        <v>2020</v>
      </c>
      <c r="H54" s="1182">
        <v>2021</v>
      </c>
      <c r="I54" s="851">
        <v>2022</v>
      </c>
      <c r="J54" s="851">
        <v>2023</v>
      </c>
      <c r="K54" s="851">
        <v>2024</v>
      </c>
      <c r="L54" s="1183">
        <v>2025</v>
      </c>
    </row>
    <row r="55" spans="4:25">
      <c r="D55" s="1199" t="s">
        <v>643</v>
      </c>
      <c r="E55" s="1190">
        <f>E24/E47</f>
        <v>0.12011187134794987</v>
      </c>
      <c r="F55" s="1191">
        <f t="shared" ref="F55:L55" si="30">F24/F47</f>
        <v>0.11763054463784391</v>
      </c>
      <c r="G55" s="1193">
        <f t="shared" si="30"/>
        <v>0.10937170746297063</v>
      </c>
      <c r="H55" s="1085">
        <f t="shared" si="30"/>
        <v>0.12668916989068627</v>
      </c>
      <c r="I55" s="1085">
        <f t="shared" si="30"/>
        <v>0.14263658757782244</v>
      </c>
      <c r="J55" s="1085">
        <f t="shared" si="30"/>
        <v>0.1364290767081163</v>
      </c>
      <c r="K55" s="1085">
        <f t="shared" si="30"/>
        <v>0.13244426935306863</v>
      </c>
      <c r="L55" s="1185">
        <f t="shared" si="30"/>
        <v>0.12927728293534985</v>
      </c>
    </row>
    <row r="56" spans="4:25">
      <c r="D56" s="1199" t="s">
        <v>644</v>
      </c>
      <c r="E56" s="1192">
        <f t="shared" ref="E56:L56" si="31">E25/E48</f>
        <v>0.13297364834166289</v>
      </c>
      <c r="F56" s="532">
        <f t="shared" si="31"/>
        <v>0.13502008904332718</v>
      </c>
      <c r="G56" s="1194">
        <f t="shared" si="31"/>
        <v>0.14086021505376345</v>
      </c>
      <c r="H56" s="539">
        <f t="shared" si="31"/>
        <v>0.13670049781570659</v>
      </c>
      <c r="I56" s="539">
        <f t="shared" si="31"/>
        <v>0.13198406223318471</v>
      </c>
      <c r="J56" s="539">
        <f t="shared" si="31"/>
        <v>0.13682241630276565</v>
      </c>
      <c r="K56" s="539">
        <f t="shared" si="31"/>
        <v>0.13598613426941641</v>
      </c>
      <c r="L56" s="1086">
        <f t="shared" si="31"/>
        <v>0.13452642276422766</v>
      </c>
    </row>
    <row r="57" spans="4:25">
      <c r="D57" s="1197" t="s">
        <v>655</v>
      </c>
      <c r="E57" s="1192">
        <f t="shared" ref="E57:L57" si="32">E26/E49</f>
        <v>9.8454203987286912E-3</v>
      </c>
      <c r="F57" s="532">
        <f t="shared" si="32"/>
        <v>1.1844754565021176E-2</v>
      </c>
      <c r="G57" s="1194">
        <f t="shared" si="32"/>
        <v>1.0985141891416098E-2</v>
      </c>
      <c r="H57" s="539">
        <f t="shared" si="32"/>
        <v>1.0237563984774906E-2</v>
      </c>
      <c r="I57" s="539">
        <f t="shared" si="32"/>
        <v>1.0622062145168183E-2</v>
      </c>
      <c r="J57" s="539">
        <f t="shared" si="32"/>
        <v>1.0300279329608938E-2</v>
      </c>
      <c r="K57" s="539">
        <f t="shared" si="32"/>
        <v>1.0145739910313901E-2</v>
      </c>
      <c r="L57" s="1086">
        <f t="shared" si="32"/>
        <v>9.7959625480326887E-3</v>
      </c>
    </row>
    <row r="58" spans="4:25">
      <c r="D58" s="1200" t="s">
        <v>645</v>
      </c>
      <c r="E58" s="1087">
        <f>E29/E50</f>
        <v>9.258254183627318E-2</v>
      </c>
      <c r="F58" s="401">
        <f t="shared" ref="F58:L58" si="33">F29/F50</f>
        <v>0.10263040570664288</v>
      </c>
      <c r="G58" s="1195">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c r="D60" s="302" t="s">
        <v>1205</v>
      </c>
    </row>
    <row r="61" spans="4:25">
      <c r="D61" s="1265" t="s">
        <v>400</v>
      </c>
    </row>
    <row r="62" spans="4:25">
      <c r="D62" s="521" t="s">
        <v>656</v>
      </c>
      <c r="E62" s="523">
        <v>2018</v>
      </c>
      <c r="F62" s="527">
        <v>2019</v>
      </c>
      <c r="G62" s="527">
        <v>2020</v>
      </c>
      <c r="H62" s="537">
        <v>2021</v>
      </c>
      <c r="I62" s="528">
        <v>2022</v>
      </c>
      <c r="J62" s="528">
        <v>2023</v>
      </c>
      <c r="K62" s="528">
        <v>2024</v>
      </c>
      <c r="L62" s="529">
        <v>2025</v>
      </c>
    </row>
    <row r="63" spans="4:25" ht="20" customHeight="1">
      <c r="D63" s="530" t="s">
        <v>643</v>
      </c>
      <c r="E63" s="1190">
        <f t="shared" ref="E63:G66" si="34">E55*E39</f>
        <v>0.11572406018792676</v>
      </c>
      <c r="F63" s="1191">
        <f t="shared" si="34"/>
        <v>0.11551471494501581</v>
      </c>
      <c r="G63" s="1191">
        <f t="shared" si="34"/>
        <v>0.11521755385316049</v>
      </c>
      <c r="H63" s="1184">
        <f>N82</f>
        <v>0.12376774922773601</v>
      </c>
      <c r="I63" s="1085">
        <f>H63</f>
        <v>0.12376774922773601</v>
      </c>
      <c r="J63" s="1085">
        <f t="shared" ref="J63:L63" si="35">I63</f>
        <v>0.12376774922773601</v>
      </c>
      <c r="K63" s="1085">
        <f t="shared" si="35"/>
        <v>0.12376774922773601</v>
      </c>
      <c r="L63" s="1185">
        <f t="shared" si="35"/>
        <v>0.12376774922773601</v>
      </c>
      <c r="M63" s="1222"/>
      <c r="N63" s="1221"/>
      <c r="O63" s="462"/>
      <c r="P63" s="462"/>
      <c r="Q63" s="462"/>
      <c r="R63" s="462"/>
      <c r="S63" s="462"/>
      <c r="T63" s="462"/>
      <c r="U63" s="462"/>
      <c r="V63" s="462"/>
      <c r="W63" s="462"/>
      <c r="X63" s="462"/>
      <c r="Y63" s="462"/>
    </row>
    <row r="64" spans="4:25" ht="18.5" customHeight="1">
      <c r="D64" s="530" t="s">
        <v>644</v>
      </c>
      <c r="E64" s="1192">
        <f t="shared" si="34"/>
        <v>0.15129486597001363</v>
      </c>
      <c r="F64" s="532">
        <f t="shared" si="34"/>
        <v>0.15072211966554458</v>
      </c>
      <c r="G64" s="532">
        <f t="shared" si="34"/>
        <v>0.1520430107526882</v>
      </c>
      <c r="H64" s="538">
        <f>N83</f>
        <v>0.15316236939334948</v>
      </c>
      <c r="I64" s="539">
        <f>H64</f>
        <v>0.15316236939334948</v>
      </c>
      <c r="J64" s="539">
        <f>I64</f>
        <v>0.15316236939334948</v>
      </c>
      <c r="K64" s="539">
        <f t="shared" ref="K64:L64" si="36">J64</f>
        <v>0.15316236939334948</v>
      </c>
      <c r="L64" s="1086">
        <f t="shared" si="36"/>
        <v>0.15316236939334948</v>
      </c>
      <c r="M64" s="1222"/>
      <c r="N64" s="1221"/>
      <c r="O64" s="462"/>
      <c r="P64" s="462"/>
      <c r="Q64" s="462"/>
      <c r="R64" s="462"/>
      <c r="S64" s="462"/>
      <c r="T64" s="462"/>
      <c r="U64" s="462"/>
      <c r="V64" s="462"/>
      <c r="W64" s="462"/>
      <c r="X64" s="462"/>
      <c r="Y64" s="462"/>
    </row>
    <row r="65" spans="4:32" ht="19" customHeight="1">
      <c r="D65" s="520" t="s">
        <v>648</v>
      </c>
      <c r="E65" s="1192">
        <f t="shared" si="34"/>
        <v>1.0835018780699219E-2</v>
      </c>
      <c r="F65" s="532">
        <f t="shared" si="34"/>
        <v>1.2150246476428523E-2</v>
      </c>
      <c r="G65" s="532">
        <f t="shared" si="34"/>
        <v>1.1266812196324201E-2</v>
      </c>
      <c r="H65" s="538">
        <f>N84</f>
        <v>1.133187856513916E-2</v>
      </c>
      <c r="I65" s="539">
        <f>AVERAGE($F41:$G41)*I57</f>
        <v>1.0895220956157794E-2</v>
      </c>
      <c r="J65" s="539">
        <f>AVERAGE($F41:$G41)*J57</f>
        <v>1.056516311734094E-2</v>
      </c>
      <c r="K65" s="539">
        <f>J65</f>
        <v>1.056516311734094E-2</v>
      </c>
      <c r="L65" s="1086">
        <f>K65</f>
        <v>1.056516311734094E-2</v>
      </c>
      <c r="M65" s="1222"/>
      <c r="N65" s="1221"/>
      <c r="O65" s="462"/>
      <c r="P65" s="462"/>
      <c r="Q65" s="462"/>
      <c r="R65" s="462"/>
      <c r="S65" s="462"/>
      <c r="T65" s="462"/>
      <c r="U65" s="462"/>
      <c r="V65" s="462"/>
      <c r="W65" s="462"/>
      <c r="X65" s="462"/>
      <c r="Y65" s="462"/>
    </row>
    <row r="66" spans="4:32" ht="19" customHeight="1">
      <c r="D66" s="531" t="s">
        <v>645</v>
      </c>
      <c r="E66" s="1087">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22"/>
      <c r="N66" s="1221"/>
      <c r="O66" s="462"/>
      <c r="P66" s="462"/>
      <c r="Q66" s="462"/>
      <c r="R66" s="462"/>
      <c r="S66" s="462"/>
      <c r="T66" s="462"/>
      <c r="U66" s="462"/>
      <c r="V66" s="462"/>
      <c r="W66" s="462"/>
      <c r="X66" s="462"/>
      <c r="Y66" s="462"/>
    </row>
    <row r="67" spans="4:32">
      <c r="E67" s="1093"/>
      <c r="F67" s="1093"/>
      <c r="G67" s="1093"/>
      <c r="H67" s="1093"/>
      <c r="I67" s="1093"/>
      <c r="J67" s="1093"/>
      <c r="K67" s="1093"/>
      <c r="L67" s="1093"/>
    </row>
    <row r="68" spans="4:32">
      <c r="D68" s="1264"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c r="D69" s="1496" t="s">
        <v>1215</v>
      </c>
      <c r="E69" s="1497"/>
      <c r="F69" s="1436">
        <v>2019</v>
      </c>
      <c r="G69" s="1436"/>
      <c r="H69" s="1393"/>
      <c r="I69" s="1383">
        <v>2020</v>
      </c>
      <c r="J69" s="1436"/>
      <c r="K69" s="1436"/>
      <c r="L69" s="1393"/>
      <c r="M69" s="1383">
        <v>2021</v>
      </c>
      <c r="N69" s="1393"/>
      <c r="O69" s="1406">
        <v>2021</v>
      </c>
      <c r="P69" s="1395"/>
      <c r="Q69" s="1406">
        <v>2022</v>
      </c>
      <c r="R69" s="1411"/>
      <c r="S69" s="1411"/>
      <c r="T69" s="1411"/>
      <c r="U69" s="1406">
        <v>2023</v>
      </c>
      <c r="V69" s="1411"/>
      <c r="W69" s="1411"/>
      <c r="X69" s="1411"/>
      <c r="Y69" s="1406">
        <v>2024</v>
      </c>
      <c r="Z69" s="1411"/>
      <c r="AA69" s="1411"/>
      <c r="AB69" s="1395"/>
      <c r="AC69" s="475">
        <v>2025</v>
      </c>
    </row>
    <row r="70" spans="4:32">
      <c r="D70" s="1498"/>
      <c r="E70" s="1499"/>
      <c r="F70" s="200" t="s">
        <v>136</v>
      </c>
      <c r="G70" s="200" t="s">
        <v>137</v>
      </c>
      <c r="H70" s="1223" t="s">
        <v>138</v>
      </c>
      <c r="I70" s="201" t="s">
        <v>135</v>
      </c>
      <c r="J70" s="201" t="s">
        <v>136</v>
      </c>
      <c r="K70" s="201" t="s">
        <v>137</v>
      </c>
      <c r="L70" s="1223" t="s">
        <v>138</v>
      </c>
      <c r="M70" s="216" t="s">
        <v>135</v>
      </c>
      <c r="N70" s="1223" t="s">
        <v>136</v>
      </c>
      <c r="O70" s="858" t="s">
        <v>137</v>
      </c>
      <c r="P70" s="860" t="s">
        <v>138</v>
      </c>
      <c r="Q70" s="858" t="s">
        <v>135</v>
      </c>
      <c r="R70" s="859" t="s">
        <v>136</v>
      </c>
      <c r="S70" s="859" t="s">
        <v>137</v>
      </c>
      <c r="T70" s="859" t="s">
        <v>138</v>
      </c>
      <c r="U70" s="858" t="s">
        <v>135</v>
      </c>
      <c r="V70" s="859" t="s">
        <v>136</v>
      </c>
      <c r="W70" s="859" t="s">
        <v>137</v>
      </c>
      <c r="X70" s="859" t="s">
        <v>138</v>
      </c>
      <c r="Y70" s="858" t="s">
        <v>135</v>
      </c>
      <c r="Z70" s="577" t="s">
        <v>136</v>
      </c>
      <c r="AA70" s="859" t="s">
        <v>137</v>
      </c>
      <c r="AB70" s="860" t="s">
        <v>138</v>
      </c>
      <c r="AC70" s="82" t="s">
        <v>135</v>
      </c>
    </row>
    <row r="71" spans="4:32">
      <c r="D71" s="1227" t="s">
        <v>1199</v>
      </c>
      <c r="E71" s="854"/>
      <c r="F71" s="1224">
        <f>F72+F73</f>
        <v>14660.3</v>
      </c>
      <c r="G71" s="1225">
        <f t="shared" ref="G71:AC71" si="37">G72+G73</f>
        <v>14748</v>
      </c>
      <c r="H71" s="1225">
        <f t="shared" si="37"/>
        <v>14896.1</v>
      </c>
      <c r="I71" s="1225">
        <f t="shared" si="37"/>
        <v>15018.7</v>
      </c>
      <c r="J71" s="1225">
        <f t="shared" si="37"/>
        <v>14127</v>
      </c>
      <c r="K71" s="1225">
        <f t="shared" si="37"/>
        <v>14803.099999999999</v>
      </c>
      <c r="L71" s="1225">
        <f t="shared" si="37"/>
        <v>15014.2</v>
      </c>
      <c r="M71" s="1225">
        <f t="shared" si="37"/>
        <v>15152.900000000001</v>
      </c>
      <c r="N71" s="1226">
        <f t="shared" si="37"/>
        <v>15654.4</v>
      </c>
      <c r="O71" s="1241">
        <f t="shared" si="37"/>
        <v>15799.3</v>
      </c>
      <c r="P71" s="1241">
        <f t="shared" si="37"/>
        <v>15983.8</v>
      </c>
      <c r="Q71" s="1241">
        <f t="shared" si="37"/>
        <v>16211.099999999999</v>
      </c>
      <c r="R71" s="1241">
        <f t="shared" si="37"/>
        <v>16437.099999999999</v>
      </c>
      <c r="S71" s="1241">
        <f t="shared" si="37"/>
        <v>16644.8</v>
      </c>
      <c r="T71" s="1241">
        <f t="shared" si="37"/>
        <v>16837.7</v>
      </c>
      <c r="U71" s="1241">
        <f t="shared" si="37"/>
        <v>17019.599999999999</v>
      </c>
      <c r="V71" s="1241">
        <f t="shared" si="37"/>
        <v>17196</v>
      </c>
      <c r="W71" s="1241">
        <f t="shared" si="37"/>
        <v>17367.2</v>
      </c>
      <c r="X71" s="1241">
        <f t="shared" si="37"/>
        <v>17530.099999999999</v>
      </c>
      <c r="Y71" s="1241">
        <f t="shared" si="37"/>
        <v>17691.900000000001</v>
      </c>
      <c r="Z71" s="1241">
        <f t="shared" si="37"/>
        <v>17844.8</v>
      </c>
      <c r="AA71" s="1241">
        <f t="shared" si="37"/>
        <v>18007.400000000001</v>
      </c>
      <c r="AB71" s="1241">
        <f t="shared" si="37"/>
        <v>18172.900000000001</v>
      </c>
      <c r="AC71" s="1242">
        <f t="shared" si="37"/>
        <v>18346.099999999999</v>
      </c>
    </row>
    <row r="72" spans="4:32" ht="30">
      <c r="D72" s="167" t="s">
        <v>1207</v>
      </c>
      <c r="E72" s="853" t="s">
        <v>1209</v>
      </c>
      <c r="F72" s="967">
        <v>9274.9</v>
      </c>
      <c r="G72" s="651">
        <v>9311.2999999999993</v>
      </c>
      <c r="H72" s="651">
        <v>9422.5</v>
      </c>
      <c r="I72" s="651">
        <v>9526.1</v>
      </c>
      <c r="J72" s="651">
        <v>8908.7999999999993</v>
      </c>
      <c r="K72" s="651">
        <v>9343.2999999999993</v>
      </c>
      <c r="L72" s="651">
        <v>9546</v>
      </c>
      <c r="M72" s="651">
        <v>9702.2000000000007</v>
      </c>
      <c r="N72" s="1245">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05">
        <v>11751.1</v>
      </c>
    </row>
    <row r="73" spans="4:32" ht="30">
      <c r="D73" s="167" t="s">
        <v>1208</v>
      </c>
      <c r="E73" s="853"/>
      <c r="F73" s="967">
        <v>5385.4</v>
      </c>
      <c r="G73" s="651">
        <v>5436.7</v>
      </c>
      <c r="H73" s="651">
        <v>5473.6</v>
      </c>
      <c r="I73" s="651">
        <v>5492.6</v>
      </c>
      <c r="J73" s="651">
        <v>5218.2</v>
      </c>
      <c r="K73" s="651">
        <v>5459.8</v>
      </c>
      <c r="L73" s="651">
        <v>5468.2</v>
      </c>
      <c r="M73" s="651">
        <v>5450.7</v>
      </c>
      <c r="N73" s="1245">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05">
        <v>6595</v>
      </c>
    </row>
    <row r="74" spans="4:32" s="57" customFormat="1">
      <c r="D74" s="217" t="s">
        <v>1202</v>
      </c>
      <c r="E74" s="853"/>
      <c r="F74" s="1228"/>
      <c r="G74" s="1229"/>
      <c r="H74" s="1230"/>
      <c r="I74" s="1230"/>
      <c r="J74" s="1230"/>
      <c r="K74" s="1230"/>
      <c r="L74" s="651"/>
      <c r="M74" s="651">
        <v>9702</v>
      </c>
      <c r="N74" s="1245">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05">
        <v>11751.1</v>
      </c>
    </row>
    <row r="75" spans="4:32" s="57" customFormat="1">
      <c r="D75" s="217" t="s">
        <v>1203</v>
      </c>
      <c r="E75" s="1231"/>
      <c r="F75" s="1232"/>
      <c r="G75" s="1233"/>
      <c r="H75" s="1230"/>
      <c r="I75" s="1230"/>
      <c r="J75" s="1230"/>
      <c r="K75" s="1230"/>
      <c r="L75" s="1230"/>
      <c r="M75" s="1230">
        <v>15041</v>
      </c>
      <c r="N75" s="1246">
        <v>15551</v>
      </c>
      <c r="O75" s="1243">
        <v>15824</v>
      </c>
      <c r="P75" s="1243">
        <v>16056</v>
      </c>
      <c r="Q75" s="1243">
        <v>16274</v>
      </c>
      <c r="R75" s="1243">
        <v>16482</v>
      </c>
      <c r="S75" s="1243">
        <v>16710</v>
      </c>
      <c r="T75" s="1243">
        <v>16918</v>
      </c>
      <c r="U75" s="1243">
        <v>17101</v>
      </c>
      <c r="V75" s="1243">
        <v>17272</v>
      </c>
      <c r="W75" s="1243">
        <v>17444</v>
      </c>
      <c r="X75" s="1243">
        <v>17607</v>
      </c>
      <c r="Y75" s="1243">
        <v>17759.900000000001</v>
      </c>
      <c r="Z75" s="505">
        <v>17916</v>
      </c>
      <c r="AA75" s="505">
        <v>18077.7</v>
      </c>
      <c r="AB75" s="505">
        <v>18228.400000000001</v>
      </c>
      <c r="AC75" s="1105">
        <v>18390.5</v>
      </c>
    </row>
    <row r="76" spans="4:32" s="57" customFormat="1">
      <c r="D76" s="1234" t="s">
        <v>1206</v>
      </c>
      <c r="E76" s="1235"/>
      <c r="F76" s="1236"/>
      <c r="G76" s="1237"/>
      <c r="H76" s="1238"/>
      <c r="I76" s="1238"/>
      <c r="J76" s="1238"/>
      <c r="K76" s="1238"/>
      <c r="L76" s="1239"/>
      <c r="M76" s="1239">
        <v>2374</v>
      </c>
      <c r="N76" s="1247">
        <v>2822</v>
      </c>
      <c r="O76" s="1040">
        <v>2975</v>
      </c>
      <c r="P76" s="1040">
        <v>3009</v>
      </c>
      <c r="Q76" s="1040">
        <v>2954</v>
      </c>
      <c r="R76" s="1040">
        <v>3005</v>
      </c>
      <c r="S76" s="1040">
        <v>3019</v>
      </c>
      <c r="T76" s="1040">
        <v>3017</v>
      </c>
      <c r="U76" s="1040">
        <v>3002</v>
      </c>
      <c r="V76" s="1040">
        <v>2976</v>
      </c>
      <c r="W76" s="1040">
        <v>2960</v>
      </c>
      <c r="X76" s="1040">
        <v>2960</v>
      </c>
      <c r="Y76" s="1040">
        <v>2955.6</v>
      </c>
      <c r="Z76" s="1040">
        <v>2970.1</v>
      </c>
      <c r="AA76" s="1040">
        <v>2982.4</v>
      </c>
      <c r="AB76" s="1040">
        <v>2999.3</v>
      </c>
      <c r="AC76" s="1244">
        <v>3007.4</v>
      </c>
    </row>
    <row r="77" spans="4:32" s="57" customFormat="1">
      <c r="D77" s="1253"/>
      <c r="E77" s="1263"/>
      <c r="F77" s="1233"/>
      <c r="G77" s="1233"/>
      <c r="H77" s="1230"/>
      <c r="I77" s="1230"/>
      <c r="J77" s="1230"/>
      <c r="K77" s="1230"/>
      <c r="L77" s="651"/>
      <c r="M77" s="651"/>
      <c r="N77" s="651"/>
      <c r="O77" s="651"/>
      <c r="P77" s="651"/>
      <c r="Q77" s="651"/>
      <c r="R77" s="651"/>
      <c r="S77" s="651"/>
      <c r="T77" s="651"/>
      <c r="U77" s="651"/>
      <c r="V77" s="651"/>
      <c r="W77" s="651"/>
      <c r="X77" s="651"/>
      <c r="Y77" s="651"/>
      <c r="Z77" s="651"/>
      <c r="AA77" s="651"/>
      <c r="AB77" s="651"/>
      <c r="AC77" s="651"/>
    </row>
    <row r="78" spans="4:32">
      <c r="D78" s="57"/>
      <c r="O78" s="120"/>
      <c r="P78" s="120"/>
      <c r="Q78" s="120"/>
      <c r="R78" s="120"/>
      <c r="S78" s="120"/>
      <c r="T78" s="120"/>
      <c r="U78" s="120"/>
      <c r="V78" s="120"/>
      <c r="W78" s="120"/>
      <c r="X78" s="120"/>
      <c r="Y78" s="120"/>
      <c r="Z78" s="120"/>
      <c r="AA78" s="120"/>
      <c r="AB78" s="120"/>
      <c r="AC78" s="120"/>
    </row>
    <row r="79" spans="4:32" ht="14.5" customHeight="1">
      <c r="D79" s="1496" t="s">
        <v>1212</v>
      </c>
      <c r="E79" s="1497"/>
      <c r="F79" s="1436">
        <v>2019</v>
      </c>
      <c r="G79" s="1436"/>
      <c r="H79" s="1393"/>
      <c r="I79" s="1383">
        <v>2020</v>
      </c>
      <c r="J79" s="1436"/>
      <c r="K79" s="1436"/>
      <c r="L79" s="1393"/>
      <c r="M79" s="1383">
        <v>2021</v>
      </c>
      <c r="N79" s="1393"/>
      <c r="O79" s="1406">
        <v>2021</v>
      </c>
      <c r="P79" s="1395"/>
      <c r="Q79" s="1406">
        <v>2022</v>
      </c>
      <c r="R79" s="1411"/>
      <c r="S79" s="1411"/>
      <c r="T79" s="1411"/>
      <c r="U79" s="1406">
        <v>2023</v>
      </c>
      <c r="V79" s="1411"/>
      <c r="W79" s="1411"/>
      <c r="X79" s="1411"/>
      <c r="Y79" s="1406">
        <v>2024</v>
      </c>
      <c r="Z79" s="1411"/>
      <c r="AA79" s="1411"/>
      <c r="AB79" s="1395"/>
      <c r="AC79" s="475">
        <v>2025</v>
      </c>
      <c r="AD79" s="58"/>
      <c r="AE79" s="58"/>
      <c r="AF79" s="58"/>
    </row>
    <row r="80" spans="4:32">
      <c r="D80" s="1503"/>
      <c r="E80" s="1504"/>
      <c r="F80" s="200" t="s">
        <v>136</v>
      </c>
      <c r="G80" s="200" t="s">
        <v>137</v>
      </c>
      <c r="H80" s="1223" t="s">
        <v>138</v>
      </c>
      <c r="I80" s="201" t="s">
        <v>135</v>
      </c>
      <c r="J80" s="201" t="s">
        <v>136</v>
      </c>
      <c r="K80" s="201" t="s">
        <v>137</v>
      </c>
      <c r="L80" s="1223" t="s">
        <v>138</v>
      </c>
      <c r="M80" s="216" t="s">
        <v>135</v>
      </c>
      <c r="N80" s="1223" t="s">
        <v>136</v>
      </c>
      <c r="O80" s="64" t="s">
        <v>137</v>
      </c>
      <c r="P80" s="66" t="s">
        <v>138</v>
      </c>
      <c r="Q80" s="64" t="s">
        <v>135</v>
      </c>
      <c r="R80" s="65" t="s">
        <v>136</v>
      </c>
      <c r="S80" s="65" t="s">
        <v>137</v>
      </c>
      <c r="T80" s="65" t="s">
        <v>138</v>
      </c>
      <c r="U80" s="64" t="s">
        <v>135</v>
      </c>
      <c r="V80" s="65" t="s">
        <v>136</v>
      </c>
      <c r="W80" s="65" t="s">
        <v>137</v>
      </c>
      <c r="X80" s="65" t="s">
        <v>138</v>
      </c>
      <c r="Y80" s="64" t="s">
        <v>135</v>
      </c>
      <c r="Z80" s="695" t="s">
        <v>136</v>
      </c>
      <c r="AA80" s="65" t="s">
        <v>137</v>
      </c>
      <c r="AB80" s="66" t="s">
        <v>138</v>
      </c>
      <c r="AC80" s="67" t="s">
        <v>135</v>
      </c>
    </row>
    <row r="81" spans="4:30">
      <c r="D81" s="1500" t="s">
        <v>1211</v>
      </c>
      <c r="E81" s="1501"/>
      <c r="F81" s="1250"/>
      <c r="G81" s="1250"/>
      <c r="H81" s="1251"/>
      <c r="I81" s="1251"/>
      <c r="J81" s="1251"/>
      <c r="K81" s="1251"/>
      <c r="L81" s="1251"/>
      <c r="M81" s="1251"/>
      <c r="N81" s="1252"/>
      <c r="O81" s="1117"/>
      <c r="P81" s="1118"/>
      <c r="Q81" s="1118"/>
      <c r="R81" s="1118"/>
      <c r="S81" s="1118"/>
      <c r="T81" s="1118"/>
      <c r="U81" s="1118"/>
      <c r="V81" s="1118"/>
      <c r="W81" s="1118"/>
      <c r="X81" s="1118"/>
      <c r="Y81" s="1118"/>
      <c r="Z81" s="1118"/>
      <c r="AA81" s="1118"/>
      <c r="AB81" s="1118"/>
      <c r="AC81" s="1116"/>
    </row>
    <row r="82" spans="4:30">
      <c r="D82" s="195" t="s">
        <v>575</v>
      </c>
      <c r="E82" s="1248"/>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49">
        <f t="shared" si="38"/>
        <v>0.12376774922773601</v>
      </c>
      <c r="O82" s="1122"/>
      <c r="P82" s="1123"/>
      <c r="Q82" s="1123"/>
      <c r="R82" s="1123"/>
      <c r="S82" s="1123"/>
      <c r="T82" s="1123"/>
      <c r="U82" s="1123"/>
      <c r="V82" s="1123"/>
      <c r="W82" s="1123"/>
      <c r="X82" s="1123"/>
      <c r="Y82" s="1123"/>
      <c r="Z82" s="1123"/>
      <c r="AA82" s="1123"/>
      <c r="AB82" s="1123"/>
      <c r="AC82" s="1124"/>
    </row>
    <row r="83" spans="4:30">
      <c r="D83" s="195" t="s">
        <v>574</v>
      </c>
      <c r="E83" s="1248"/>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49">
        <f t="shared" si="39"/>
        <v>0.15316236939334948</v>
      </c>
      <c r="O83" s="1122"/>
      <c r="P83" s="1123"/>
      <c r="Q83" s="1123"/>
      <c r="R83" s="1123"/>
      <c r="S83" s="1123"/>
      <c r="T83" s="1123"/>
      <c r="U83" s="1123"/>
      <c r="V83" s="1123"/>
      <c r="W83" s="1123"/>
      <c r="X83" s="1123"/>
      <c r="Y83" s="1123"/>
      <c r="Z83" s="1123"/>
      <c r="AA83" s="1123"/>
      <c r="AB83" s="1123"/>
      <c r="AC83" s="1124"/>
    </row>
    <row r="84" spans="4:30">
      <c r="D84" s="195" t="s">
        <v>572</v>
      </c>
      <c r="E84" s="1248"/>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49">
        <f t="shared" si="39"/>
        <v>1.133187856513916E-2</v>
      </c>
      <c r="O84" s="1122"/>
      <c r="P84" s="1123"/>
      <c r="Q84" s="1123"/>
      <c r="R84" s="1123"/>
      <c r="S84" s="1123"/>
      <c r="T84" s="1123"/>
      <c r="U84" s="1123"/>
      <c r="V84" s="1123"/>
      <c r="W84" s="1123"/>
      <c r="X84" s="1123"/>
      <c r="Y84" s="1123"/>
      <c r="Z84" s="1123"/>
      <c r="AA84" s="1123"/>
      <c r="AB84" s="1123"/>
      <c r="AC84" s="1124"/>
    </row>
    <row r="85" spans="4:30" ht="15">
      <c r="D85" s="112" t="s">
        <v>642</v>
      </c>
      <c r="E85" s="1248"/>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49">
        <f>AVERAGE(J85:M85)</f>
        <v>0.11238852826749134</v>
      </c>
      <c r="O85" s="1122"/>
      <c r="P85" s="1123"/>
      <c r="Q85" s="1123"/>
      <c r="R85" s="1123"/>
      <c r="S85" s="1123"/>
      <c r="T85" s="1123"/>
      <c r="U85" s="1123"/>
      <c r="V85" s="1123"/>
      <c r="W85" s="1123"/>
      <c r="X85" s="1123"/>
      <c r="Y85" s="1123"/>
      <c r="Z85" s="1123"/>
      <c r="AA85" s="1123"/>
      <c r="AB85" s="1123"/>
      <c r="AC85" s="1124"/>
    </row>
    <row r="86" spans="4:30">
      <c r="D86" s="852" t="s">
        <v>1214</v>
      </c>
      <c r="E86" s="1248"/>
      <c r="F86" s="48"/>
      <c r="G86" s="48"/>
      <c r="H86" s="48"/>
      <c r="I86" s="48"/>
      <c r="J86" s="48"/>
      <c r="K86" s="48"/>
      <c r="L86" s="48"/>
      <c r="M86" s="48"/>
      <c r="N86" s="1254"/>
      <c r="O86" s="1122"/>
      <c r="P86" s="1123"/>
      <c r="Q86" s="1123"/>
      <c r="R86" s="1123"/>
      <c r="S86" s="1123"/>
      <c r="T86" s="1123"/>
      <c r="U86" s="1123"/>
      <c r="V86" s="1123"/>
      <c r="W86" s="1123"/>
      <c r="X86" s="1123"/>
      <c r="Y86" s="1123"/>
      <c r="Z86" s="1123"/>
      <c r="AA86" s="1123"/>
      <c r="AB86" s="1123"/>
      <c r="AC86" s="1124"/>
    </row>
    <row r="87" spans="4:30">
      <c r="D87" s="217" t="s">
        <v>1164</v>
      </c>
      <c r="E87" s="1248"/>
      <c r="F87" s="1275">
        <f>SUM(F88:F91)</f>
        <v>14511.699999999999</v>
      </c>
      <c r="G87" s="1275">
        <f t="shared" ref="G87:N87" si="41">SUM(G88:G91)</f>
        <v>14602.099999999999</v>
      </c>
      <c r="H87" s="1275">
        <f t="shared" si="41"/>
        <v>14773.5</v>
      </c>
      <c r="I87" s="1275">
        <f t="shared" si="41"/>
        <v>14931</v>
      </c>
      <c r="J87" s="1275">
        <f t="shared" si="41"/>
        <v>14070.5</v>
      </c>
      <c r="K87" s="1275">
        <f t="shared" si="41"/>
        <v>14737.2</v>
      </c>
      <c r="L87" s="1275">
        <f t="shared" si="41"/>
        <v>15132.6</v>
      </c>
      <c r="M87" s="1275">
        <f t="shared" si="41"/>
        <v>15208.900000000001</v>
      </c>
      <c r="N87" s="1276">
        <f t="shared" si="41"/>
        <v>15571.099999999999</v>
      </c>
      <c r="O87" s="1122"/>
      <c r="P87" s="1123"/>
      <c r="Q87" s="1123"/>
      <c r="R87" s="1123"/>
      <c r="S87" s="1123"/>
      <c r="T87" s="1123"/>
      <c r="U87" s="1123"/>
      <c r="V87" s="1123"/>
      <c r="W87" s="1123"/>
      <c r="X87" s="1123"/>
      <c r="Y87" s="1123"/>
      <c r="Z87" s="1123"/>
      <c r="AA87" s="1123"/>
      <c r="AB87" s="1123"/>
      <c r="AC87" s="1124"/>
    </row>
    <row r="88" spans="4:30">
      <c r="D88" s="1240" t="s">
        <v>1160</v>
      </c>
      <c r="E88" s="1248" t="s">
        <v>1217</v>
      </c>
      <c r="F88" s="426">
        <v>9275.4</v>
      </c>
      <c r="G88" s="426">
        <v>9326.7999999999993</v>
      </c>
      <c r="H88" s="426">
        <v>9465.6</v>
      </c>
      <c r="I88" s="426">
        <v>9604.1</v>
      </c>
      <c r="J88" s="426">
        <v>8979</v>
      </c>
      <c r="K88" s="426">
        <v>9410.2999999999993</v>
      </c>
      <c r="L88" s="426">
        <v>9783</v>
      </c>
      <c r="M88" s="426">
        <v>9879.2000000000007</v>
      </c>
      <c r="N88" s="1165">
        <v>10068.4</v>
      </c>
      <c r="O88" s="1122"/>
      <c r="P88" s="1123"/>
      <c r="Q88" s="1123"/>
      <c r="R88" s="1123"/>
      <c r="S88" s="1123"/>
      <c r="T88" s="1123"/>
      <c r="U88" s="1123"/>
      <c r="V88" s="1123"/>
      <c r="W88" s="1123"/>
      <c r="X88" s="1123"/>
      <c r="Y88" s="1123"/>
      <c r="Z88" s="1123"/>
      <c r="AA88" s="1123"/>
      <c r="AB88" s="1123"/>
      <c r="AC88" s="1124"/>
    </row>
    <row r="89" spans="4:30">
      <c r="D89" s="1240" t="s">
        <v>1161</v>
      </c>
      <c r="E89" s="1248"/>
      <c r="F89" s="426">
        <v>1572.8</v>
      </c>
      <c r="G89" s="426">
        <v>1610.6</v>
      </c>
      <c r="H89" s="426">
        <v>1626.8</v>
      </c>
      <c r="I89" s="426">
        <v>1638.3</v>
      </c>
      <c r="J89" s="426">
        <v>1471.1</v>
      </c>
      <c r="K89" s="426">
        <v>1760.7</v>
      </c>
      <c r="L89" s="426">
        <v>1730</v>
      </c>
      <c r="M89" s="426">
        <v>1714</v>
      </c>
      <c r="N89" s="1165">
        <v>1846.9</v>
      </c>
      <c r="O89" s="1122"/>
      <c r="P89" s="1123"/>
      <c r="Q89" s="1123"/>
      <c r="R89" s="1123"/>
      <c r="S89" s="1123"/>
      <c r="T89" s="1123"/>
      <c r="U89" s="1123"/>
      <c r="V89" s="1123"/>
      <c r="W89" s="1123"/>
      <c r="X89" s="1123"/>
      <c r="Y89" s="1123"/>
      <c r="Z89" s="1123"/>
      <c r="AA89" s="1123"/>
      <c r="AB89" s="1123"/>
      <c r="AC89" s="1124"/>
    </row>
    <row r="90" spans="4:30">
      <c r="D90" s="1240" t="s">
        <v>1162</v>
      </c>
      <c r="E90" s="1248"/>
      <c r="F90" s="426">
        <v>691</v>
      </c>
      <c r="G90" s="426">
        <v>691.5</v>
      </c>
      <c r="H90" s="426">
        <v>699</v>
      </c>
      <c r="I90" s="426">
        <v>712.2</v>
      </c>
      <c r="J90" s="426">
        <v>709.5</v>
      </c>
      <c r="K90" s="426">
        <v>714.5</v>
      </c>
      <c r="L90" s="426">
        <v>710</v>
      </c>
      <c r="M90" s="426">
        <v>716.9</v>
      </c>
      <c r="N90" s="1165">
        <v>719</v>
      </c>
      <c r="O90" s="1122"/>
      <c r="P90" s="1123"/>
      <c r="Q90" s="1123"/>
      <c r="R90" s="1123"/>
      <c r="S90" s="1123"/>
      <c r="T90" s="1123"/>
      <c r="U90" s="1123"/>
      <c r="V90" s="1123"/>
      <c r="W90" s="1123"/>
      <c r="X90" s="1123"/>
      <c r="Y90" s="1123"/>
      <c r="Z90" s="1123"/>
      <c r="AA90" s="1123"/>
      <c r="AB90" s="1123"/>
      <c r="AC90" s="1124"/>
    </row>
    <row r="91" spans="4:30">
      <c r="D91" s="1240" t="s">
        <v>1163</v>
      </c>
      <c r="E91" s="1248"/>
      <c r="F91" s="426">
        <v>2972.5</v>
      </c>
      <c r="G91" s="426">
        <v>2973.2</v>
      </c>
      <c r="H91" s="426">
        <v>2982.1</v>
      </c>
      <c r="I91" s="426">
        <v>2976.4</v>
      </c>
      <c r="J91" s="426">
        <v>2910.9</v>
      </c>
      <c r="K91" s="426">
        <v>2851.7</v>
      </c>
      <c r="L91" s="426">
        <v>2909.6</v>
      </c>
      <c r="M91" s="426">
        <v>2898.8</v>
      </c>
      <c r="N91" s="1165">
        <v>2936.8</v>
      </c>
      <c r="O91" s="1122"/>
      <c r="P91" s="1123"/>
      <c r="Q91" s="1123"/>
      <c r="R91" s="1123"/>
      <c r="S91" s="1123"/>
      <c r="T91" s="1123"/>
      <c r="U91" s="1123"/>
      <c r="V91" s="1123"/>
      <c r="W91" s="1123"/>
      <c r="X91" s="1123"/>
      <c r="Y91" s="1123"/>
      <c r="Z91" s="1123"/>
      <c r="AA91" s="1123"/>
      <c r="AB91" s="1123"/>
      <c r="AC91" s="1124"/>
    </row>
    <row r="92" spans="4:30">
      <c r="D92" s="217" t="s">
        <v>1202</v>
      </c>
      <c r="E92" s="1248"/>
      <c r="F92" s="1275">
        <v>9275.4</v>
      </c>
      <c r="G92" s="1275">
        <v>9326.7999999999993</v>
      </c>
      <c r="H92" s="1275">
        <v>9465.6</v>
      </c>
      <c r="I92" s="1275">
        <v>9604.1</v>
      </c>
      <c r="J92" s="1275">
        <v>8979</v>
      </c>
      <c r="K92" s="1275">
        <v>9410.2999999999993</v>
      </c>
      <c r="L92" s="1275">
        <v>9783</v>
      </c>
      <c r="M92" s="1275">
        <v>9879.2000000000007</v>
      </c>
      <c r="N92" s="1276">
        <v>10068.4</v>
      </c>
      <c r="O92" s="1122"/>
      <c r="P92" s="1123"/>
      <c r="Q92" s="1123"/>
      <c r="R92" s="1123"/>
      <c r="S92" s="1123"/>
      <c r="T92" s="1123"/>
      <c r="U92" s="1123"/>
      <c r="V92" s="1123"/>
      <c r="W92" s="1123"/>
      <c r="X92" s="1123"/>
      <c r="Y92" s="1123"/>
      <c r="Z92" s="1123"/>
      <c r="AA92" s="1123"/>
      <c r="AB92" s="1123"/>
      <c r="AC92" s="1124"/>
    </row>
    <row r="93" spans="4:30">
      <c r="D93" s="217" t="s">
        <v>1203</v>
      </c>
      <c r="E93" s="1248"/>
      <c r="F93" s="1275">
        <v>14375.7</v>
      </c>
      <c r="G93" s="1275">
        <v>14529.5</v>
      </c>
      <c r="H93" s="1275">
        <v>14653.9</v>
      </c>
      <c r="I93" s="1275">
        <v>14439.1</v>
      </c>
      <c r="J93" s="1275">
        <v>12989.7</v>
      </c>
      <c r="K93" s="1275">
        <v>14293.8</v>
      </c>
      <c r="L93" s="1275">
        <v>14467.6</v>
      </c>
      <c r="M93" s="1275">
        <v>15005.4</v>
      </c>
      <c r="N93" s="1276">
        <v>15672.6</v>
      </c>
      <c r="O93" s="1122"/>
      <c r="P93" s="1123"/>
      <c r="Q93" s="1123"/>
      <c r="R93" s="1123"/>
      <c r="S93" s="1123"/>
      <c r="T93" s="1123"/>
      <c r="U93" s="1123"/>
      <c r="V93" s="1123"/>
      <c r="W93" s="1123"/>
      <c r="X93" s="1123"/>
      <c r="Y93" s="1123"/>
      <c r="Z93" s="1123"/>
      <c r="AA93" s="1123"/>
      <c r="AB93" s="1123"/>
      <c r="AC93" s="1124"/>
    </row>
    <row r="94" spans="4:30">
      <c r="D94" s="217" t="s">
        <v>1210</v>
      </c>
      <c r="E94" s="1248"/>
      <c r="F94" s="1275">
        <v>1858.1</v>
      </c>
      <c r="G94" s="1275">
        <v>1859.3</v>
      </c>
      <c r="H94" s="1275">
        <v>1901</v>
      </c>
      <c r="I94" s="1275">
        <v>1690.4</v>
      </c>
      <c r="J94" s="1275">
        <v>1534.3</v>
      </c>
      <c r="K94" s="1275">
        <v>1981</v>
      </c>
      <c r="L94" s="1275">
        <v>1950.5</v>
      </c>
      <c r="M94" s="1275">
        <v>2085</v>
      </c>
      <c r="N94" s="1165"/>
      <c r="O94" s="1122"/>
      <c r="P94" s="1123"/>
      <c r="Q94" s="1123"/>
      <c r="R94" s="1123"/>
      <c r="S94" s="1123"/>
      <c r="T94" s="1123"/>
      <c r="U94" s="1123"/>
      <c r="V94" s="1123"/>
      <c r="W94" s="1123"/>
      <c r="X94" s="1123"/>
      <c r="Y94" s="1123"/>
      <c r="Z94" s="1123"/>
      <c r="AA94" s="1123"/>
      <c r="AB94" s="1123"/>
      <c r="AC94" s="1124"/>
    </row>
    <row r="95" spans="4:30">
      <c r="D95" s="852" t="s">
        <v>1213</v>
      </c>
      <c r="E95" s="1248"/>
      <c r="F95" s="48"/>
      <c r="G95" s="48"/>
      <c r="H95" s="48"/>
      <c r="I95" s="48"/>
      <c r="J95" s="48"/>
      <c r="K95" s="48"/>
      <c r="L95" s="48"/>
      <c r="M95" s="48"/>
      <c r="N95" s="1254"/>
      <c r="O95" s="1122"/>
      <c r="P95" s="1123"/>
      <c r="Q95" s="1123"/>
      <c r="R95" s="1123"/>
      <c r="S95" s="1123"/>
      <c r="T95" s="1123"/>
      <c r="U95" s="1123"/>
      <c r="V95" s="1123"/>
      <c r="W95" s="1123"/>
      <c r="X95" s="1123"/>
      <c r="Y95" s="1123"/>
      <c r="Z95" s="1123"/>
      <c r="AA95" s="1123"/>
      <c r="AB95" s="1123"/>
      <c r="AC95" s="1124"/>
    </row>
    <row r="96" spans="4:30">
      <c r="D96" s="1197" t="s">
        <v>573</v>
      </c>
      <c r="E96" s="1248"/>
      <c r="F96" s="532">
        <f>F17/F87</f>
        <v>3.5895174238717728E-2</v>
      </c>
      <c r="G96" s="532">
        <f t="shared" ref="G96:N96" si="42">G17/G87</f>
        <v>3.4063593592702418E-2</v>
      </c>
      <c r="H96" s="532">
        <f t="shared" si="42"/>
        <v>3.3485633059193824E-2</v>
      </c>
      <c r="I96" s="532">
        <f t="shared" si="42"/>
        <v>3.3741879311499565E-2</v>
      </c>
      <c r="J96" s="532">
        <f t="shared" si="42"/>
        <v>3.6779076791869515E-2</v>
      </c>
      <c r="K96" s="532">
        <f t="shared" si="42"/>
        <v>3.5257715169774446E-2</v>
      </c>
      <c r="L96" s="532">
        <f t="shared" si="42"/>
        <v>3.4547929635356772E-2</v>
      </c>
      <c r="M96" s="532">
        <f t="shared" si="42"/>
        <v>3.6833696059544084E-2</v>
      </c>
      <c r="N96" s="532">
        <f t="shared" si="42"/>
        <v>4.0029285021610551E-2</v>
      </c>
      <c r="O96" s="1255">
        <f>N96</f>
        <v>4.0029285021610551E-2</v>
      </c>
      <c r="P96" s="1256">
        <f t="shared" ref="P96:AC98" si="43">O96</f>
        <v>4.0029285021610551E-2</v>
      </c>
      <c r="Q96" s="1256">
        <f t="shared" si="43"/>
        <v>4.0029285021610551E-2</v>
      </c>
      <c r="R96" s="1256">
        <f t="shared" si="43"/>
        <v>4.0029285021610551E-2</v>
      </c>
      <c r="S96" s="1256">
        <f t="shared" si="43"/>
        <v>4.0029285021610551E-2</v>
      </c>
      <c r="T96" s="1256">
        <f t="shared" si="43"/>
        <v>4.0029285021610551E-2</v>
      </c>
      <c r="U96" s="1256">
        <f t="shared" si="43"/>
        <v>4.0029285021610551E-2</v>
      </c>
      <c r="V96" s="1256">
        <f t="shared" si="43"/>
        <v>4.0029285021610551E-2</v>
      </c>
      <c r="W96" s="1256">
        <f t="shared" si="43"/>
        <v>4.0029285021610551E-2</v>
      </c>
      <c r="X96" s="1256">
        <f t="shared" si="43"/>
        <v>4.0029285021610551E-2</v>
      </c>
      <c r="Y96" s="1256">
        <f t="shared" si="43"/>
        <v>4.0029285021610551E-2</v>
      </c>
      <c r="Z96" s="1256">
        <f t="shared" si="43"/>
        <v>4.0029285021610551E-2</v>
      </c>
      <c r="AA96" s="1256">
        <f t="shared" si="43"/>
        <v>4.0029285021610551E-2</v>
      </c>
      <c r="AB96" s="1256">
        <f t="shared" si="43"/>
        <v>4.0029285021610551E-2</v>
      </c>
      <c r="AC96" s="1257">
        <f t="shared" si="43"/>
        <v>4.0029285021610551E-2</v>
      </c>
      <c r="AD96" s="1261"/>
    </row>
    <row r="97" spans="4:30">
      <c r="D97" s="1197" t="s">
        <v>574</v>
      </c>
      <c r="E97" s="1248"/>
      <c r="F97" s="532">
        <f>F18/F92</f>
        <v>2.2101472712767107E-3</v>
      </c>
      <c r="G97" s="532">
        <f t="shared" ref="G97:M97" si="44">G18/G92</f>
        <v>2.1765235664965477E-3</v>
      </c>
      <c r="H97" s="532">
        <f t="shared" si="44"/>
        <v>2.1340432724814063E-3</v>
      </c>
      <c r="I97" s="532">
        <f t="shared" si="44"/>
        <v>2.092856176008163E-3</v>
      </c>
      <c r="J97" s="532">
        <f t="shared" si="44"/>
        <v>2.1271856554181982E-3</v>
      </c>
      <c r="K97" s="532">
        <f t="shared" si="44"/>
        <v>2.1147041008256909E-3</v>
      </c>
      <c r="L97" s="532">
        <f t="shared" si="44"/>
        <v>2.0954717366860882E-3</v>
      </c>
      <c r="M97" s="532">
        <f t="shared" si="44"/>
        <v>2.1459227467811154E-3</v>
      </c>
      <c r="N97" s="532">
        <f>N18/N92</f>
        <v>2.1751221643955343E-3</v>
      </c>
      <c r="O97" s="1255">
        <f t="shared" ref="O97:O99" si="45">AVERAGE(K97:N97)</f>
        <v>2.1328051871721074E-3</v>
      </c>
      <c r="P97" s="1256">
        <f t="shared" si="43"/>
        <v>2.1328051871721074E-3</v>
      </c>
      <c r="Q97" s="1256">
        <f t="shared" si="43"/>
        <v>2.1328051871721074E-3</v>
      </c>
      <c r="R97" s="1256">
        <f t="shared" si="43"/>
        <v>2.1328051871721074E-3</v>
      </c>
      <c r="S97" s="1256">
        <f t="shared" si="43"/>
        <v>2.1328051871721074E-3</v>
      </c>
      <c r="T97" s="1256">
        <f t="shared" si="43"/>
        <v>2.1328051871721074E-3</v>
      </c>
      <c r="U97" s="1256">
        <f t="shared" si="43"/>
        <v>2.1328051871721074E-3</v>
      </c>
      <c r="V97" s="1256">
        <f t="shared" si="43"/>
        <v>2.1328051871721074E-3</v>
      </c>
      <c r="W97" s="1256">
        <f t="shared" si="43"/>
        <v>2.1328051871721074E-3</v>
      </c>
      <c r="X97" s="1256">
        <f t="shared" si="43"/>
        <v>2.1328051871721074E-3</v>
      </c>
      <c r="Y97" s="1256">
        <f t="shared" si="43"/>
        <v>2.1328051871721074E-3</v>
      </c>
      <c r="Z97" s="1256">
        <f t="shared" si="43"/>
        <v>2.1328051871721074E-3</v>
      </c>
      <c r="AA97" s="1256">
        <f t="shared" si="43"/>
        <v>2.1328051871721074E-3</v>
      </c>
      <c r="AB97" s="1256">
        <f t="shared" si="43"/>
        <v>2.1328051871721074E-3</v>
      </c>
      <c r="AC97" s="1257">
        <f t="shared" si="43"/>
        <v>2.1328051871721074E-3</v>
      </c>
      <c r="AD97" s="1261"/>
    </row>
    <row r="98" spans="4:30">
      <c r="D98" s="1197" t="s">
        <v>572</v>
      </c>
      <c r="E98" s="1248"/>
      <c r="F98" s="532">
        <f>F19/F93</f>
        <v>9.3818040165000657E-2</v>
      </c>
      <c r="G98" s="532">
        <f t="shared" ref="G98:M98" si="46">G19/G93</f>
        <v>9.4435458893974325E-2</v>
      </c>
      <c r="H98" s="532">
        <f t="shared" si="46"/>
        <v>9.406369635387167E-2</v>
      </c>
      <c r="I98" s="532">
        <f t="shared" si="46"/>
        <v>9.635642110657866E-2</v>
      </c>
      <c r="J98" s="532">
        <f t="shared" si="46"/>
        <v>0.10178833999245555</v>
      </c>
      <c r="K98" s="532">
        <f t="shared" si="46"/>
        <v>9.7433852439519242E-2</v>
      </c>
      <c r="L98" s="532">
        <f t="shared" si="46"/>
        <v>9.6795598440653607E-2</v>
      </c>
      <c r="M98" s="532">
        <f t="shared" si="46"/>
        <v>9.4226078611699793E-2</v>
      </c>
      <c r="N98" s="532">
        <f>N19/N93</f>
        <v>9.3322103543764273E-2</v>
      </c>
      <c r="O98" s="1255">
        <f t="shared" si="45"/>
        <v>9.5444408258909236E-2</v>
      </c>
      <c r="P98" s="1256">
        <f t="shared" si="43"/>
        <v>9.5444408258909236E-2</v>
      </c>
      <c r="Q98" s="1256">
        <f t="shared" si="43"/>
        <v>9.5444408258909236E-2</v>
      </c>
      <c r="R98" s="1256">
        <f t="shared" si="43"/>
        <v>9.5444408258909236E-2</v>
      </c>
      <c r="S98" s="1256">
        <f t="shared" si="43"/>
        <v>9.5444408258909236E-2</v>
      </c>
      <c r="T98" s="1256">
        <f t="shared" si="43"/>
        <v>9.5444408258909236E-2</v>
      </c>
      <c r="U98" s="1256">
        <f t="shared" si="43"/>
        <v>9.5444408258909236E-2</v>
      </c>
      <c r="V98" s="1256">
        <f t="shared" si="43"/>
        <v>9.5444408258909236E-2</v>
      </c>
      <c r="W98" s="1256">
        <f t="shared" si="43"/>
        <v>9.5444408258909236E-2</v>
      </c>
      <c r="X98" s="1256">
        <f t="shared" si="43"/>
        <v>9.5444408258909236E-2</v>
      </c>
      <c r="Y98" s="1256">
        <f t="shared" si="43"/>
        <v>9.5444408258909236E-2</v>
      </c>
      <c r="Z98" s="1256">
        <f t="shared" si="43"/>
        <v>9.5444408258909236E-2</v>
      </c>
      <c r="AA98" s="1256">
        <f t="shared" si="43"/>
        <v>9.5444408258909236E-2</v>
      </c>
      <c r="AB98" s="1256">
        <f t="shared" si="43"/>
        <v>9.5444408258909236E-2</v>
      </c>
      <c r="AC98" s="1257">
        <f t="shared" si="43"/>
        <v>9.5444408258909236E-2</v>
      </c>
      <c r="AD98" s="1261"/>
    </row>
    <row r="99" spans="4:30">
      <c r="D99" s="1198" t="s">
        <v>1159</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74">
        <f>M99</f>
        <v>4.100719424460432E-2</v>
      </c>
      <c r="O99" s="1258">
        <f t="shared" si="45"/>
        <v>4.029564619759201E-2</v>
      </c>
      <c r="P99" s="1259">
        <f>O99</f>
        <v>4.029564619759201E-2</v>
      </c>
      <c r="Q99" s="1259">
        <f t="shared" ref="Q99:AC99" si="48">P99</f>
        <v>4.029564619759201E-2</v>
      </c>
      <c r="R99" s="1259">
        <f t="shared" si="48"/>
        <v>4.029564619759201E-2</v>
      </c>
      <c r="S99" s="1259">
        <f t="shared" si="48"/>
        <v>4.029564619759201E-2</v>
      </c>
      <c r="T99" s="1259">
        <f t="shared" si="48"/>
        <v>4.029564619759201E-2</v>
      </c>
      <c r="U99" s="1259">
        <f t="shared" si="48"/>
        <v>4.029564619759201E-2</v>
      </c>
      <c r="V99" s="1259">
        <f t="shared" si="48"/>
        <v>4.029564619759201E-2</v>
      </c>
      <c r="W99" s="1259">
        <f t="shared" si="48"/>
        <v>4.029564619759201E-2</v>
      </c>
      <c r="X99" s="1259">
        <f t="shared" si="48"/>
        <v>4.029564619759201E-2</v>
      </c>
      <c r="Y99" s="1259">
        <f t="shared" si="48"/>
        <v>4.029564619759201E-2</v>
      </c>
      <c r="Z99" s="1259">
        <f t="shared" si="48"/>
        <v>4.029564619759201E-2</v>
      </c>
      <c r="AA99" s="1259">
        <f t="shared" si="48"/>
        <v>4.029564619759201E-2</v>
      </c>
      <c r="AB99" s="1259">
        <f t="shared" si="48"/>
        <v>4.029564619759201E-2</v>
      </c>
      <c r="AC99" s="1260">
        <f t="shared" si="48"/>
        <v>4.029564619759201E-2</v>
      </c>
      <c r="AD99" s="1261"/>
    </row>
    <row r="101" spans="4:30" ht="18.5" customHeight="1"/>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baseColWidth="10" defaultColWidth="10.83203125" defaultRowHeight="15"/>
  <cols>
    <col min="1" max="16384" width="10.83203125" style="560"/>
  </cols>
  <sheetData>
    <row r="1" spans="1:207">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22731.4</v>
      </c>
    </row>
    <row r="3" spans="1:207">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19360.599999999999</v>
      </c>
    </row>
    <row r="4" spans="1:207">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117.547</v>
      </c>
    </row>
    <row r="5" spans="1:207">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15675.9</v>
      </c>
    </row>
    <row r="6" spans="1:207">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13660.2</v>
      </c>
    </row>
    <row r="7" spans="1:207">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114.77500000000001</v>
      </c>
    </row>
    <row r="8" spans="1:207">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115.19</v>
      </c>
    </row>
    <row r="9" spans="1:207">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121.509</v>
      </c>
    </row>
    <row r="10" spans="1:207">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121.39700000000001</v>
      </c>
    </row>
    <row r="11" spans="1:207">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122.035</v>
      </c>
    </row>
    <row r="12" spans="1:207">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735.5</v>
      </c>
    </row>
    <row r="14" spans="1:207">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480.5</v>
      </c>
    </row>
    <row r="15" spans="1:207">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4257.8999999999996</v>
      </c>
    </row>
    <row r="16" spans="1:207">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116</v>
      </c>
    </row>
    <row r="17" spans="1:207">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2412.1</v>
      </c>
      <c r="GY17" s="560">
        <v>2550.4</v>
      </c>
    </row>
    <row r="18" spans="1:207">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1640.2</v>
      </c>
    </row>
    <row r="19" spans="1:207">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351.7</v>
      </c>
    </row>
    <row r="20" spans="1:207">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4016</v>
      </c>
    </row>
    <row r="21" spans="1:207">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1564</v>
      </c>
    </row>
    <row r="22" spans="1:207">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114.756</v>
      </c>
    </row>
    <row r="23" spans="1:207">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1563.3</v>
      </c>
    </row>
    <row r="24" spans="1:207">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2452.6999999999998</v>
      </c>
    </row>
    <row r="25" spans="1:207">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1357.1</v>
      </c>
    </row>
    <row r="26" spans="1:207">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2018.5</v>
      </c>
    </row>
    <row r="27" spans="1:207">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1851.9</v>
      </c>
      <c r="GY27" s="560">
        <v>1927.2</v>
      </c>
    </row>
    <row r="28" spans="1:207">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177.6</v>
      </c>
    </row>
    <row r="29" spans="1:207">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261.2</v>
      </c>
    </row>
    <row r="30" spans="1:207">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1542.1</v>
      </c>
    </row>
    <row r="31" spans="1:207">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3367.3</v>
      </c>
    </row>
    <row r="32" spans="1:207">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623.29999999999995</v>
      </c>
    </row>
    <row r="34" spans="1:207">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1462.6</v>
      </c>
    </row>
    <row r="35" spans="1:207">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90.6</v>
      </c>
    </row>
    <row r="36" spans="1:207">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890.5</v>
      </c>
    </row>
    <row r="38" spans="1:207">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3342.9</v>
      </c>
    </row>
    <row r="39" spans="1:207">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683.6</v>
      </c>
    </row>
    <row r="43" spans="1:207">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692.2</v>
      </c>
    </row>
    <row r="45" spans="1:207">
      <c r="A45" s="560" t="s">
        <v>241</v>
      </c>
      <c r="GU45" s="560">
        <v>1078.0999999999999</v>
      </c>
      <c r="GV45" s="560">
        <v>15.6</v>
      </c>
      <c r="GW45" s="560">
        <v>5</v>
      </c>
      <c r="GX45" s="560">
        <v>1933.7</v>
      </c>
      <c r="GY45" s="560">
        <v>290.10000000000002</v>
      </c>
    </row>
    <row r="46" spans="1:207">
      <c r="A46" s="560" t="s">
        <v>242</v>
      </c>
      <c r="GU46" s="560">
        <v>9.6</v>
      </c>
      <c r="GV46" s="560">
        <v>14.4</v>
      </c>
      <c r="GW46" s="560">
        <v>14.3</v>
      </c>
      <c r="GX46" s="560">
        <v>14.2</v>
      </c>
      <c r="GY46" s="560">
        <v>14.1</v>
      </c>
    </row>
    <row r="47" spans="1:207">
      <c r="A47" s="560" t="s">
        <v>243</v>
      </c>
      <c r="GU47" s="560">
        <v>57.2</v>
      </c>
      <c r="GV47" s="560">
        <v>81.2</v>
      </c>
      <c r="GW47" s="560">
        <v>24.4</v>
      </c>
      <c r="GX47" s="560">
        <v>10.8</v>
      </c>
      <c r="GY47" s="560">
        <v>24.7</v>
      </c>
    </row>
    <row r="48" spans="1:207">
      <c r="A48" s="560" t="s">
        <v>244</v>
      </c>
      <c r="GT48" s="560">
        <v>1.5</v>
      </c>
      <c r="GU48" s="560">
        <v>160.9</v>
      </c>
      <c r="GV48" s="560">
        <v>58.4</v>
      </c>
      <c r="GW48" s="560">
        <v>34.5</v>
      </c>
      <c r="GX48" s="560">
        <v>42.8</v>
      </c>
      <c r="GY48" s="560">
        <v>26.6</v>
      </c>
    </row>
    <row r="49" spans="1:207">
      <c r="A49" s="560" t="s">
        <v>245</v>
      </c>
      <c r="GU49" s="560">
        <v>576.9</v>
      </c>
      <c r="GV49" s="560">
        <v>819.5</v>
      </c>
      <c r="GW49" s="560">
        <v>246.3</v>
      </c>
      <c r="GX49" s="560">
        <v>184.6</v>
      </c>
      <c r="GY49" s="560">
        <v>427.2</v>
      </c>
    </row>
    <row r="50" spans="1:207">
      <c r="A50" s="560" t="s">
        <v>246</v>
      </c>
      <c r="GU50" s="560">
        <v>63.8</v>
      </c>
      <c r="GV50" s="560">
        <v>15</v>
      </c>
      <c r="GW50" s="560">
        <v>0.1</v>
      </c>
      <c r="GX50" s="560">
        <v>38</v>
      </c>
      <c r="GY50" s="560">
        <v>47.3</v>
      </c>
    </row>
    <row r="51" spans="1:207">
      <c r="A51" s="560" t="s">
        <v>247</v>
      </c>
      <c r="GU51" s="560">
        <v>73.3</v>
      </c>
      <c r="GV51" s="560">
        <v>73.3</v>
      </c>
      <c r="GW51" s="560">
        <v>73.3</v>
      </c>
      <c r="GX51" s="560">
        <v>62.9</v>
      </c>
      <c r="GY51" s="560">
        <v>62.9</v>
      </c>
    </row>
    <row r="52" spans="1:207">
      <c r="A52" s="560" t="s">
        <v>248</v>
      </c>
      <c r="GU52" s="560">
        <v>22</v>
      </c>
      <c r="GV52" s="560">
        <v>25.3</v>
      </c>
      <c r="GW52" s="560">
        <v>11.8</v>
      </c>
      <c r="GX52" s="560">
        <v>9.8000000000000007</v>
      </c>
      <c r="GY52" s="560">
        <v>12.3</v>
      </c>
    </row>
    <row r="53" spans="1:207">
      <c r="A53" s="560" t="s">
        <v>249</v>
      </c>
      <c r="GU53" s="560">
        <v>16.899999999999999</v>
      </c>
      <c r="GV53" s="560">
        <v>18.399999999999999</v>
      </c>
      <c r="GW53" s="560">
        <v>46.2</v>
      </c>
      <c r="GX53" s="560">
        <v>0.9</v>
      </c>
      <c r="GY53" s="560">
        <v>1.8</v>
      </c>
    </row>
    <row r="54" spans="1:207">
      <c r="A54" s="560" t="s">
        <v>250</v>
      </c>
      <c r="GU54" s="560">
        <v>96.6</v>
      </c>
      <c r="GV54" s="560">
        <v>35.1</v>
      </c>
      <c r="GW54" s="560">
        <v>20.7</v>
      </c>
      <c r="GX54" s="560">
        <v>25.7</v>
      </c>
      <c r="GY54" s="560">
        <v>16</v>
      </c>
    </row>
    <row r="55" spans="1:207">
      <c r="A55" s="560" t="s">
        <v>251</v>
      </c>
      <c r="GU55" s="560">
        <v>140</v>
      </c>
      <c r="GV55" s="560">
        <v>140</v>
      </c>
      <c r="GW55" s="560">
        <v>140</v>
      </c>
      <c r="GX55" s="560">
        <v>8</v>
      </c>
      <c r="GY55" s="560">
        <v>8</v>
      </c>
    </row>
    <row r="56" spans="1:207">
      <c r="A56" s="560" t="s">
        <v>1</v>
      </c>
      <c r="GU56" s="560">
        <v>597.9</v>
      </c>
      <c r="GV56" s="560">
        <v>0</v>
      </c>
      <c r="GW56" s="560">
        <v>0</v>
      </c>
      <c r="GX56" s="560">
        <v>0</v>
      </c>
      <c r="GY56" s="560">
        <v>785.9</v>
      </c>
    </row>
    <row r="57" spans="1:207">
      <c r="A57" s="560" t="s">
        <v>2</v>
      </c>
      <c r="GU57" s="560">
        <v>28.4</v>
      </c>
      <c r="GV57" s="560">
        <v>15.8</v>
      </c>
      <c r="GW57" s="560">
        <v>15.2</v>
      </c>
      <c r="GX57" s="560">
        <v>28.9</v>
      </c>
      <c r="GY57" s="560">
        <v>67.599999999999994</v>
      </c>
    </row>
    <row r="58" spans="1:207">
      <c r="A58" s="560" t="s">
        <v>3</v>
      </c>
      <c r="GU58" s="560">
        <v>64.400000000000006</v>
      </c>
      <c r="GV58" s="560">
        <v>23.4</v>
      </c>
      <c r="GW58" s="560">
        <v>13.8</v>
      </c>
      <c r="GX58" s="560">
        <v>17.100000000000001</v>
      </c>
      <c r="GY58" s="560">
        <v>10.6</v>
      </c>
    </row>
    <row r="59" spans="1:207">
      <c r="A59" s="560" t="s">
        <v>195</v>
      </c>
      <c r="GU59" s="560">
        <v>6.3</v>
      </c>
      <c r="GV59" s="560">
        <v>26.7</v>
      </c>
      <c r="GW59" s="560">
        <v>82.1</v>
      </c>
      <c r="GX59" s="560">
        <v>97.8</v>
      </c>
      <c r="GY59" s="560">
        <v>104.5</v>
      </c>
    </row>
    <row r="60" spans="1:207">
      <c r="A60" s="560" t="s">
        <v>196</v>
      </c>
      <c r="GU60" s="560">
        <v>74.400000000000006</v>
      </c>
      <c r="GV60" s="560">
        <v>138.30000000000001</v>
      </c>
      <c r="GW60" s="560">
        <v>106.8</v>
      </c>
      <c r="GX60" s="560">
        <v>95.3</v>
      </c>
      <c r="GY60" s="560">
        <v>82.1</v>
      </c>
    </row>
    <row r="61" spans="1:207">
      <c r="A61" s="560" t="s">
        <v>197</v>
      </c>
      <c r="GU61" s="560">
        <v>698.9</v>
      </c>
      <c r="GV61" s="560">
        <v>413.9</v>
      </c>
      <c r="GW61" s="560">
        <v>14.7</v>
      </c>
      <c r="GX61" s="560">
        <v>286.89999999999998</v>
      </c>
      <c r="GY61" s="560">
        <v>237.2</v>
      </c>
    </row>
    <row r="62" spans="1:207">
      <c r="A62" s="560" t="s">
        <v>252</v>
      </c>
      <c r="GU62" s="560">
        <v>779.6</v>
      </c>
      <c r="GV62" s="560">
        <v>582.4</v>
      </c>
      <c r="GW62" s="560">
        <v>216.6</v>
      </c>
      <c r="GX62" s="560">
        <v>505</v>
      </c>
      <c r="GY62" s="560">
        <v>429.7</v>
      </c>
    </row>
    <row r="63" spans="1:207">
      <c r="A63" s="560" t="s">
        <v>194</v>
      </c>
      <c r="GU63" s="560">
        <v>0.1</v>
      </c>
      <c r="GV63" s="560">
        <v>3.7</v>
      </c>
      <c r="GW63" s="560">
        <v>12.9</v>
      </c>
      <c r="GX63" s="560">
        <v>25</v>
      </c>
      <c r="GY63" s="560">
        <v>5.8</v>
      </c>
    </row>
    <row r="64" spans="1:207">
      <c r="A64" s="560" t="s">
        <v>198</v>
      </c>
      <c r="GV64" s="560">
        <v>106.2</v>
      </c>
      <c r="GW64" s="560">
        <v>35.9</v>
      </c>
      <c r="GX64" s="560">
        <v>1.6</v>
      </c>
      <c r="GY64" s="560">
        <v>0.6</v>
      </c>
    </row>
    <row r="65" spans="1:207">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124.33499999999999</v>
      </c>
    </row>
    <row r="67" spans="1:207">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5025.6666666666697</v>
      </c>
    </row>
    <row r="73" spans="1:207">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13773.666666666701</v>
      </c>
    </row>
    <row r="74" spans="1:207">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317911</v>
      </c>
    </row>
    <row r="75" spans="1:207">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1.48584946385095E-2</v>
      </c>
    </row>
    <row r="76" spans="1:207">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1.5806848454274401E-2</v>
      </c>
    </row>
    <row r="77" spans="1:207">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9.8627975277254497E-3</v>
      </c>
    </row>
    <row r="78" spans="1:207">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1.75269645608629E-2</v>
      </c>
    </row>
    <row r="79" spans="1:207">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1.65635284167511E-2</v>
      </c>
    </row>
    <row r="80" spans="1:207">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88" t="s">
        <v>465</v>
      </c>
      <c r="B3" s="268"/>
      <c r="C3" s="264"/>
      <c r="D3" s="264"/>
      <c r="E3" s="264"/>
      <c r="F3" s="264"/>
      <c r="G3" s="264"/>
      <c r="H3" s="264"/>
      <c r="I3" s="264"/>
      <c r="J3" s="264"/>
      <c r="K3" s="264"/>
      <c r="L3" s="264"/>
      <c r="M3" s="264"/>
      <c r="N3" s="264"/>
      <c r="O3" s="264"/>
      <c r="P3" s="264"/>
    </row>
    <row r="4" spans="1:17">
      <c r="A4" s="289" t="s">
        <v>466</v>
      </c>
      <c r="B4" s="290"/>
      <c r="C4" s="290"/>
      <c r="D4" s="275"/>
      <c r="E4" s="275"/>
      <c r="F4" s="275"/>
      <c r="G4" s="275"/>
      <c r="H4" s="275"/>
      <c r="I4" s="275"/>
      <c r="J4" s="275"/>
      <c r="K4" s="275"/>
      <c r="L4" s="275"/>
      <c r="M4" s="275"/>
      <c r="N4" s="275"/>
      <c r="O4" s="275"/>
      <c r="P4" s="275"/>
    </row>
    <row r="7" spans="1:17">
      <c r="A7" s="1506" t="s">
        <v>467</v>
      </c>
      <c r="B7" s="1507"/>
      <c r="C7" s="1507"/>
      <c r="D7" s="1507"/>
      <c r="E7" s="1507"/>
      <c r="F7" s="1507"/>
      <c r="G7" s="1507"/>
      <c r="H7" s="1507"/>
      <c r="I7" s="1507"/>
      <c r="J7" s="1507"/>
      <c r="K7" s="1507"/>
      <c r="L7" s="1507"/>
      <c r="M7" s="1507"/>
      <c r="N7" s="1507"/>
      <c r="O7" s="1507"/>
      <c r="P7" s="1507"/>
    </row>
    <row r="8" spans="1:17">
      <c r="A8" s="276" t="s">
        <v>468</v>
      </c>
      <c r="B8" s="277"/>
      <c r="C8" s="278"/>
      <c r="D8" s="279"/>
      <c r="E8" s="278"/>
      <c r="F8" s="278"/>
      <c r="G8" s="278"/>
      <c r="H8" s="278"/>
      <c r="I8" s="278"/>
      <c r="J8" s="278"/>
      <c r="K8" s="278"/>
      <c r="L8" s="278"/>
      <c r="M8" s="278"/>
      <c r="N8" s="278"/>
      <c r="O8" s="278"/>
      <c r="P8" s="278"/>
    </row>
    <row r="9" spans="1:17">
      <c r="A9" s="270"/>
      <c r="B9" s="270"/>
      <c r="C9" s="270"/>
      <c r="D9" s="280"/>
      <c r="E9" s="270"/>
      <c r="F9" s="270"/>
      <c r="G9" s="270"/>
      <c r="H9" s="270"/>
      <c r="I9" s="270"/>
      <c r="J9" s="270"/>
      <c r="K9" s="270"/>
      <c r="L9" s="270"/>
      <c r="M9" s="270"/>
      <c r="N9" s="270"/>
      <c r="O9" s="270"/>
      <c r="P9" s="270"/>
    </row>
    <row r="10" spans="1:17">
      <c r="A10" s="281"/>
      <c r="B10" s="281"/>
      <c r="C10" s="270"/>
      <c r="D10" s="280"/>
      <c r="E10" s="270"/>
      <c r="F10" s="270"/>
      <c r="G10" s="270"/>
      <c r="H10" s="270"/>
      <c r="I10" s="270"/>
      <c r="J10" s="270"/>
      <c r="K10" s="270"/>
      <c r="L10" s="270"/>
      <c r="M10" s="270"/>
      <c r="N10" s="270"/>
      <c r="O10" s="1508" t="s">
        <v>5</v>
      </c>
      <c r="P10" s="1509"/>
    </row>
    <row r="11" spans="1:17">
      <c r="A11" s="281"/>
      <c r="B11" s="281"/>
      <c r="C11" s="271"/>
      <c r="D11" s="272"/>
      <c r="E11" s="271"/>
      <c r="F11" s="271"/>
      <c r="G11" s="271"/>
      <c r="H11" s="271"/>
      <c r="I11" s="271"/>
      <c r="J11" s="271"/>
      <c r="K11" s="271"/>
      <c r="L11" s="271"/>
      <c r="M11" s="271"/>
      <c r="N11" s="271"/>
      <c r="O11" s="265" t="s">
        <v>469</v>
      </c>
      <c r="P11" s="265" t="s">
        <v>469</v>
      </c>
    </row>
    <row r="12" spans="1:17">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c r="A14" s="281" t="s">
        <v>435</v>
      </c>
      <c r="B14" s="281"/>
      <c r="C14" s="281"/>
      <c r="D14" s="272"/>
      <c r="E14" s="267"/>
      <c r="F14" s="267"/>
      <c r="G14" s="267"/>
      <c r="H14" s="267"/>
      <c r="I14" s="267"/>
      <c r="J14" s="267"/>
      <c r="K14" s="267"/>
      <c r="L14" s="267"/>
      <c r="M14" s="267"/>
      <c r="N14" s="267"/>
      <c r="O14" s="267"/>
      <c r="P14" s="267"/>
      <c r="Q14" t="s">
        <v>482</v>
      </c>
    </row>
    <row r="15" spans="1:17">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c r="A21" s="267"/>
      <c r="B21" s="281"/>
      <c r="C21" s="267"/>
      <c r="D21" s="272"/>
      <c r="E21" s="272"/>
      <c r="F21" s="272"/>
      <c r="G21" s="272"/>
      <c r="H21" s="272"/>
      <c r="I21" s="272"/>
      <c r="J21" s="272"/>
      <c r="K21" s="272"/>
      <c r="L21" s="272"/>
      <c r="M21" s="272"/>
      <c r="N21" s="272"/>
      <c r="O21" s="272"/>
      <c r="P21" s="272"/>
    </row>
    <row r="22" spans="1:17" ht="16">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c r="A25" s="267" t="s">
        <v>438</v>
      </c>
      <c r="B25" s="281"/>
      <c r="C25" s="281"/>
      <c r="D25" s="272"/>
      <c r="E25" s="272"/>
      <c r="F25" s="272"/>
      <c r="G25" s="272"/>
      <c r="H25" s="272"/>
      <c r="I25" s="272"/>
      <c r="J25" s="272"/>
      <c r="K25" s="272"/>
      <c r="L25" s="272"/>
      <c r="M25" s="272"/>
      <c r="N25" s="272"/>
      <c r="O25" s="272"/>
      <c r="P25" s="272"/>
    </row>
    <row r="26" spans="1:17">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c r="A33" s="267"/>
      <c r="B33" s="281"/>
      <c r="C33" s="281"/>
      <c r="D33" s="283"/>
      <c r="E33" s="283"/>
      <c r="F33" s="283"/>
      <c r="G33" s="283"/>
      <c r="H33" s="283"/>
      <c r="I33" s="283"/>
      <c r="J33" s="283"/>
      <c r="K33" s="283"/>
      <c r="L33" s="283"/>
      <c r="M33" s="283"/>
      <c r="N33" s="283"/>
      <c r="O33" s="283"/>
      <c r="P33" s="283"/>
    </row>
    <row r="34" spans="1:16">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c r="A35" s="270"/>
      <c r="B35" s="270"/>
      <c r="C35" s="270"/>
      <c r="D35" s="300"/>
      <c r="E35" s="295"/>
      <c r="F35" s="271"/>
      <c r="G35" s="271"/>
      <c r="H35" s="271"/>
      <c r="I35" s="271"/>
      <c r="J35" s="271"/>
      <c r="K35" s="271"/>
      <c r="L35" s="271"/>
      <c r="M35" s="271"/>
      <c r="N35" s="271"/>
      <c r="O35" s="271"/>
      <c r="P35" s="271"/>
    </row>
    <row r="36" spans="1:16">
      <c r="A36" s="284" t="s">
        <v>476</v>
      </c>
      <c r="B36" s="284"/>
      <c r="C36" s="284"/>
      <c r="D36" s="285"/>
      <c r="E36" s="284"/>
      <c r="F36" s="284"/>
      <c r="G36" s="284"/>
      <c r="H36" s="284"/>
      <c r="I36" s="284"/>
      <c r="J36" s="284"/>
      <c r="K36" s="284"/>
      <c r="L36" s="284"/>
      <c r="M36" s="284"/>
      <c r="N36" s="284"/>
      <c r="O36" s="284"/>
      <c r="P36" s="284"/>
    </row>
    <row r="37" spans="1:16">
      <c r="A37" s="284"/>
      <c r="B37" s="284"/>
      <c r="C37" s="284"/>
      <c r="D37" s="285"/>
      <c r="E37" s="284"/>
      <c r="F37" s="284"/>
      <c r="G37" s="284"/>
      <c r="H37" s="284"/>
      <c r="I37" s="284"/>
      <c r="J37" s="284"/>
      <c r="K37" s="284"/>
      <c r="L37" s="284"/>
      <c r="M37" s="284"/>
      <c r="N37" s="284"/>
      <c r="O37" s="284"/>
      <c r="P37" s="284"/>
    </row>
    <row r="38" spans="1:16">
      <c r="A38" s="1512" t="s">
        <v>477</v>
      </c>
      <c r="B38" s="1512"/>
      <c r="C38" s="1512"/>
      <c r="D38" s="1512"/>
      <c r="E38" s="1512"/>
      <c r="F38" s="1512"/>
      <c r="G38" s="1512"/>
      <c r="H38" s="1512"/>
      <c r="I38" s="1512"/>
      <c r="J38" s="1512"/>
      <c r="K38" s="1512"/>
      <c r="L38" s="1512"/>
      <c r="M38" s="1512"/>
      <c r="N38" s="1512"/>
      <c r="O38" s="1512"/>
      <c r="P38" s="1512"/>
    </row>
    <row r="39" spans="1:16">
      <c r="A39" s="1512"/>
      <c r="B39" s="1512"/>
      <c r="C39" s="1512"/>
      <c r="D39" s="1512"/>
      <c r="E39" s="1512"/>
      <c r="F39" s="1512"/>
      <c r="G39" s="1512"/>
      <c r="H39" s="1512"/>
      <c r="I39" s="1512"/>
      <c r="J39" s="1512"/>
      <c r="K39" s="1512"/>
      <c r="L39" s="1512"/>
      <c r="M39" s="1512"/>
      <c r="N39" s="1512"/>
      <c r="O39" s="1512"/>
      <c r="P39" s="1512"/>
    </row>
    <row r="40" spans="1:16">
      <c r="A40" s="1512"/>
      <c r="B40" s="1512"/>
      <c r="C40" s="1512"/>
      <c r="D40" s="1512"/>
      <c r="E40" s="1512"/>
      <c r="F40" s="1512"/>
      <c r="G40" s="1512"/>
      <c r="H40" s="1512"/>
      <c r="I40" s="1512"/>
      <c r="J40" s="1512"/>
      <c r="K40" s="1512"/>
      <c r="L40" s="1512"/>
      <c r="M40" s="1512"/>
      <c r="N40" s="1512"/>
      <c r="O40" s="1512"/>
      <c r="P40" s="1512"/>
    </row>
    <row r="41" spans="1:16">
      <c r="A41" s="1512"/>
      <c r="B41" s="1512"/>
      <c r="C41" s="1512"/>
      <c r="D41" s="1512"/>
      <c r="E41" s="1512"/>
      <c r="F41" s="1512"/>
      <c r="G41" s="1512"/>
      <c r="H41" s="1512"/>
      <c r="I41" s="1512"/>
      <c r="J41" s="1512"/>
      <c r="K41" s="1512"/>
      <c r="L41" s="1512"/>
      <c r="M41" s="1512"/>
      <c r="N41" s="1512"/>
      <c r="O41" s="1512"/>
      <c r="P41" s="1512"/>
    </row>
    <row r="42" spans="1:16">
      <c r="A42" s="1512"/>
      <c r="B42" s="1512"/>
      <c r="C42" s="1512"/>
      <c r="D42" s="1512"/>
      <c r="E42" s="1512"/>
      <c r="F42" s="1512"/>
      <c r="G42" s="1512"/>
      <c r="H42" s="1512"/>
      <c r="I42" s="1512"/>
      <c r="J42" s="1512"/>
      <c r="K42" s="1512"/>
      <c r="L42" s="1512"/>
      <c r="M42" s="1512"/>
      <c r="N42" s="1512"/>
      <c r="O42" s="1512"/>
      <c r="P42" s="1512"/>
    </row>
    <row r="43" spans="1:16">
      <c r="A43" s="291"/>
      <c r="B43" s="291"/>
      <c r="C43" s="291"/>
      <c r="D43" s="291"/>
      <c r="E43" s="291"/>
      <c r="F43" s="291"/>
      <c r="G43" s="291"/>
      <c r="H43" s="291"/>
      <c r="I43" s="291"/>
      <c r="J43" s="291"/>
      <c r="K43" s="291"/>
      <c r="L43" s="291"/>
      <c r="M43" s="291"/>
      <c r="N43" s="291"/>
      <c r="O43" s="291"/>
      <c r="P43" s="291"/>
    </row>
    <row r="44" spans="1:16">
      <c r="A44" s="1513" t="s">
        <v>478</v>
      </c>
      <c r="B44" s="1513"/>
      <c r="C44" s="1513"/>
      <c r="D44" s="1513"/>
      <c r="E44" s="1513"/>
      <c r="F44" s="1513"/>
      <c r="G44" s="1513"/>
      <c r="H44" s="1513"/>
      <c r="I44" s="1513"/>
      <c r="J44" s="1513"/>
      <c r="K44" s="1513"/>
      <c r="L44" s="1513"/>
      <c r="M44" s="1513"/>
      <c r="N44" s="1513"/>
      <c r="O44" s="1513"/>
      <c r="P44" s="1513"/>
    </row>
    <row r="45" spans="1:16">
      <c r="A45" s="1513"/>
      <c r="B45" s="1513"/>
      <c r="C45" s="1513"/>
      <c r="D45" s="1513"/>
      <c r="E45" s="1513"/>
      <c r="F45" s="1513"/>
      <c r="G45" s="1513"/>
      <c r="H45" s="1513"/>
      <c r="I45" s="1513"/>
      <c r="J45" s="1513"/>
      <c r="K45" s="1513"/>
      <c r="L45" s="1513"/>
      <c r="M45" s="1513"/>
      <c r="N45" s="1513"/>
      <c r="O45" s="1513"/>
      <c r="P45" s="1513"/>
    </row>
    <row r="46" spans="1:16">
      <c r="A46" s="1513"/>
      <c r="B46" s="1513"/>
      <c r="C46" s="1513"/>
      <c r="D46" s="1513"/>
      <c r="E46" s="1513"/>
      <c r="F46" s="1513"/>
      <c r="G46" s="1513"/>
      <c r="H46" s="1513"/>
      <c r="I46" s="1513"/>
      <c r="J46" s="1513"/>
      <c r="K46" s="1513"/>
      <c r="L46" s="1513"/>
      <c r="M46" s="1513"/>
      <c r="N46" s="1513"/>
      <c r="O46" s="1513"/>
      <c r="P46" s="1513"/>
    </row>
    <row r="47" spans="1:16">
      <c r="A47" s="284"/>
      <c r="B47" s="284"/>
      <c r="C47" s="284"/>
      <c r="D47" s="285"/>
      <c r="E47" s="284"/>
      <c r="F47" s="284"/>
      <c r="G47" s="284"/>
      <c r="H47" s="284"/>
      <c r="I47" s="284"/>
      <c r="J47" s="284"/>
      <c r="K47" s="284"/>
      <c r="L47" s="284"/>
      <c r="M47" s="284"/>
      <c r="N47" s="284"/>
      <c r="O47" s="284"/>
      <c r="P47" s="284"/>
    </row>
    <row r="48" spans="1:16">
      <c r="A48" s="1510" t="s">
        <v>479</v>
      </c>
      <c r="B48" s="1511"/>
      <c r="C48" s="1511"/>
      <c r="D48" s="1511"/>
      <c r="E48" s="1511"/>
      <c r="F48" s="1511"/>
      <c r="G48" s="1511"/>
      <c r="H48" s="1511"/>
      <c r="I48" s="1511"/>
      <c r="J48" s="1511"/>
      <c r="K48" s="1511"/>
      <c r="L48" s="1511"/>
      <c r="M48" s="1511"/>
      <c r="N48" s="1511"/>
      <c r="O48" s="1511"/>
      <c r="P48" s="1511"/>
    </row>
    <row r="49" spans="1:16">
      <c r="A49" s="1511"/>
      <c r="B49" s="1511"/>
      <c r="C49" s="1511"/>
      <c r="D49" s="1511"/>
      <c r="E49" s="1511"/>
      <c r="F49" s="1511"/>
      <c r="G49" s="1511"/>
      <c r="H49" s="1511"/>
      <c r="I49" s="1511"/>
      <c r="J49" s="1511"/>
      <c r="K49" s="1511"/>
      <c r="L49" s="1511"/>
      <c r="M49" s="1511"/>
      <c r="N49" s="1511"/>
      <c r="O49" s="1511"/>
      <c r="P49" s="1511"/>
    </row>
    <row r="50" spans="1:16">
      <c r="A50" s="284"/>
      <c r="B50" s="284"/>
      <c r="C50" s="284"/>
      <c r="D50" s="285"/>
      <c r="E50" s="284"/>
      <c r="F50" s="284"/>
      <c r="G50" s="284"/>
      <c r="H50" s="284"/>
      <c r="I50" s="284"/>
      <c r="J50" s="284"/>
      <c r="K50" s="284"/>
      <c r="L50" s="284"/>
      <c r="M50" s="284"/>
      <c r="N50" s="284"/>
      <c r="O50" s="284"/>
      <c r="P50" s="284"/>
    </row>
    <row r="51" spans="1:16">
      <c r="A51" s="1505" t="s">
        <v>480</v>
      </c>
      <c r="B51" s="1505"/>
      <c r="C51" s="1505"/>
      <c r="D51" s="1505"/>
      <c r="E51" s="1505"/>
      <c r="F51" s="1505"/>
      <c r="G51" s="1505"/>
      <c r="H51" s="1505"/>
      <c r="I51" s="1505"/>
      <c r="J51" s="1505"/>
      <c r="K51" s="1505"/>
      <c r="L51" s="1505"/>
      <c r="M51" s="1505"/>
      <c r="N51" s="1505"/>
      <c r="O51" s="1505"/>
      <c r="P51" s="1505"/>
    </row>
    <row r="52" spans="1:16">
      <c r="A52" s="1505"/>
      <c r="B52" s="1505"/>
      <c r="C52" s="1505"/>
      <c r="D52" s="1505"/>
      <c r="E52" s="1505"/>
      <c r="F52" s="1505"/>
      <c r="G52" s="1505"/>
      <c r="H52" s="1505"/>
      <c r="I52" s="1505"/>
      <c r="J52" s="1505"/>
      <c r="K52" s="1505"/>
      <c r="L52" s="1505"/>
      <c r="M52" s="1505"/>
      <c r="N52" s="1505"/>
      <c r="O52" s="1505"/>
      <c r="P52" s="1505"/>
    </row>
    <row r="53" spans="1:16">
      <c r="A53" s="1505"/>
      <c r="B53" s="1505"/>
      <c r="C53" s="1505"/>
      <c r="D53" s="1505"/>
      <c r="E53" s="1505"/>
      <c r="F53" s="1505"/>
      <c r="G53" s="1505"/>
      <c r="H53" s="1505"/>
      <c r="I53" s="1505"/>
      <c r="J53" s="1505"/>
      <c r="K53" s="1505"/>
      <c r="L53" s="1505"/>
      <c r="M53" s="1505"/>
      <c r="N53" s="1505"/>
      <c r="O53" s="1505"/>
      <c r="P53" s="1505"/>
    </row>
    <row r="54" spans="1:16">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351</v>
      </c>
      <c r="C1" s="120"/>
      <c r="D1" s="120"/>
      <c r="E1" s="120"/>
      <c r="F1" s="120"/>
      <c r="G1" s="120"/>
      <c r="H1" s="120"/>
      <c r="I1" s="120"/>
      <c r="J1" s="120"/>
    </row>
    <row r="2" spans="1:10" ht="20">
      <c r="A2" s="121" t="s">
        <v>302</v>
      </c>
      <c r="B2" s="121" t="s">
        <v>349</v>
      </c>
      <c r="C2" s="163" t="s">
        <v>369</v>
      </c>
      <c r="D2" s="163" t="s">
        <v>388</v>
      </c>
      <c r="E2" s="122"/>
      <c r="F2" s="122"/>
      <c r="G2" s="122"/>
      <c r="H2" s="37"/>
      <c r="I2" s="120"/>
      <c r="J2" s="120"/>
    </row>
    <row r="3" spans="1:10">
      <c r="A3" s="124" t="s">
        <v>303</v>
      </c>
      <c r="B3" s="123">
        <f>SUM(B4:B7)</f>
        <v>325</v>
      </c>
      <c r="C3" s="120"/>
      <c r="D3" s="120"/>
      <c r="E3" s="1514" t="s">
        <v>355</v>
      </c>
      <c r="F3" s="1514"/>
      <c r="G3" s="120"/>
      <c r="H3" s="120"/>
      <c r="I3" s="120"/>
      <c r="J3" s="120"/>
    </row>
    <row r="4" spans="1:10">
      <c r="A4" s="113" t="s">
        <v>304</v>
      </c>
      <c r="B4" s="123">
        <v>284</v>
      </c>
      <c r="C4" s="120"/>
      <c r="D4" s="120"/>
      <c r="E4" s="119" t="s">
        <v>101</v>
      </c>
      <c r="F4" s="119" t="s">
        <v>354</v>
      </c>
      <c r="G4" s="120"/>
      <c r="H4" s="120"/>
      <c r="I4" s="120"/>
      <c r="J4" s="120"/>
    </row>
    <row r="5" spans="1:10">
      <c r="A5" s="113" t="s">
        <v>305</v>
      </c>
      <c r="B5" s="123">
        <v>20</v>
      </c>
      <c r="C5" s="120"/>
      <c r="D5" s="120"/>
      <c r="E5" s="120" t="s">
        <v>290</v>
      </c>
      <c r="F5" s="120">
        <f>SUM(B11:B16)</f>
        <v>82</v>
      </c>
      <c r="G5" s="120"/>
      <c r="H5" s="120"/>
      <c r="I5" s="120"/>
      <c r="J5" s="120"/>
    </row>
    <row r="6" spans="1:10">
      <c r="A6" s="113" t="s">
        <v>306</v>
      </c>
      <c r="B6" s="123">
        <v>15</v>
      </c>
      <c r="C6" s="120"/>
      <c r="D6" s="120"/>
      <c r="E6" s="120" t="s">
        <v>390</v>
      </c>
      <c r="F6" s="120">
        <f>B23</f>
        <v>3</v>
      </c>
      <c r="G6" s="120"/>
      <c r="H6" s="120"/>
      <c r="I6" s="120"/>
      <c r="J6" s="120"/>
    </row>
    <row r="7" spans="1:10">
      <c r="A7" s="113" t="s">
        <v>307</v>
      </c>
      <c r="B7" s="123">
        <v>6</v>
      </c>
      <c r="C7" s="120"/>
      <c r="D7" s="120"/>
      <c r="E7" s="120" t="s">
        <v>288</v>
      </c>
      <c r="F7" s="120">
        <f>B27-B28</f>
        <v>29</v>
      </c>
      <c r="G7" s="120"/>
      <c r="H7" s="120"/>
      <c r="I7" s="120"/>
      <c r="J7" s="120"/>
    </row>
    <row r="8" spans="1:10">
      <c r="A8" s="119" t="s">
        <v>308</v>
      </c>
      <c r="B8" s="123">
        <v>121</v>
      </c>
      <c r="E8" s="120" t="s">
        <v>389</v>
      </c>
      <c r="F8" s="120">
        <f>B42</f>
        <v>2</v>
      </c>
    </row>
    <row r="9" spans="1:10">
      <c r="A9" s="125" t="s">
        <v>309</v>
      </c>
      <c r="B9" s="123">
        <v>166</v>
      </c>
      <c r="E9" s="36" t="s">
        <v>391</v>
      </c>
      <c r="F9" s="36">
        <f>B18+B20+B21</f>
        <v>34</v>
      </c>
    </row>
    <row r="10" spans="1:10">
      <c r="A10" s="114" t="s">
        <v>287</v>
      </c>
      <c r="B10" s="123">
        <v>82</v>
      </c>
      <c r="E10" s="57" t="s">
        <v>353</v>
      </c>
      <c r="F10" s="57" t="s">
        <v>352</v>
      </c>
    </row>
    <row r="11" spans="1:10">
      <c r="A11" s="113" t="s">
        <v>311</v>
      </c>
      <c r="B11" s="123">
        <v>54</v>
      </c>
      <c r="E11" s="36" t="s">
        <v>362</v>
      </c>
      <c r="F11" s="36">
        <f>B4</f>
        <v>284</v>
      </c>
    </row>
    <row r="12" spans="1:10">
      <c r="A12" s="113" t="s">
        <v>312</v>
      </c>
      <c r="B12" s="123">
        <v>20</v>
      </c>
      <c r="E12" s="36" t="s">
        <v>363</v>
      </c>
      <c r="F12" s="36">
        <f>B5</f>
        <v>20</v>
      </c>
    </row>
    <row r="13" spans="1:10">
      <c r="A13" s="113" t="s">
        <v>346</v>
      </c>
      <c r="B13" s="123">
        <v>4</v>
      </c>
      <c r="E13" s="36" t="s">
        <v>306</v>
      </c>
      <c r="F13" s="36">
        <f>B6</f>
        <v>15</v>
      </c>
    </row>
    <row r="14" spans="1:10" ht="30">
      <c r="A14" s="113" t="s">
        <v>313</v>
      </c>
      <c r="B14" s="123">
        <v>2</v>
      </c>
      <c r="E14" s="44" t="s">
        <v>307</v>
      </c>
      <c r="F14" s="36">
        <f>B7</f>
        <v>6</v>
      </c>
    </row>
    <row r="15" spans="1:10" ht="30">
      <c r="A15" s="113" t="s">
        <v>314</v>
      </c>
      <c r="B15" s="123">
        <v>1</v>
      </c>
      <c r="E15" s="44" t="s">
        <v>326</v>
      </c>
      <c r="F15" s="36">
        <f>B28</f>
        <v>15</v>
      </c>
    </row>
    <row r="16" spans="1:10">
      <c r="A16" s="113" t="s">
        <v>316</v>
      </c>
      <c r="B16" s="123">
        <v>1</v>
      </c>
      <c r="E16" s="36" t="s">
        <v>333</v>
      </c>
      <c r="F16" s="36">
        <f>B37</f>
        <v>12</v>
      </c>
    </row>
    <row r="17" spans="1:6">
      <c r="A17" s="57" t="s">
        <v>318</v>
      </c>
      <c r="B17" s="123">
        <v>72</v>
      </c>
      <c r="E17" s="36" t="s">
        <v>334</v>
      </c>
      <c r="F17" s="36">
        <f>B38</f>
        <v>10</v>
      </c>
    </row>
    <row r="18" spans="1:6">
      <c r="A18" s="113" t="s">
        <v>319</v>
      </c>
      <c r="B18" s="123">
        <v>22</v>
      </c>
      <c r="C18" s="36" t="s">
        <v>370</v>
      </c>
    </row>
    <row r="19" spans="1:6">
      <c r="A19" s="113" t="s">
        <v>310</v>
      </c>
      <c r="B19" s="123">
        <v>20</v>
      </c>
      <c r="C19" s="36" t="s">
        <v>382</v>
      </c>
    </row>
    <row r="20" spans="1:6">
      <c r="A20" s="113" t="s">
        <v>320</v>
      </c>
      <c r="B20" s="123">
        <v>8</v>
      </c>
      <c r="C20" s="36" t="s">
        <v>370</v>
      </c>
    </row>
    <row r="21" spans="1:6">
      <c r="A21" s="113" t="s">
        <v>321</v>
      </c>
      <c r="B21" s="123">
        <v>4</v>
      </c>
      <c r="C21" s="36" t="s">
        <v>101</v>
      </c>
    </row>
    <row r="22" spans="1:6">
      <c r="A22" s="127" t="s">
        <v>356</v>
      </c>
      <c r="B22" s="123">
        <v>4</v>
      </c>
      <c r="C22" s="36" t="s">
        <v>382</v>
      </c>
    </row>
    <row r="23" spans="1:6">
      <c r="A23" s="113" t="s">
        <v>322</v>
      </c>
      <c r="B23" s="123">
        <v>3</v>
      </c>
      <c r="C23" s="36" t="s">
        <v>383</v>
      </c>
    </row>
    <row r="24" spans="1:6">
      <c r="A24" s="127" t="s">
        <v>323</v>
      </c>
      <c r="B24" s="123">
        <v>3</v>
      </c>
      <c r="C24" s="36" t="s">
        <v>384</v>
      </c>
    </row>
    <row r="25" spans="1:6">
      <c r="A25" s="126" t="s">
        <v>324</v>
      </c>
      <c r="B25" s="123">
        <v>3</v>
      </c>
      <c r="C25" s="36" t="s">
        <v>385</v>
      </c>
    </row>
    <row r="26" spans="1:6">
      <c r="A26" s="113" t="s">
        <v>325</v>
      </c>
      <c r="B26" s="123">
        <v>4</v>
      </c>
      <c r="C26" s="36" t="s">
        <v>371</v>
      </c>
    </row>
    <row r="27" spans="1:6">
      <c r="A27" s="57" t="s">
        <v>288</v>
      </c>
      <c r="B27" s="123">
        <v>44</v>
      </c>
    </row>
    <row r="28" spans="1:6">
      <c r="A28" s="153" t="s">
        <v>326</v>
      </c>
      <c r="B28" s="154">
        <v>15</v>
      </c>
    </row>
    <row r="29" spans="1:6">
      <c r="A29" s="113" t="s">
        <v>327</v>
      </c>
      <c r="B29" s="123">
        <v>14</v>
      </c>
    </row>
    <row r="30" spans="1:6">
      <c r="A30" s="113" t="s">
        <v>328</v>
      </c>
      <c r="B30" s="123">
        <v>10</v>
      </c>
    </row>
    <row r="31" spans="1:6">
      <c r="A31" s="113" t="s">
        <v>329</v>
      </c>
      <c r="B31" s="123">
        <v>2</v>
      </c>
    </row>
    <row r="32" spans="1:6">
      <c r="A32" s="113" t="s">
        <v>330</v>
      </c>
      <c r="B32" s="123">
        <v>2</v>
      </c>
    </row>
    <row r="33" spans="1:6">
      <c r="A33" s="113" t="s">
        <v>331</v>
      </c>
      <c r="B33" s="123">
        <v>1</v>
      </c>
    </row>
    <row r="34" spans="1:6">
      <c r="A34" s="57" t="s">
        <v>315</v>
      </c>
      <c r="B34" s="123">
        <v>88</v>
      </c>
    </row>
    <row r="35" spans="1:6">
      <c r="A35" s="126" t="s">
        <v>332</v>
      </c>
      <c r="B35" s="123">
        <v>26</v>
      </c>
    </row>
    <row r="36" spans="1:6">
      <c r="A36" s="127" t="s">
        <v>365</v>
      </c>
      <c r="B36" s="123">
        <v>25</v>
      </c>
    </row>
    <row r="37" spans="1:6">
      <c r="A37" s="113" t="s">
        <v>333</v>
      </c>
      <c r="B37" s="123">
        <v>12</v>
      </c>
      <c r="C37" s="36" t="s">
        <v>380</v>
      </c>
      <c r="E37" s="36" t="s">
        <v>374</v>
      </c>
      <c r="F37" s="36" t="s">
        <v>375</v>
      </c>
    </row>
    <row r="38" spans="1:6">
      <c r="A38" s="113" t="s">
        <v>334</v>
      </c>
      <c r="B38" s="123">
        <v>10</v>
      </c>
      <c r="C38" s="36" t="s">
        <v>380</v>
      </c>
      <c r="E38" s="36" t="s">
        <v>381</v>
      </c>
      <c r="F38" s="36" t="s">
        <v>376</v>
      </c>
    </row>
    <row r="39" spans="1:6">
      <c r="A39" s="113" t="s">
        <v>335</v>
      </c>
      <c r="B39" s="123">
        <v>7</v>
      </c>
      <c r="C39" s="36" t="s">
        <v>371</v>
      </c>
      <c r="E39" s="36" t="s">
        <v>378</v>
      </c>
      <c r="F39" s="36" t="s">
        <v>377</v>
      </c>
    </row>
    <row r="40" spans="1:6">
      <c r="A40" s="113" t="s">
        <v>336</v>
      </c>
      <c r="B40" s="123">
        <v>5</v>
      </c>
      <c r="C40" s="36" t="s">
        <v>382</v>
      </c>
      <c r="E40" s="36" t="s">
        <v>379</v>
      </c>
    </row>
    <row r="41" spans="1:6">
      <c r="A41" s="113" t="s">
        <v>337</v>
      </c>
      <c r="B41" s="123">
        <v>2</v>
      </c>
      <c r="C41" s="36" t="s">
        <v>371</v>
      </c>
      <c r="E41" s="36" t="s">
        <v>373</v>
      </c>
    </row>
    <row r="42" spans="1:6">
      <c r="A42" s="113" t="s">
        <v>338</v>
      </c>
      <c r="B42" s="123">
        <v>2</v>
      </c>
      <c r="C42" s="36" t="s">
        <v>370</v>
      </c>
      <c r="E42" s="162" t="s">
        <v>368</v>
      </c>
    </row>
    <row r="43" spans="1:6">
      <c r="A43" s="113" t="s">
        <v>339</v>
      </c>
      <c r="B43" s="123">
        <v>0</v>
      </c>
      <c r="E43" s="36" t="s">
        <v>372</v>
      </c>
    </row>
    <row r="44" spans="1:6">
      <c r="A44" s="119" t="s">
        <v>317</v>
      </c>
      <c r="B44" s="128">
        <v>40</v>
      </c>
    </row>
    <row r="45" spans="1:6">
      <c r="A45" s="126" t="s">
        <v>340</v>
      </c>
      <c r="B45" s="129">
        <v>21</v>
      </c>
    </row>
    <row r="46" spans="1:6">
      <c r="A46" s="127" t="s">
        <v>341</v>
      </c>
      <c r="B46" s="128">
        <v>6</v>
      </c>
    </row>
    <row r="47" spans="1:6">
      <c r="A47" s="126" t="s">
        <v>342</v>
      </c>
      <c r="B47" s="129">
        <v>4</v>
      </c>
    </row>
    <row r="48" spans="1:6">
      <c r="A48" s="127" t="s">
        <v>343</v>
      </c>
      <c r="B48" s="128">
        <v>4</v>
      </c>
    </row>
    <row r="49" spans="1:2">
      <c r="A49" s="126" t="s">
        <v>344</v>
      </c>
      <c r="B49" s="129">
        <v>3</v>
      </c>
    </row>
    <row r="50" spans="1:2">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baseColWidth="10" defaultColWidth="9" defaultRowHeight="15"/>
  <cols>
    <col min="1" max="1" width="6.33203125" customWidth="1"/>
    <col min="2" max="2" width="8.1640625" style="308" bestFit="1" customWidth="1"/>
    <col min="3" max="3" width="9" style="308"/>
    <col min="4" max="4" width="7.1640625" style="324" bestFit="1" customWidth="1"/>
    <col min="5" max="5" width="8.83203125" style="308" bestFit="1" customWidth="1"/>
    <col min="6" max="6" width="9" style="308"/>
    <col min="7" max="7" width="8.1640625" style="308" bestFit="1" customWidth="1"/>
    <col min="8" max="8" width="7.1640625" style="308" bestFit="1" customWidth="1"/>
    <col min="9" max="9" width="9" style="324"/>
    <col min="10" max="10" width="8.5" style="324" bestFit="1" customWidth="1"/>
    <col min="11" max="11" width="9" style="324"/>
    <col min="12" max="12" width="8.5" style="308" bestFit="1" customWidth="1"/>
    <col min="13" max="13" width="8.6640625" style="308" bestFit="1" customWidth="1"/>
    <col min="14" max="14" width="7.6640625" style="324" bestFit="1" customWidth="1"/>
    <col min="15" max="36" width="8.6640625" customWidth="1"/>
    <col min="37" max="40" width="8.6640625" style="308" customWidth="1"/>
    <col min="41" max="41" width="8.6640625" style="560" customWidth="1"/>
    <col min="42" max="42" width="8.6640625" customWidth="1"/>
    <col min="43" max="46" width="8.6640625" style="560" customWidth="1"/>
    <col min="47" max="51" width="8.6640625" customWidth="1"/>
    <col min="52" max="52" width="8.6640625" style="560" customWidth="1"/>
    <col min="53" max="53" width="8.6640625" style="308" customWidth="1"/>
    <col min="54" max="62" width="8.6640625" customWidth="1"/>
  </cols>
  <sheetData>
    <row r="1" spans="1:62" s="308" customFormat="1">
      <c r="D1" s="324"/>
      <c r="I1" s="1515"/>
      <c r="J1" s="1515"/>
      <c r="K1" s="1515"/>
      <c r="N1" s="324"/>
      <c r="AO1" s="560"/>
      <c r="AQ1" s="560"/>
      <c r="AR1" s="560"/>
      <c r="AS1" s="560"/>
      <c r="AT1" s="560"/>
      <c r="AZ1" s="560"/>
    </row>
    <row r="2" spans="1:62" s="1" customFormat="1" ht="13" customHeight="1">
      <c r="A2" s="315"/>
      <c r="O2" s="1516" t="s">
        <v>8</v>
      </c>
      <c r="P2" s="1516"/>
      <c r="Q2" s="1516"/>
      <c r="R2" s="1516"/>
      <c r="S2" s="1516"/>
      <c r="T2" s="314"/>
      <c r="U2" s="314"/>
      <c r="V2" s="314"/>
      <c r="W2" s="314"/>
      <c r="X2" s="314"/>
      <c r="Y2" s="1517" t="s">
        <v>9</v>
      </c>
      <c r="Z2" s="1518"/>
      <c r="AA2" s="1518"/>
      <c r="AB2" s="1518"/>
      <c r="AC2" s="1518"/>
      <c r="AD2" s="1518"/>
      <c r="AE2" s="314"/>
      <c r="AF2" s="314"/>
      <c r="AG2" s="1519" t="s">
        <v>10</v>
      </c>
      <c r="AH2" s="1518"/>
      <c r="AI2" s="1518"/>
      <c r="AJ2" s="1521" t="s">
        <v>11</v>
      </c>
      <c r="AK2" s="1521"/>
      <c r="AL2" s="1521"/>
      <c r="AM2" s="1521"/>
      <c r="AN2" s="1521"/>
      <c r="AO2" s="1521"/>
      <c r="AP2" s="1521"/>
      <c r="AQ2" s="1521"/>
      <c r="AR2" s="1521"/>
      <c r="AS2" s="1521"/>
      <c r="AT2" s="787"/>
      <c r="AU2" s="1520" t="s">
        <v>144</v>
      </c>
      <c r="AV2" s="1520"/>
      <c r="AW2" s="1520"/>
      <c r="AX2" s="1520"/>
      <c r="AY2" s="1520"/>
      <c r="AZ2" s="1520"/>
      <c r="BA2" s="1520"/>
      <c r="BB2" s="611"/>
      <c r="BC2" s="611"/>
      <c r="BD2" s="611"/>
      <c r="BE2" s="611"/>
      <c r="BF2" s="611"/>
      <c r="BG2" s="611"/>
      <c r="BH2" s="611"/>
      <c r="BI2" s="611"/>
      <c r="BJ2" s="620" t="s">
        <v>711</v>
      </c>
    </row>
    <row r="3" spans="1:62" ht="48">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1173</v>
      </c>
      <c r="BD3" s="621" t="s">
        <v>1172</v>
      </c>
      <c r="BE3" s="621" t="s">
        <v>49</v>
      </c>
      <c r="BF3" s="621" t="s">
        <v>50</v>
      </c>
      <c r="BG3" s="621" t="s">
        <v>51</v>
      </c>
      <c r="BH3" s="621" t="s">
        <v>52</v>
      </c>
      <c r="BI3" s="621" t="s">
        <v>53</v>
      </c>
      <c r="BJ3" s="615" t="s">
        <v>46</v>
      </c>
    </row>
    <row r="4" spans="1:62" s="612" customFormat="1" ht="63" customHeight="1">
      <c r="A4" s="624" t="s">
        <v>537</v>
      </c>
      <c r="B4" s="315" t="s">
        <v>131</v>
      </c>
      <c r="C4" s="315" t="s">
        <v>516</v>
      </c>
      <c r="D4" s="315" t="s">
        <v>433</v>
      </c>
      <c r="E4" s="315" t="s">
        <v>513</v>
      </c>
      <c r="F4" s="315" t="s">
        <v>515</v>
      </c>
      <c r="G4" s="315" t="s">
        <v>1177</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1169</v>
      </c>
      <c r="BD18" s="8" t="s">
        <v>1169</v>
      </c>
      <c r="BE18" s="8"/>
      <c r="BF18" s="8" t="s">
        <v>1169</v>
      </c>
      <c r="BG18" s="8" t="s">
        <v>1169</v>
      </c>
      <c r="BI18" s="8" t="s">
        <v>1169</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baseColWidth="10" defaultColWidth="8.83203125" defaultRowHeight="15"/>
  <cols>
    <col min="1" max="1" width="23.1640625" customWidth="1"/>
  </cols>
  <sheetData>
    <row r="1" spans="1:22">
      <c r="A1" s="375" t="s">
        <v>567</v>
      </c>
      <c r="B1" s="375"/>
      <c r="C1" s="375"/>
      <c r="D1" s="375"/>
    </row>
    <row r="2" spans="1:22" s="308" customFormat="1">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9">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9">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9">
      <c r="A17" s="24" t="s">
        <v>1166</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1168</v>
      </c>
    </row>
    <row r="19" spans="1:23">
      <c r="B19" s="1104">
        <f>'Federal and State Purchases'!M29</f>
        <v>1.5312550207230657E-2</v>
      </c>
      <c r="C19" s="1104">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5" customFormat="1">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ht="16">
      <c r="A4" s="225">
        <v>5</v>
      </c>
      <c r="B4" s="335" t="s">
        <v>513</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ht="16">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ht="16">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ht="16">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ht="16">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ht="16">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c r="A17" s="225" t="s">
        <v>1171</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c r="B19" s="195" t="s">
        <v>1175</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c r="B21" s="1052"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c r="B22" s="1052" t="s">
        <v>1174</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c r="B23" s="1055"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c r="B24" s="1055" t="s">
        <v>1176</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c r="B25" s="1055"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c r="B27" s="225" t="s">
        <v>1167</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ht="16">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ht="16">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ht="16">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ht="16">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ht="16">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ht="16">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ht="16">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ht="16">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ht="16">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ht="16">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ht="16">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ht="16">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ht="16">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ht="16">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ht="16">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c r="S44" s="225">
        <f>($S$9+$S$10)*'ARP Timing'!B$16</f>
        <v>1.9374600000000002</v>
      </c>
      <c r="T44" s="225">
        <f>($S$9+$S$10)*'ARP Timing'!C$16</f>
        <v>1.9374600000000002</v>
      </c>
      <c r="U44" s="225">
        <f>($S$9+$S$10)*'ARP Timing'!D$16</f>
        <v>1.356222</v>
      </c>
      <c r="V44" s="225">
        <f>($S$9+$S$10)*'ARP Timing'!E$16</f>
        <v>1.356222</v>
      </c>
    </row>
    <row r="45" spans="1:23" s="225" customFormat="1"/>
    <row r="46" spans="1:23">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ht="16">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ht="16">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ht="16">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ht="16">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ht="16">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ht="16">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ht="16">
      <c r="B54" s="335" t="s">
        <v>709</v>
      </c>
      <c r="C54" s="337"/>
      <c r="H54" s="337"/>
    </row>
    <row r="55" spans="1:22" s="225" customFormat="1" ht="16">
      <c r="A55" s="225">
        <v>2023</v>
      </c>
      <c r="B55" s="335" t="s">
        <v>706</v>
      </c>
      <c r="C55" s="337"/>
      <c r="H55" s="337"/>
    </row>
    <row r="56" spans="1:22" s="225" customFormat="1" ht="16">
      <c r="B56" s="335" t="s">
        <v>707</v>
      </c>
      <c r="C56" s="337"/>
      <c r="H56" s="337"/>
    </row>
    <row r="57" spans="1:22" s="225" customFormat="1" ht="16">
      <c r="B57" s="335" t="s">
        <v>708</v>
      </c>
      <c r="C57" s="337"/>
      <c r="H57" s="337"/>
    </row>
    <row r="58" spans="1:22" s="225" customFormat="1" ht="16">
      <c r="B58" s="335" t="s">
        <v>709</v>
      </c>
      <c r="C58" s="337"/>
      <c r="H58" s="337"/>
    </row>
    <row r="59" spans="1:22" s="225" customFormat="1" ht="16">
      <c r="A59" s="225">
        <v>2024</v>
      </c>
      <c r="B59" s="335" t="s">
        <v>706</v>
      </c>
      <c r="C59" s="337"/>
      <c r="H59" s="337"/>
    </row>
    <row r="60" spans="1:22" s="225" customFormat="1" ht="16">
      <c r="B60" s="335" t="s">
        <v>707</v>
      </c>
      <c r="C60" s="337"/>
      <c r="H60" s="337"/>
    </row>
    <row r="61" spans="1:22" s="225" customFormat="1" ht="16">
      <c r="B61" s="335" t="s">
        <v>708</v>
      </c>
      <c r="C61" s="337"/>
      <c r="H61" s="337"/>
    </row>
    <row r="62" spans="1:22" s="225" customFormat="1" ht="16">
      <c r="B62" s="335" t="s">
        <v>709</v>
      </c>
      <c r="C62" s="337"/>
      <c r="H62" s="337"/>
    </row>
    <row r="63" spans="1:22" s="225" customFormat="1">
      <c r="B63" s="335"/>
      <c r="C63" s="337"/>
      <c r="H63" s="337"/>
    </row>
    <row r="64" spans="1:22" s="225" customFormat="1">
      <c r="B64" s="335"/>
      <c r="C64" s="337"/>
      <c r="H64" s="337"/>
    </row>
    <row r="65" spans="2:25" s="225" customFormat="1">
      <c r="B65" s="335"/>
      <c r="C65" s="337"/>
      <c r="H65" s="337"/>
    </row>
    <row r="66" spans="2:25" s="225" customFormat="1">
      <c r="B66" s="335"/>
      <c r="C66" s="337"/>
      <c r="H66" s="337"/>
    </row>
    <row r="67" spans="2:25" s="225" customFormat="1">
      <c r="B67" s="335"/>
      <c r="C67" s="337"/>
      <c r="H67" s="337"/>
    </row>
    <row r="68" spans="2:25" s="225" customFormat="1">
      <c r="B68" s="335"/>
      <c r="C68" s="337"/>
      <c r="H68" s="337"/>
    </row>
    <row r="69" spans="2:25" s="225" customFormat="1">
      <c r="B69" s="335"/>
      <c r="C69" s="337"/>
      <c r="H69" s="337"/>
    </row>
    <row r="70" spans="2:25" s="225" customFormat="1">
      <c r="B70" s="335"/>
      <c r="C70" s="337"/>
      <c r="H70" s="337"/>
    </row>
    <row r="71" spans="2:25" s="225" customFormat="1">
      <c r="B71" s="335"/>
      <c r="C71" s="337"/>
      <c r="H71" s="337"/>
    </row>
    <row r="72" spans="2:25" s="225" customFormat="1">
      <c r="B72" s="335"/>
      <c r="C72" s="337"/>
      <c r="H72" s="337"/>
    </row>
    <row r="73" spans="2:25" ht="16">
      <c r="B73" s="335" t="s">
        <v>543</v>
      </c>
      <c r="C73" s="342">
        <v>2021</v>
      </c>
      <c r="D73" s="333">
        <v>2022</v>
      </c>
      <c r="E73" s="333">
        <v>2023</v>
      </c>
      <c r="F73" s="333">
        <v>2024</v>
      </c>
      <c r="G73" s="333">
        <v>2025</v>
      </c>
      <c r="H73" s="337"/>
    </row>
    <row r="74" spans="2:25" ht="16">
      <c r="B74" s="335" t="s">
        <v>513</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ht="16">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ht="16">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ht="16">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ht="16">
      <c r="B81" s="336" t="s">
        <v>532</v>
      </c>
      <c r="C81" s="346">
        <f t="shared" si="43"/>
        <v>25.75</v>
      </c>
      <c r="D81" s="346">
        <f t="shared" si="44"/>
        <v>0</v>
      </c>
      <c r="E81" s="346">
        <f t="shared" si="45"/>
        <v>0</v>
      </c>
      <c r="F81" s="346">
        <f t="shared" si="46"/>
        <v>0</v>
      </c>
      <c r="G81" s="346">
        <f t="shared" si="47"/>
        <v>0</v>
      </c>
      <c r="H81" s="337"/>
      <c r="R81" s="3"/>
      <c r="S81" s="3"/>
    </row>
    <row r="82" spans="2:19" ht="16">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c r="B83" s="225" t="s">
        <v>551</v>
      </c>
      <c r="C83" s="346">
        <f t="shared" si="43"/>
        <v>1.02</v>
      </c>
      <c r="D83" s="346">
        <f t="shared" si="44"/>
        <v>1.5299999999999998</v>
      </c>
      <c r="E83" s="346">
        <f t="shared" si="45"/>
        <v>0</v>
      </c>
      <c r="F83" s="346">
        <f t="shared" si="46"/>
        <v>0</v>
      </c>
      <c r="G83" s="346">
        <f t="shared" si="47"/>
        <v>0</v>
      </c>
      <c r="R83" s="3"/>
      <c r="S83" s="3"/>
    </row>
    <row r="84" spans="2:19" s="225" customFormat="1">
      <c r="B84" s="225" t="s">
        <v>552</v>
      </c>
      <c r="C84" s="346">
        <f t="shared" si="43"/>
        <v>0.68</v>
      </c>
      <c r="D84" s="346">
        <f t="shared" si="44"/>
        <v>1.02</v>
      </c>
      <c r="E84" s="346">
        <f t="shared" si="45"/>
        <v>0</v>
      </c>
      <c r="F84" s="346">
        <f t="shared" si="46"/>
        <v>0</v>
      </c>
      <c r="G84" s="346">
        <f t="shared" si="47"/>
        <v>0</v>
      </c>
      <c r="R84" s="3"/>
      <c r="S84" s="3"/>
    </row>
    <row r="85" spans="2:19" s="225" customFormat="1">
      <c r="B85" s="225" t="s">
        <v>487</v>
      </c>
      <c r="C85" s="346">
        <f t="shared" si="43"/>
        <v>1.7</v>
      </c>
      <c r="D85" s="346">
        <f t="shared" si="44"/>
        <v>2.5499999999999998</v>
      </c>
      <c r="E85" s="346">
        <f t="shared" si="45"/>
        <v>0</v>
      </c>
      <c r="F85" s="346">
        <f t="shared" si="46"/>
        <v>0</v>
      </c>
      <c r="G85" s="346">
        <f t="shared" si="47"/>
        <v>0</v>
      </c>
      <c r="R85" s="3"/>
      <c r="S85" s="3"/>
    </row>
    <row r="86" spans="2:19">
      <c r="B86" s="225"/>
      <c r="C86" s="333">
        <v>2021</v>
      </c>
      <c r="D86" s="333">
        <v>2022</v>
      </c>
      <c r="E86" s="333">
        <v>2023</v>
      </c>
      <c r="F86" s="333">
        <v>2024</v>
      </c>
      <c r="G86" s="333">
        <v>2025</v>
      </c>
      <c r="H86" s="225"/>
      <c r="I86" s="225"/>
      <c r="J86" s="225"/>
      <c r="K86" s="225"/>
      <c r="L86" s="225"/>
      <c r="M86" s="225"/>
      <c r="N86" s="225"/>
      <c r="R86" s="3"/>
      <c r="S86" s="3"/>
    </row>
    <row r="87" spans="2:19">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c r="B88" s="225"/>
      <c r="C88" s="225"/>
      <c r="D88" s="225"/>
      <c r="E88" s="225"/>
      <c r="F88" s="225"/>
      <c r="G88" s="225"/>
      <c r="H88" s="225"/>
      <c r="I88" s="225"/>
      <c r="J88" s="225"/>
      <c r="K88" s="225"/>
      <c r="L88" s="225"/>
      <c r="M88" s="225"/>
      <c r="N88" s="225"/>
    </row>
    <row r="89" spans="2:19">
      <c r="B89" s="225"/>
      <c r="C89" s="225"/>
      <c r="D89" s="225"/>
      <c r="E89" s="225"/>
      <c r="F89" s="225"/>
      <c r="G89" s="225"/>
      <c r="H89" s="225"/>
      <c r="I89" s="225"/>
      <c r="J89" s="225"/>
      <c r="K89" s="225"/>
      <c r="L89" s="225"/>
      <c r="M89" s="225"/>
      <c r="N89" s="225"/>
    </row>
    <row r="90" spans="2:19">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c r="B94" s="50" t="s">
        <v>367</v>
      </c>
      <c r="C94" s="346">
        <v>283.95749999999998</v>
      </c>
      <c r="D94" s="346">
        <v>77.092500000000001</v>
      </c>
      <c r="E94" s="346">
        <v>1</v>
      </c>
      <c r="F94" s="346">
        <v>0</v>
      </c>
      <c r="G94" s="346">
        <v>0</v>
      </c>
      <c r="H94" s="346"/>
      <c r="I94" s="346"/>
      <c r="J94" s="346"/>
      <c r="K94" s="346"/>
      <c r="L94" s="346"/>
      <c r="M94" s="346"/>
      <c r="N94" s="225"/>
    </row>
    <row r="95" spans="2:19">
      <c r="B95" s="50" t="s">
        <v>290</v>
      </c>
      <c r="C95" s="346">
        <v>12.347</v>
      </c>
      <c r="D95" s="346">
        <v>46.79</v>
      </c>
      <c r="E95" s="346">
        <v>38.595999999999997</v>
      </c>
      <c r="F95" s="346">
        <v>31.911000000000001</v>
      </c>
      <c r="G95" s="346">
        <v>23.099</v>
      </c>
      <c r="H95" s="346"/>
      <c r="I95" s="346"/>
      <c r="J95" s="346"/>
      <c r="K95" s="346"/>
      <c r="L95" s="346"/>
      <c r="M95" s="346"/>
      <c r="N95" s="225"/>
    </row>
    <row r="96" spans="2:19">
      <c r="B96" s="50" t="s">
        <v>394</v>
      </c>
      <c r="C96" s="346">
        <v>2.286</v>
      </c>
      <c r="D96" s="346">
        <v>4.6049999999999995</v>
      </c>
      <c r="E96" s="346">
        <v>1.349</v>
      </c>
      <c r="F96" s="346">
        <v>0.441</v>
      </c>
      <c r="G96" s="346">
        <v>0.313</v>
      </c>
      <c r="H96" s="346"/>
      <c r="I96" s="346"/>
      <c r="J96" s="346"/>
      <c r="K96" s="346"/>
      <c r="L96" s="346"/>
      <c r="M96" s="346"/>
      <c r="N96" s="225"/>
    </row>
    <row r="97" spans="2:14">
      <c r="B97" s="50" t="s">
        <v>532</v>
      </c>
      <c r="C97" s="346">
        <v>25.75</v>
      </c>
      <c r="D97" s="346">
        <v>0</v>
      </c>
      <c r="E97" s="346">
        <v>0</v>
      </c>
      <c r="F97" s="346">
        <v>0</v>
      </c>
      <c r="G97" s="346">
        <v>0</v>
      </c>
      <c r="H97" s="346"/>
      <c r="I97" s="346"/>
      <c r="J97" s="346"/>
      <c r="K97" s="346"/>
      <c r="L97" s="346"/>
      <c r="M97" s="346"/>
      <c r="N97" s="225"/>
    </row>
    <row r="98" spans="2:14">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5" bestFit="1" customWidth="1"/>
    <col min="2" max="16384" width="10.83203125" style="225"/>
  </cols>
  <sheetData>
    <row r="1" spans="1:23">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baseColWidth="10" defaultColWidth="8.6640625" defaultRowHeight="15"/>
  <cols>
    <col min="1" max="1" width="27" style="613" customWidth="1"/>
    <col min="2" max="2" width="109.33203125" style="26" customWidth="1"/>
    <col min="3" max="3" width="47" style="613" customWidth="1"/>
    <col min="4" max="4" width="18.83203125" style="613" customWidth="1"/>
    <col min="5" max="5" width="58.83203125" style="613" customWidth="1"/>
    <col min="6" max="6" width="33.1640625" style="613" customWidth="1"/>
    <col min="7" max="16384" width="8.6640625" style="613"/>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794" customFormat="1" ht="80" customHeight="1">
      <c r="A3" s="26" t="s">
        <v>1133</v>
      </c>
      <c r="B3" s="26" t="s">
        <v>723</v>
      </c>
      <c r="C3" s="26" t="s">
        <v>1001</v>
      </c>
      <c r="D3" s="794" t="s">
        <v>1145</v>
      </c>
    </row>
    <row r="4" spans="1:6" s="867" customFormat="1" ht="80" customHeight="1">
      <c r="A4" s="26" t="s">
        <v>1132</v>
      </c>
      <c r="B4" s="868" t="s">
        <v>1137</v>
      </c>
      <c r="C4" s="868" t="s">
        <v>1138</v>
      </c>
      <c r="D4" s="867" t="s">
        <v>1145</v>
      </c>
    </row>
    <row r="5" spans="1:6" s="794" customFormat="1" ht="63.5" customHeight="1">
      <c r="A5" s="794" t="s">
        <v>1058</v>
      </c>
      <c r="B5" s="26" t="s">
        <v>184</v>
      </c>
      <c r="C5" s="30" t="s">
        <v>183</v>
      </c>
      <c r="E5" s="794" t="s">
        <v>1002</v>
      </c>
    </row>
    <row r="6" spans="1:6" s="794" customFormat="1" ht="61.5" customHeight="1">
      <c r="A6" s="794" t="s">
        <v>182</v>
      </c>
      <c r="B6" s="26" t="s">
        <v>722</v>
      </c>
      <c r="C6" s="26" t="s">
        <v>1000</v>
      </c>
    </row>
    <row r="7" spans="1:6" s="794" customFormat="1" ht="61.5" customHeight="1">
      <c r="A7" s="794" t="s">
        <v>721</v>
      </c>
      <c r="B7" s="26" t="s">
        <v>720</v>
      </c>
      <c r="C7" s="26" t="s">
        <v>719</v>
      </c>
    </row>
    <row r="8" spans="1:6" s="794" customFormat="1" ht="54" customHeight="1">
      <c r="A8" s="794" t="s">
        <v>1003</v>
      </c>
      <c r="B8" s="26" t="s">
        <v>1004</v>
      </c>
      <c r="C8" s="794" t="s">
        <v>1005</v>
      </c>
    </row>
    <row r="9" spans="1:6" s="794" customFormat="1" ht="31" customHeight="1">
      <c r="A9" s="29" t="s">
        <v>1054</v>
      </c>
      <c r="B9" s="793"/>
      <c r="C9" s="27"/>
      <c r="D9" s="27"/>
      <c r="E9" s="32" t="s">
        <v>1006</v>
      </c>
      <c r="F9" s="27"/>
    </row>
    <row r="10" spans="1:6" ht="77.5" customHeight="1">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0" customFormat="1" ht="64.5" customHeight="1">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765" t="s">
        <v>717</v>
      </c>
      <c r="B22" s="26" t="s">
        <v>1025</v>
      </c>
    </row>
    <row r="23" spans="1:6" ht="36" customHeight="1">
      <c r="A23" s="765" t="s">
        <v>179</v>
      </c>
    </row>
    <row r="24" spans="1:6" ht="16">
      <c r="A24" s="29" t="s">
        <v>177</v>
      </c>
      <c r="B24" s="28"/>
      <c r="C24" s="27"/>
      <c r="D24" s="27"/>
      <c r="E24" s="27"/>
      <c r="F24" s="27"/>
    </row>
    <row r="25" spans="1:6" ht="304">
      <c r="A25" s="794" t="s">
        <v>1059</v>
      </c>
      <c r="B25" s="26" t="s">
        <v>1060</v>
      </c>
      <c r="C25" s="794" t="s">
        <v>1061</v>
      </c>
    </row>
    <row r="26" spans="1:6" ht="48">
      <c r="A26" s="794" t="s">
        <v>1062</v>
      </c>
      <c r="B26" s="26" t="s">
        <v>1063</v>
      </c>
      <c r="C26" s="794" t="s">
        <v>1064</v>
      </c>
    </row>
    <row r="27" spans="1:6">
      <c r="A27" s="794"/>
      <c r="C27" s="794"/>
      <c r="D27" s="27"/>
      <c r="E27" s="27"/>
      <c r="F27" s="27"/>
    </row>
    <row r="28" spans="1:6" ht="16">
      <c r="A28" s="29" t="s">
        <v>176</v>
      </c>
      <c r="B28" s="28"/>
      <c r="C28" s="27"/>
    </row>
    <row r="29" spans="1:6" ht="32">
      <c r="A29" s="794" t="s">
        <v>175</v>
      </c>
      <c r="B29" s="26" t="s">
        <v>1028</v>
      </c>
      <c r="C29" s="794" t="s">
        <v>1030</v>
      </c>
    </row>
    <row r="30" spans="1:6" ht="80">
      <c r="A30" s="794" t="s">
        <v>174</v>
      </c>
      <c r="B30" s="26" t="s">
        <v>1026</v>
      </c>
      <c r="C30" s="794" t="s">
        <v>1027</v>
      </c>
    </row>
    <row r="31" spans="1:6" ht="32">
      <c r="A31" s="794" t="s">
        <v>173</v>
      </c>
      <c r="B31" s="26" t="s">
        <v>1031</v>
      </c>
      <c r="C31" s="26" t="s">
        <v>1029</v>
      </c>
    </row>
    <row r="32" spans="1:6" ht="96">
      <c r="A32" s="794" t="s">
        <v>172</v>
      </c>
      <c r="B32" s="26" t="s">
        <v>1065</v>
      </c>
      <c r="C32" s="794" t="s">
        <v>1066</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786" t="s">
        <v>1053</v>
      </c>
      <c r="B2" s="829" t="s">
        <v>1117</v>
      </c>
      <c r="C2" s="829" t="s">
        <v>1118</v>
      </c>
    </row>
    <row r="3" spans="1:5" ht="63.5" customHeight="1">
      <c r="A3" s="786" t="s">
        <v>1119</v>
      </c>
      <c r="B3" s="829" t="s">
        <v>1121</v>
      </c>
      <c r="C3" s="829" t="s">
        <v>1120</v>
      </c>
    </row>
    <row r="4" spans="1:5" s="560" customFormat="1" ht="63.5" customHeight="1">
      <c r="A4" s="867" t="s">
        <v>1134</v>
      </c>
      <c r="B4" s="868" t="s">
        <v>1137</v>
      </c>
      <c r="C4" s="868" t="s">
        <v>1138</v>
      </c>
    </row>
    <row r="5" spans="1:5" ht="137" customHeight="1">
      <c r="A5" s="25" t="s">
        <v>1055</v>
      </c>
      <c r="B5" s="26" t="s">
        <v>1122</v>
      </c>
    </row>
    <row r="6" spans="1:5" ht="29" customHeight="1">
      <c r="A6" s="25" t="s">
        <v>1123</v>
      </c>
      <c r="B6" s="1008" t="s">
        <v>1125</v>
      </c>
      <c r="C6" s="25" t="s">
        <v>1127</v>
      </c>
    </row>
    <row r="7" spans="1:5" ht="48">
      <c r="A7" s="829" t="s">
        <v>1124</v>
      </c>
      <c r="B7" s="1008" t="s">
        <v>1126</v>
      </c>
      <c r="C7" s="25" t="s">
        <v>1128</v>
      </c>
    </row>
    <row r="8" spans="1:5">
      <c r="B8"/>
    </row>
    <row r="9" spans="1:5">
      <c r="B9" s="1007"/>
    </row>
    <row r="10" spans="1:5">
      <c r="B10" s="10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baseColWidth="10" defaultColWidth="8.6640625" defaultRowHeight="15"/>
  <cols>
    <col min="1" max="1" width="15.1640625" style="767" customWidth="1"/>
    <col min="2" max="2" width="28.33203125" style="767" customWidth="1"/>
    <col min="3" max="3" width="25.1640625" style="767" customWidth="1"/>
    <col min="4" max="4" width="11.1640625" style="767" customWidth="1"/>
    <col min="5" max="5" width="15.1640625" style="767" customWidth="1"/>
    <col min="6" max="6" width="12.5" style="767" customWidth="1"/>
    <col min="7" max="7" width="11.83203125" style="767" bestFit="1" customWidth="1"/>
    <col min="8" max="16384" width="8.6640625" style="767"/>
  </cols>
  <sheetData>
    <row r="1" spans="1:11" s="775" customFormat="1">
      <c r="A1" s="775" t="s">
        <v>576</v>
      </c>
      <c r="B1" s="775" t="s">
        <v>577</v>
      </c>
      <c r="C1" s="775" t="s">
        <v>578</v>
      </c>
      <c r="D1" s="775" t="s">
        <v>579</v>
      </c>
      <c r="E1" s="775" t="s">
        <v>580</v>
      </c>
      <c r="F1" s="775" t="s">
        <v>581</v>
      </c>
    </row>
    <row r="2" spans="1:11">
      <c r="C2" s="767" t="str">
        <f>'Haver Pivoted'!A1</f>
        <v>name</v>
      </c>
      <c r="D2" s="776" t="s">
        <v>1074</v>
      </c>
      <c r="E2" s="776" t="s">
        <v>1074</v>
      </c>
      <c r="F2" s="776"/>
      <c r="H2" s="777"/>
    </row>
    <row r="3" spans="1:11">
      <c r="B3" s="767" t="s">
        <v>1033</v>
      </c>
      <c r="C3" s="767" t="str">
        <f>'Haver Pivoted'!A2</f>
        <v>gdp</v>
      </c>
      <c r="D3" s="767">
        <v>22722.6</v>
      </c>
      <c r="E3" s="767">
        <f>'Haver Pivoted'!GY2</f>
        <v>22731.4</v>
      </c>
      <c r="F3" s="767">
        <f>E3-D3</f>
        <v>8.8000000000029104</v>
      </c>
      <c r="G3" s="778">
        <f>F3/D3</f>
        <v>3.8727962469096457E-4</v>
      </c>
      <c r="H3" s="779"/>
    </row>
    <row r="4" spans="1:11">
      <c r="B4" s="767" t="s">
        <v>1034</v>
      </c>
      <c r="C4" s="767" t="str">
        <f>'Haver Pivoted'!A3</f>
        <v>gdph</v>
      </c>
      <c r="D4" s="767">
        <v>19358.2</v>
      </c>
      <c r="E4" s="767">
        <f>'Haver Pivoted'!GY3</f>
        <v>19360.599999999999</v>
      </c>
      <c r="F4" s="767">
        <f t="shared" ref="F4:F67" si="0">E4-D4</f>
        <v>2.3999999999978172</v>
      </c>
      <c r="G4" s="778">
        <f t="shared" ref="G4:G67" si="1">F4/D4</f>
        <v>1.2397846907242498E-4</v>
      </c>
      <c r="H4" s="779"/>
    </row>
    <row r="5" spans="1:11">
      <c r="B5" s="767" t="s">
        <v>458</v>
      </c>
      <c r="C5" s="767" t="str">
        <f>'Haver Pivoted'!A4</f>
        <v>jgdp</v>
      </c>
      <c r="D5" s="767">
        <v>117.51900000000001</v>
      </c>
      <c r="E5" s="767">
        <f>'Haver Pivoted'!GY4</f>
        <v>117.547</v>
      </c>
      <c r="F5" s="767">
        <f t="shared" si="0"/>
        <v>2.7999999999991587E-2</v>
      </c>
      <c r="G5" s="778">
        <f t="shared" si="1"/>
        <v>2.3825934529728458E-4</v>
      </c>
      <c r="H5" s="780"/>
    </row>
    <row r="6" spans="1:11">
      <c r="B6" s="767" t="s">
        <v>1035</v>
      </c>
      <c r="C6" s="767" t="str">
        <f>'Haver Pivoted'!A5</f>
        <v>c</v>
      </c>
      <c r="D6" s="767">
        <v>15672.6</v>
      </c>
      <c r="E6" s="767">
        <f>'Haver Pivoted'!GY5</f>
        <v>15675.9</v>
      </c>
      <c r="F6" s="767">
        <f t="shared" si="0"/>
        <v>3.2999999999992724</v>
      </c>
      <c r="G6" s="778">
        <f t="shared" si="1"/>
        <v>2.1055855441976903E-4</v>
      </c>
    </row>
    <row r="7" spans="1:11">
      <c r="B7" s="767" t="s">
        <v>1036</v>
      </c>
      <c r="C7" s="767" t="str">
        <f>'Haver Pivoted'!A6</f>
        <v>ch</v>
      </c>
      <c r="D7" s="767">
        <v>13659.3</v>
      </c>
      <c r="E7" s="767">
        <f>'Haver Pivoted'!GY6</f>
        <v>13660.2</v>
      </c>
      <c r="F7" s="767">
        <f t="shared" si="0"/>
        <v>0.90000000000145519</v>
      </c>
      <c r="G7" s="778">
        <f t="shared" si="1"/>
        <v>6.58891744087512E-5</v>
      </c>
      <c r="K7" s="780"/>
    </row>
    <row r="8" spans="1:11">
      <c r="B8" s="767" t="s">
        <v>456</v>
      </c>
      <c r="C8" s="767" t="str">
        <f>'Haver Pivoted'!A7</f>
        <v>jc</v>
      </c>
      <c r="D8" s="767">
        <v>114.758</v>
      </c>
      <c r="E8" s="767">
        <f>'Haver Pivoted'!GY7</f>
        <v>114.77500000000001</v>
      </c>
      <c r="F8" s="767">
        <f t="shared" si="0"/>
        <v>1.7000000000010118E-2</v>
      </c>
      <c r="G8" s="778">
        <f t="shared" si="1"/>
        <v>1.4813782045704977E-4</v>
      </c>
    </row>
    <row r="9" spans="1:11">
      <c r="B9" s="767" t="s">
        <v>454</v>
      </c>
      <c r="C9" s="767" t="str">
        <f>'Haver Pivoted'!A8</f>
        <v>jgf</v>
      </c>
      <c r="D9" s="767">
        <v>115.176</v>
      </c>
      <c r="E9" s="767">
        <f>'Haver Pivoted'!GY8</f>
        <v>115.19</v>
      </c>
      <c r="F9" s="767">
        <f t="shared" si="0"/>
        <v>1.3999999999995794E-2</v>
      </c>
      <c r="G9" s="778">
        <f t="shared" si="1"/>
        <v>1.2155310134052054E-4</v>
      </c>
    </row>
    <row r="10" spans="1:11">
      <c r="B10" s="767" t="s">
        <v>452</v>
      </c>
      <c r="C10" s="767" t="str">
        <f>'Haver Pivoted'!A9</f>
        <v>jgs</v>
      </c>
      <c r="D10" s="767">
        <v>121.48</v>
      </c>
      <c r="E10" s="767">
        <f>'Haver Pivoted'!GY9</f>
        <v>121.509</v>
      </c>
      <c r="F10" s="767">
        <f t="shared" si="0"/>
        <v>2.8999999999996362E-2</v>
      </c>
      <c r="G10" s="778">
        <f t="shared" si="1"/>
        <v>2.3872242344415839E-4</v>
      </c>
    </row>
    <row r="11" spans="1:11">
      <c r="B11" s="767" t="s">
        <v>450</v>
      </c>
      <c r="C11" s="767" t="str">
        <f>'Haver Pivoted'!A10</f>
        <v>jgse</v>
      </c>
      <c r="D11" s="767">
        <v>121.38</v>
      </c>
      <c r="E11" s="767">
        <f>'Haver Pivoted'!GY10</f>
        <v>121.39700000000001</v>
      </c>
      <c r="F11" s="767">
        <f t="shared" si="0"/>
        <v>1.7000000000010118E-2</v>
      </c>
      <c r="G11" s="778">
        <f t="shared" si="1"/>
        <v>1.4005602240904695E-4</v>
      </c>
    </row>
    <row r="12" spans="1:11">
      <c r="B12" s="767" t="s">
        <v>448</v>
      </c>
      <c r="C12" s="767" t="str">
        <f>'Haver Pivoted'!A11</f>
        <v>jgsi</v>
      </c>
      <c r="D12" s="767">
        <v>121.95</v>
      </c>
      <c r="E12" s="767">
        <f>'Haver Pivoted'!GY11</f>
        <v>122.035</v>
      </c>
      <c r="F12" s="767">
        <f t="shared" si="0"/>
        <v>8.4999999999993747E-2</v>
      </c>
      <c r="G12" s="778">
        <f t="shared" si="1"/>
        <v>6.9700697006964941E-4</v>
      </c>
    </row>
    <row r="13" spans="1:11">
      <c r="A13" s="767" t="s">
        <v>385</v>
      </c>
      <c r="B13" s="767" t="s">
        <v>385</v>
      </c>
      <c r="C13" s="767" t="str">
        <f>'Haver Pivoted'!A12</f>
        <v>yptmr</v>
      </c>
      <c r="D13" s="767">
        <v>815.3</v>
      </c>
      <c r="E13" s="767">
        <f>'Haver Pivoted'!GY12</f>
        <v>815.3</v>
      </c>
      <c r="F13" s="767">
        <f t="shared" si="0"/>
        <v>0</v>
      </c>
      <c r="G13" s="778">
        <f t="shared" si="1"/>
        <v>0</v>
      </c>
      <c r="I13" s="781"/>
    </row>
    <row r="14" spans="1:11">
      <c r="A14" s="767" t="s">
        <v>141</v>
      </c>
      <c r="B14" s="767" t="s">
        <v>415</v>
      </c>
      <c r="C14" s="767" t="str">
        <f>'Haver Pivoted'!A13</f>
        <v>yptmd</v>
      </c>
      <c r="D14" s="767">
        <v>712.9</v>
      </c>
      <c r="E14" s="767">
        <f>'Haver Pivoted'!GY13</f>
        <v>735.5</v>
      </c>
      <c r="F14" s="767">
        <f t="shared" si="0"/>
        <v>22.600000000000023</v>
      </c>
      <c r="G14" s="778">
        <f t="shared" si="1"/>
        <v>3.1701500911768862E-2</v>
      </c>
      <c r="I14" s="769"/>
    </row>
    <row r="15" spans="1:11">
      <c r="A15" s="767" t="s">
        <v>596</v>
      </c>
      <c r="B15" s="767" t="s">
        <v>262</v>
      </c>
      <c r="C15" s="767" t="str">
        <f>'Haver Pivoted'!A14</f>
        <v>yptu</v>
      </c>
      <c r="D15" s="767">
        <v>482.1</v>
      </c>
      <c r="E15" s="767">
        <f>'Haver Pivoted'!GY14</f>
        <v>480.5</v>
      </c>
      <c r="F15" s="767">
        <f t="shared" si="0"/>
        <v>-1.6000000000000227</v>
      </c>
      <c r="G15" s="778">
        <f t="shared" si="1"/>
        <v>-3.3188135241651578E-3</v>
      </c>
    </row>
    <row r="16" spans="1:11">
      <c r="B16" s="767" t="s">
        <v>594</v>
      </c>
      <c r="C16" s="767" t="str">
        <f>'Haver Pivoted'!A15</f>
        <v>gtfp</v>
      </c>
      <c r="D16" s="767">
        <v>4237.1000000000004</v>
      </c>
      <c r="E16" s="767">
        <f>'Haver Pivoted'!GY15</f>
        <v>4257.8999999999996</v>
      </c>
      <c r="F16" s="767">
        <f t="shared" si="0"/>
        <v>20.799999999999272</v>
      </c>
      <c r="G16" s="778">
        <f t="shared" si="1"/>
        <v>4.9090179603972694E-3</v>
      </c>
    </row>
    <row r="17" spans="1:7">
      <c r="B17" s="767" t="s">
        <v>1037</v>
      </c>
      <c r="C17" s="767" t="str">
        <f>'Haver Pivoted'!A16</f>
        <v>ypog</v>
      </c>
      <c r="D17" s="767">
        <v>115.8</v>
      </c>
      <c r="E17" s="767">
        <f>'Haver Pivoted'!GY16</f>
        <v>116</v>
      </c>
      <c r="F17" s="767">
        <f t="shared" si="0"/>
        <v>0.20000000000000284</v>
      </c>
      <c r="G17" s="778">
        <f t="shared" si="1"/>
        <v>1.7271157167530471E-3</v>
      </c>
    </row>
    <row r="18" spans="1:7">
      <c r="B18" s="767" t="s">
        <v>1038</v>
      </c>
      <c r="C18" s="767" t="str">
        <f>'Haver Pivoted'!A17</f>
        <v>yptx</v>
      </c>
      <c r="D18" s="767">
        <v>2427.5</v>
      </c>
      <c r="E18" s="767">
        <f>'Haver Pivoted'!GY17</f>
        <v>2550.4</v>
      </c>
      <c r="F18" s="767">
        <f t="shared" si="0"/>
        <v>122.90000000000009</v>
      </c>
      <c r="G18" s="778">
        <f t="shared" si="1"/>
        <v>5.0628218331616924E-2</v>
      </c>
    </row>
    <row r="19" spans="1:7">
      <c r="B19" s="767" t="s">
        <v>648</v>
      </c>
      <c r="C19" s="767" t="str">
        <f>'Haver Pivoted'!A18</f>
        <v>ytpi</v>
      </c>
      <c r="D19" s="767">
        <v>1640.6</v>
      </c>
      <c r="E19" s="767">
        <f>'Haver Pivoted'!GY18</f>
        <v>1640.2</v>
      </c>
      <c r="F19" s="767">
        <f t="shared" si="0"/>
        <v>-0.39999999999986358</v>
      </c>
      <c r="G19" s="778">
        <f t="shared" si="1"/>
        <v>-2.4381323905879775E-4</v>
      </c>
    </row>
    <row r="20" spans="1:7">
      <c r="B20" s="767" t="s">
        <v>645</v>
      </c>
      <c r="C20" s="767" t="str">
        <f>'Haver Pivoted'!A19</f>
        <v>yctlg</v>
      </c>
      <c r="D20" s="767">
        <v>308.13333333333298</v>
      </c>
      <c r="E20" s="767">
        <f>'Haver Pivoted'!GY19</f>
        <v>351.7</v>
      </c>
      <c r="F20" s="767">
        <f t="shared" si="0"/>
        <v>43.566666666667004</v>
      </c>
      <c r="G20" s="778">
        <f t="shared" si="1"/>
        <v>0.1413890090869766</v>
      </c>
    </row>
    <row r="21" spans="1:7">
      <c r="B21" s="767" t="s">
        <v>1039</v>
      </c>
      <c r="C21" s="767" t="str">
        <f>'Haver Pivoted'!A20</f>
        <v>g</v>
      </c>
      <c r="D21" s="767">
        <v>4018.9</v>
      </c>
      <c r="E21" s="767">
        <f>'Haver Pivoted'!GY20</f>
        <v>4016</v>
      </c>
      <c r="F21" s="767">
        <f t="shared" si="0"/>
        <v>-2.9000000000000909</v>
      </c>
      <c r="G21" s="778">
        <f t="shared" si="1"/>
        <v>-7.2159048495859339E-4</v>
      </c>
    </row>
    <row r="22" spans="1:7">
      <c r="B22" s="767" t="s">
        <v>1040</v>
      </c>
      <c r="C22" s="767" t="str">
        <f>'Haver Pivoted'!A21</f>
        <v>grcsi</v>
      </c>
      <c r="D22" s="767">
        <v>1562.7</v>
      </c>
      <c r="E22" s="767">
        <f>'Haver Pivoted'!GY21</f>
        <v>1564</v>
      </c>
      <c r="F22" s="767">
        <f t="shared" si="0"/>
        <v>1.2999999999999545</v>
      </c>
      <c r="G22" s="778">
        <f t="shared" si="1"/>
        <v>8.3189351762971426E-4</v>
      </c>
    </row>
    <row r="23" spans="1:7">
      <c r="B23" s="767" t="s">
        <v>456</v>
      </c>
      <c r="C23" s="767" t="str">
        <f>'Haver Pivoted'!A22</f>
        <v>dc</v>
      </c>
      <c r="D23" s="767">
        <v>114.739</v>
      </c>
      <c r="E23" s="767">
        <f>'Haver Pivoted'!GY22</f>
        <v>114.756</v>
      </c>
      <c r="F23" s="767">
        <f t="shared" si="0"/>
        <v>1.6999999999995907E-2</v>
      </c>
      <c r="G23" s="778">
        <f t="shared" si="1"/>
        <v>1.4816235107501291E-4</v>
      </c>
    </row>
    <row r="24" spans="1:7">
      <c r="A24" s="767" t="s">
        <v>382</v>
      </c>
      <c r="B24" s="767" t="s">
        <v>276</v>
      </c>
      <c r="C24" s="767" t="str">
        <f>'Haver Pivoted'!A23</f>
        <v>gf</v>
      </c>
      <c r="D24" s="767">
        <v>1563.6</v>
      </c>
      <c r="E24" s="767">
        <f>'Haver Pivoted'!GY23</f>
        <v>1563.3</v>
      </c>
      <c r="F24" s="767">
        <f t="shared" si="0"/>
        <v>-0.29999999999995453</v>
      </c>
      <c r="G24" s="778">
        <f t="shared" si="1"/>
        <v>-1.9186492709129865E-4</v>
      </c>
    </row>
    <row r="25" spans="1:7">
      <c r="A25" s="767" t="s">
        <v>382</v>
      </c>
      <c r="B25" s="767" t="s">
        <v>275</v>
      </c>
      <c r="C25" s="767" t="str">
        <f>'Haver Pivoted'!A24</f>
        <v>gs</v>
      </c>
      <c r="D25" s="767">
        <v>2455.4</v>
      </c>
      <c r="E25" s="767">
        <f>'Haver Pivoted'!GY24</f>
        <v>2452.6999999999998</v>
      </c>
      <c r="F25" s="767">
        <f t="shared" si="0"/>
        <v>-2.7000000000002728</v>
      </c>
      <c r="G25" s="778">
        <f t="shared" si="1"/>
        <v>-1.0996171703185928E-3</v>
      </c>
    </row>
    <row r="26" spans="1:7">
      <c r="B26" s="767" t="s">
        <v>1041</v>
      </c>
      <c r="C26" s="767" t="str">
        <f>'Haver Pivoted'!A25</f>
        <v>gfh</v>
      </c>
      <c r="D26" s="767">
        <v>1357.6</v>
      </c>
      <c r="E26" s="767">
        <f>'Haver Pivoted'!GY25</f>
        <v>1357.1</v>
      </c>
      <c r="F26" s="767">
        <f t="shared" si="0"/>
        <v>-0.5</v>
      </c>
      <c r="G26" s="778">
        <f t="shared" si="1"/>
        <v>-3.6829699469652328E-4</v>
      </c>
    </row>
    <row r="27" spans="1:7">
      <c r="B27" s="767" t="s">
        <v>1042</v>
      </c>
      <c r="C27" s="767" t="str">
        <f>'Haver Pivoted'!A26</f>
        <v>gsh</v>
      </c>
      <c r="D27" s="767">
        <v>2021.2</v>
      </c>
      <c r="E27" s="767">
        <f>'Haver Pivoted'!GY26</f>
        <v>2018.5</v>
      </c>
      <c r="F27" s="767">
        <f t="shared" si="0"/>
        <v>-2.7000000000000455</v>
      </c>
      <c r="G27" s="778">
        <f t="shared" si="1"/>
        <v>-1.3358400949930959E-3</v>
      </c>
    </row>
    <row r="28" spans="1:7">
      <c r="A28" s="767" t="s">
        <v>582</v>
      </c>
      <c r="B28" s="767" t="s">
        <v>583</v>
      </c>
      <c r="C28" s="767" t="s">
        <v>223</v>
      </c>
      <c r="D28" s="302">
        <v>1808.6</v>
      </c>
      <c r="E28" s="767">
        <f>'Haver Pivoted'!GY27</f>
        <v>1927.2</v>
      </c>
      <c r="F28" s="767">
        <f t="shared" si="0"/>
        <v>118.60000000000014</v>
      </c>
      <c r="G28" s="778" t="e">
        <f>F28/#REF!</f>
        <v>#REF!</v>
      </c>
    </row>
    <row r="29" spans="1:7">
      <c r="A29" s="767" t="s">
        <v>582</v>
      </c>
      <c r="B29" s="767" t="s">
        <v>584</v>
      </c>
      <c r="C29" s="767" t="s">
        <v>224</v>
      </c>
      <c r="D29" s="455">
        <v>177.2</v>
      </c>
      <c r="E29" s="767">
        <f>'Haver Pivoted'!GY28</f>
        <v>177.6</v>
      </c>
      <c r="F29" s="767">
        <f t="shared" si="0"/>
        <v>0.40000000000000568</v>
      </c>
      <c r="G29" s="778" t="e">
        <f>F29/#REF!</f>
        <v>#REF!</v>
      </c>
    </row>
    <row r="30" spans="1:7">
      <c r="A30" s="767" t="s">
        <v>582</v>
      </c>
      <c r="B30" s="767" t="s">
        <v>585</v>
      </c>
      <c r="C30" s="767" t="s">
        <v>225</v>
      </c>
      <c r="D30" s="455">
        <v>227.73333333333301</v>
      </c>
      <c r="E30" s="767">
        <f>'Haver Pivoted'!GY29</f>
        <v>261.2</v>
      </c>
      <c r="F30" s="767">
        <f t="shared" si="0"/>
        <v>33.466666666666981</v>
      </c>
      <c r="G30" s="778" t="e">
        <f>F30/#REF!</f>
        <v>#REF!</v>
      </c>
    </row>
    <row r="31" spans="1:7">
      <c r="A31" s="767" t="s">
        <v>582</v>
      </c>
      <c r="B31" s="767" t="s">
        <v>586</v>
      </c>
      <c r="C31" s="767" t="s">
        <v>226</v>
      </c>
      <c r="D31" s="791">
        <v>1540.8</v>
      </c>
      <c r="E31" s="767">
        <f>'Haver Pivoted'!GY30</f>
        <v>1542.1</v>
      </c>
      <c r="F31" s="767">
        <f t="shared" si="0"/>
        <v>1.2999999999999545</v>
      </c>
      <c r="G31" s="778" t="e">
        <f>F31/#REF!</f>
        <v>#REF!</v>
      </c>
    </row>
    <row r="32" spans="1:7">
      <c r="A32" s="767" t="s">
        <v>587</v>
      </c>
      <c r="B32" s="767" t="s">
        <v>588</v>
      </c>
      <c r="C32" s="767" t="str">
        <f>'Haver Pivoted'!A31</f>
        <v>gftfp</v>
      </c>
      <c r="D32" s="767">
        <v>3369.2</v>
      </c>
      <c r="E32" s="767">
        <f>'Haver Pivoted'!GY31</f>
        <v>3367.3</v>
      </c>
      <c r="F32" s="767">
        <f t="shared" si="0"/>
        <v>-1.8999999999996362</v>
      </c>
      <c r="G32" s="778">
        <f t="shared" si="1"/>
        <v>-5.6393209070391677E-4</v>
      </c>
    </row>
    <row r="33" spans="1:10">
      <c r="A33" s="767" t="s">
        <v>101</v>
      </c>
      <c r="B33" s="766" t="s">
        <v>589</v>
      </c>
      <c r="C33" s="767" t="str">
        <f>'Haver Pivoted'!A32</f>
        <v>gfeg</v>
      </c>
      <c r="D33" s="767">
        <v>1632.2</v>
      </c>
      <c r="E33" s="767">
        <f>'Haver Pivoted'!GY32</f>
        <v>1632.2</v>
      </c>
      <c r="F33" s="767">
        <f t="shared" si="0"/>
        <v>0</v>
      </c>
      <c r="G33" s="778">
        <f t="shared" si="1"/>
        <v>0</v>
      </c>
    </row>
    <row r="34" spans="1:10">
      <c r="A34" s="767" t="s">
        <v>582</v>
      </c>
      <c r="B34" s="767" t="s">
        <v>590</v>
      </c>
      <c r="C34" s="767" t="str">
        <f>'Haver Pivoted'!A33</f>
        <v>gsrpt</v>
      </c>
      <c r="D34" s="767">
        <v>618.79999999999995</v>
      </c>
      <c r="E34" s="767">
        <f>'Haver Pivoted'!GY33</f>
        <v>623.29999999999995</v>
      </c>
      <c r="F34" s="767">
        <f t="shared" si="0"/>
        <v>4.5</v>
      </c>
      <c r="G34" s="778">
        <f t="shared" si="1"/>
        <v>7.2721396250808017E-3</v>
      </c>
    </row>
    <row r="35" spans="1:10">
      <c r="A35" s="767" t="s">
        <v>582</v>
      </c>
      <c r="B35" s="767" t="s">
        <v>591</v>
      </c>
      <c r="C35" s="767" t="str">
        <f>'Haver Pivoted'!A34</f>
        <v>gsrpri</v>
      </c>
      <c r="D35" s="767">
        <v>1463.5</v>
      </c>
      <c r="E35" s="767">
        <f>'Haver Pivoted'!GY34</f>
        <v>1462.6</v>
      </c>
      <c r="F35" s="767">
        <f t="shared" si="0"/>
        <v>-0.90000000000009095</v>
      </c>
      <c r="G35" s="778">
        <f t="shared" si="1"/>
        <v>-6.1496412709264843E-4</v>
      </c>
    </row>
    <row r="36" spans="1:10">
      <c r="A36" s="767" t="s">
        <v>582</v>
      </c>
      <c r="B36" s="767" t="s">
        <v>592</v>
      </c>
      <c r="C36" s="767" t="str">
        <f>'Haver Pivoted'!A35</f>
        <v>gsrcp</v>
      </c>
      <c r="D36" s="767">
        <v>80.366666666666703</v>
      </c>
      <c r="E36" s="767">
        <f>'Haver Pivoted'!GY35</f>
        <v>90.6</v>
      </c>
      <c r="F36" s="767">
        <f t="shared" si="0"/>
        <v>10.233333333333292</v>
      </c>
      <c r="G36" s="778">
        <f t="shared" si="1"/>
        <v>0.12733305682289447</v>
      </c>
    </row>
    <row r="37" spans="1:10">
      <c r="A37" s="767" t="s">
        <v>582</v>
      </c>
      <c r="B37" s="767" t="s">
        <v>593</v>
      </c>
      <c r="C37" s="767" t="str">
        <f>'Haver Pivoted'!A36</f>
        <v>gsrs</v>
      </c>
      <c r="D37" s="767">
        <v>21.9</v>
      </c>
      <c r="E37" s="767">
        <f>'Haver Pivoted'!GY36</f>
        <v>21.9</v>
      </c>
      <c r="F37" s="767">
        <f t="shared" si="0"/>
        <v>0</v>
      </c>
      <c r="G37" s="778">
        <f t="shared" si="1"/>
        <v>0</v>
      </c>
    </row>
    <row r="38" spans="1:10">
      <c r="A38" s="767" t="s">
        <v>594</v>
      </c>
      <c r="B38" s="767" t="s">
        <v>7</v>
      </c>
      <c r="C38" s="767" t="str">
        <f>'Haver Pivoted'!A37</f>
        <v>gstfp</v>
      </c>
      <c r="D38" s="767">
        <v>867.9</v>
      </c>
      <c r="E38" s="767">
        <f>'Haver Pivoted'!GY37</f>
        <v>890.5</v>
      </c>
      <c r="F38" s="767">
        <f t="shared" si="0"/>
        <v>22.600000000000023</v>
      </c>
      <c r="G38" s="778">
        <f t="shared" si="1"/>
        <v>2.6039866344048881E-2</v>
      </c>
    </row>
    <row r="39" spans="1:10">
      <c r="B39" s="767" t="s">
        <v>1043</v>
      </c>
      <c r="C39" s="767" t="str">
        <f>'Haver Pivoted'!A38</f>
        <v>gset</v>
      </c>
      <c r="D39" s="767">
        <v>3323.2</v>
      </c>
      <c r="E39" s="767">
        <f>'Haver Pivoted'!GY38</f>
        <v>3342.9</v>
      </c>
      <c r="F39" s="767">
        <f t="shared" si="0"/>
        <v>19.700000000000273</v>
      </c>
      <c r="G39" s="778">
        <f t="shared" si="1"/>
        <v>5.92802118440066E-3</v>
      </c>
      <c r="I39" s="769"/>
    </row>
    <row r="40" spans="1:10">
      <c r="B40" s="767" t="s">
        <v>514</v>
      </c>
      <c r="C40" s="767" t="str">
        <f>'Haver Pivoted'!A39</f>
        <v>gfeghhx</v>
      </c>
      <c r="D40" s="767">
        <v>553.56399999999996</v>
      </c>
      <c r="E40" s="767">
        <f>'Haver Pivoted'!GY39</f>
        <v>553.56399999999996</v>
      </c>
      <c r="F40" s="767">
        <f t="shared" si="0"/>
        <v>0</v>
      </c>
      <c r="G40" s="778">
        <f t="shared" si="1"/>
        <v>0</v>
      </c>
    </row>
    <row r="41" spans="1:10">
      <c r="A41" s="767" t="s">
        <v>595</v>
      </c>
      <c r="B41" s="767" t="s">
        <v>180</v>
      </c>
      <c r="C41" s="767" t="str">
        <f>'Haver Pivoted'!A40</f>
        <v>gfeghdx</v>
      </c>
      <c r="D41" s="767">
        <v>520.72900000000004</v>
      </c>
      <c r="E41" s="767">
        <f>'Haver Pivoted'!GY40</f>
        <v>520.72900000000004</v>
      </c>
      <c r="F41" s="767">
        <f t="shared" si="0"/>
        <v>0</v>
      </c>
      <c r="G41" s="778">
        <f t="shared" si="1"/>
        <v>0</v>
      </c>
    </row>
    <row r="42" spans="1:10">
      <c r="A42" s="767" t="s">
        <v>101</v>
      </c>
      <c r="B42" s="767" t="s">
        <v>6</v>
      </c>
      <c r="C42" s="767" t="str">
        <f>'Haver Pivoted'!A41</f>
        <v>gfeigx</v>
      </c>
      <c r="D42" s="767">
        <v>76.701999999999998</v>
      </c>
      <c r="E42" s="767">
        <f>'Haver Pivoted'!GY41</f>
        <v>76.701999999999998</v>
      </c>
      <c r="F42" s="767">
        <f t="shared" si="0"/>
        <v>0</v>
      </c>
      <c r="G42" s="778">
        <f t="shared" si="1"/>
        <v>0</v>
      </c>
    </row>
    <row r="43" spans="1:10">
      <c r="B43" s="767" t="s">
        <v>1044</v>
      </c>
      <c r="C43" s="767" t="str">
        <f>'Haver Pivoted'!A42</f>
        <v>gfsub</v>
      </c>
      <c r="D43" s="767">
        <v>683.7</v>
      </c>
      <c r="E43" s="767">
        <f>'Haver Pivoted'!GY42</f>
        <v>683.6</v>
      </c>
      <c r="F43" s="767">
        <f t="shared" si="0"/>
        <v>-0.10000000000002274</v>
      </c>
      <c r="G43" s="778">
        <f t="shared" si="1"/>
        <v>-1.4626298083958276E-4</v>
      </c>
      <c r="H43" s="769"/>
      <c r="I43" s="782"/>
      <c r="J43" s="779"/>
    </row>
    <row r="44" spans="1:10">
      <c r="B44" s="767" t="s">
        <v>1045</v>
      </c>
      <c r="C44" s="767" t="str">
        <f>'Haver Pivoted'!A43</f>
        <v>gssub</v>
      </c>
      <c r="D44" s="767">
        <v>8.6</v>
      </c>
      <c r="E44" s="767">
        <f>'Haver Pivoted'!GY43</f>
        <v>8.6</v>
      </c>
      <c r="F44" s="767">
        <f t="shared" si="0"/>
        <v>0</v>
      </c>
      <c r="G44" s="778">
        <f t="shared" si="1"/>
        <v>0</v>
      </c>
      <c r="I44" s="768"/>
      <c r="J44" s="779"/>
    </row>
    <row r="45" spans="1:10">
      <c r="B45" s="767" t="s">
        <v>132</v>
      </c>
      <c r="C45" s="767" t="str">
        <f>'Haver Pivoted'!A44</f>
        <v>gsub</v>
      </c>
      <c r="D45" s="767">
        <v>692.3</v>
      </c>
      <c r="E45" s="767">
        <f>'Haver Pivoted'!GY44</f>
        <v>692.2</v>
      </c>
      <c r="F45" s="767">
        <f t="shared" si="0"/>
        <v>-9.9999999999909051E-2</v>
      </c>
      <c r="G45" s="778">
        <f t="shared" si="1"/>
        <v>-1.4444604940041752E-4</v>
      </c>
      <c r="I45" s="768"/>
      <c r="J45" s="780"/>
    </row>
    <row r="46" spans="1:10">
      <c r="A46" s="767" t="s">
        <v>131</v>
      </c>
      <c r="B46" s="767" t="s">
        <v>131</v>
      </c>
      <c r="C46" s="767" t="str">
        <f>'Haver Pivoted'!A45</f>
        <v>gftfpe</v>
      </c>
      <c r="D46" s="767">
        <v>290.10000000000002</v>
      </c>
      <c r="E46" s="767">
        <f>'Haver Pivoted'!GY45</f>
        <v>290.10000000000002</v>
      </c>
      <c r="F46" s="767">
        <f t="shared" si="0"/>
        <v>0</v>
      </c>
      <c r="G46" s="778">
        <f t="shared" si="1"/>
        <v>0</v>
      </c>
      <c r="I46" s="768"/>
      <c r="J46" s="780"/>
    </row>
    <row r="47" spans="1:10">
      <c r="B47" s="767" t="s">
        <v>1046</v>
      </c>
      <c r="C47" s="767" t="str">
        <f>'Haver Pivoted'!A46</f>
        <v>gftfpr</v>
      </c>
      <c r="D47" s="767">
        <v>14.1</v>
      </c>
      <c r="E47" s="767">
        <f>'Haver Pivoted'!GY46</f>
        <v>14.1</v>
      </c>
      <c r="F47" s="767">
        <f t="shared" si="0"/>
        <v>0</v>
      </c>
      <c r="G47" s="778">
        <f t="shared" si="1"/>
        <v>0</v>
      </c>
      <c r="I47" s="768"/>
      <c r="J47" s="780"/>
    </row>
    <row r="48" spans="1:10">
      <c r="A48" s="767" t="s">
        <v>481</v>
      </c>
      <c r="B48" s="771" t="s">
        <v>602</v>
      </c>
      <c r="C48" s="767" t="str">
        <f>'Haver Pivoted'!A47</f>
        <v>gftfpp</v>
      </c>
      <c r="D48" s="767">
        <v>24.7</v>
      </c>
      <c r="E48" s="767">
        <f>'Haver Pivoted'!GY47</f>
        <v>24.7</v>
      </c>
      <c r="F48" s="767">
        <f t="shared" si="0"/>
        <v>0</v>
      </c>
      <c r="G48" s="778">
        <f t="shared" si="1"/>
        <v>0</v>
      </c>
      <c r="J48" s="780"/>
    </row>
    <row r="49" spans="1:11">
      <c r="A49" s="767" t="s">
        <v>390</v>
      </c>
      <c r="B49" s="769" t="s">
        <v>695</v>
      </c>
      <c r="C49" s="767" t="str">
        <f>'Haver Pivoted'!A48</f>
        <v>gftfpv</v>
      </c>
      <c r="D49" s="767">
        <v>26.6</v>
      </c>
      <c r="E49" s="767">
        <f>'Haver Pivoted'!GY48</f>
        <v>26.6</v>
      </c>
      <c r="F49" s="767">
        <f t="shared" si="0"/>
        <v>0</v>
      </c>
      <c r="G49" s="778">
        <f t="shared" si="1"/>
        <v>0</v>
      </c>
      <c r="H49" s="770"/>
      <c r="I49" s="770"/>
    </row>
    <row r="50" spans="1:11">
      <c r="A50" s="767" t="s">
        <v>698</v>
      </c>
      <c r="B50" s="540" t="s">
        <v>411</v>
      </c>
      <c r="C50" s="767" t="str">
        <f>'Haver Pivoted'!A49</f>
        <v>gfsubp</v>
      </c>
      <c r="D50" s="767">
        <v>427.2</v>
      </c>
      <c r="E50" s="767">
        <f>'Haver Pivoted'!GY49</f>
        <v>427.2</v>
      </c>
      <c r="F50" s="767">
        <f t="shared" si="0"/>
        <v>0</v>
      </c>
      <c r="G50" s="778">
        <f t="shared" si="1"/>
        <v>0</v>
      </c>
      <c r="H50" s="870"/>
      <c r="I50" s="135"/>
    </row>
    <row r="51" spans="1:11">
      <c r="A51" s="767" t="s">
        <v>132</v>
      </c>
      <c r="B51" s="393" t="s">
        <v>410</v>
      </c>
      <c r="C51" s="767" t="str">
        <f>'Haver Pivoted'!A50</f>
        <v>gfsubg</v>
      </c>
      <c r="D51" s="767">
        <v>47.3</v>
      </c>
      <c r="E51" s="767">
        <f>'Haver Pivoted'!GY50</f>
        <v>47.3</v>
      </c>
      <c r="F51" s="767">
        <f t="shared" si="0"/>
        <v>0</v>
      </c>
      <c r="G51" s="778">
        <f t="shared" si="1"/>
        <v>0</v>
      </c>
      <c r="H51" s="817"/>
      <c r="I51" s="871"/>
    </row>
    <row r="52" spans="1:11">
      <c r="A52" s="767" t="s">
        <v>132</v>
      </c>
      <c r="B52" s="393" t="s">
        <v>409</v>
      </c>
      <c r="C52" s="767" t="str">
        <f>'Haver Pivoted'!A51</f>
        <v>gfsube</v>
      </c>
      <c r="D52" s="767">
        <v>62.9</v>
      </c>
      <c r="E52" s="767">
        <f>'Haver Pivoted'!GY51</f>
        <v>62.9</v>
      </c>
      <c r="F52" s="767">
        <f t="shared" si="0"/>
        <v>0</v>
      </c>
      <c r="G52" s="778">
        <f t="shared" si="1"/>
        <v>0</v>
      </c>
      <c r="H52" s="872"/>
      <c r="I52" s="135"/>
    </row>
    <row r="53" spans="1:11">
      <c r="A53" s="767" t="s">
        <v>132</v>
      </c>
      <c r="B53" s="393" t="s">
        <v>413</v>
      </c>
      <c r="C53" s="767" t="str">
        <f>'Haver Pivoted'!A52</f>
        <v>gfsubs</v>
      </c>
      <c r="D53" s="767">
        <v>12.3</v>
      </c>
      <c r="E53" s="767">
        <f>'Haver Pivoted'!GY52</f>
        <v>12.3</v>
      </c>
      <c r="F53" s="767">
        <f t="shared" si="0"/>
        <v>0</v>
      </c>
      <c r="G53" s="778">
        <f t="shared" si="1"/>
        <v>0</v>
      </c>
      <c r="H53" s="872"/>
      <c r="I53" s="135"/>
    </row>
    <row r="54" spans="1:11">
      <c r="A54" s="767" t="s">
        <v>132</v>
      </c>
      <c r="B54" s="393" t="s">
        <v>408</v>
      </c>
      <c r="C54" s="767" t="str">
        <f>'Haver Pivoted'!A53</f>
        <v>gfsubf</v>
      </c>
      <c r="D54" s="767">
        <v>1.8</v>
      </c>
      <c r="E54" s="767">
        <f>'Haver Pivoted'!GY53</f>
        <v>1.8</v>
      </c>
      <c r="F54" s="767">
        <f t="shared" si="0"/>
        <v>0</v>
      </c>
      <c r="G54" s="778">
        <f t="shared" si="1"/>
        <v>0</v>
      </c>
      <c r="H54" s="870"/>
      <c r="I54" s="135"/>
    </row>
    <row r="55" spans="1:11">
      <c r="A55" s="767" t="s">
        <v>700</v>
      </c>
      <c r="B55" s="393" t="s">
        <v>691</v>
      </c>
      <c r="C55" s="767" t="str">
        <f>'Haver Pivoted'!A54</f>
        <v>gfsubv</v>
      </c>
      <c r="D55" s="767">
        <v>16</v>
      </c>
      <c r="E55" s="767">
        <f>'Haver Pivoted'!GY54</f>
        <v>16</v>
      </c>
      <c r="F55" s="767">
        <f t="shared" si="0"/>
        <v>0</v>
      </c>
      <c r="G55" s="778">
        <f t="shared" si="1"/>
        <v>0</v>
      </c>
      <c r="H55" s="299"/>
      <c r="I55" s="581"/>
    </row>
    <row r="56" spans="1:11">
      <c r="A56" s="767" t="s">
        <v>132</v>
      </c>
      <c r="B56" s="393" t="s">
        <v>414</v>
      </c>
      <c r="C56" s="767" t="str">
        <f>'Haver Pivoted'!A55</f>
        <v>gfsubk</v>
      </c>
      <c r="D56" s="767">
        <v>8</v>
      </c>
      <c r="E56" s="767">
        <f>'Haver Pivoted'!GY55</f>
        <v>8</v>
      </c>
      <c r="F56" s="767">
        <f t="shared" si="0"/>
        <v>0</v>
      </c>
      <c r="G56" s="778">
        <f t="shared" si="1"/>
        <v>0</v>
      </c>
      <c r="H56" s="870"/>
      <c r="I56" s="135"/>
    </row>
    <row r="57" spans="1:11">
      <c r="A57" s="767" t="s">
        <v>101</v>
      </c>
      <c r="B57" s="766" t="s">
        <v>289</v>
      </c>
      <c r="C57" s="767" t="str">
        <f>'Haver Pivoted'!A56</f>
        <v>gfegc</v>
      </c>
      <c r="D57" s="767">
        <v>785.9</v>
      </c>
      <c r="E57" s="767">
        <f>'Haver Pivoted'!GY56</f>
        <v>785.9</v>
      </c>
      <c r="F57" s="767">
        <f t="shared" si="0"/>
        <v>0</v>
      </c>
      <c r="G57" s="778"/>
      <c r="H57" s="870"/>
      <c r="I57" s="135"/>
    </row>
    <row r="58" spans="1:11">
      <c r="A58" s="767" t="s">
        <v>101</v>
      </c>
      <c r="B58" s="766" t="s">
        <v>290</v>
      </c>
      <c r="C58" s="767" t="str">
        <f>'Haver Pivoted'!A57</f>
        <v>gfege</v>
      </c>
      <c r="D58" s="767">
        <v>67.599999999999994</v>
      </c>
      <c r="E58" s="767">
        <f>'Haver Pivoted'!GY57</f>
        <v>67.599999999999994</v>
      </c>
      <c r="F58" s="767">
        <f t="shared" si="0"/>
        <v>0</v>
      </c>
      <c r="G58" s="778">
        <f t="shared" si="1"/>
        <v>0</v>
      </c>
      <c r="H58" s="870"/>
      <c r="I58" s="135"/>
    </row>
    <row r="59" spans="1:11">
      <c r="A59" s="767" t="s">
        <v>701</v>
      </c>
      <c r="B59" s="766" t="s">
        <v>291</v>
      </c>
      <c r="C59" s="767" t="str">
        <f>'Haver Pivoted'!A58</f>
        <v>gfegv</v>
      </c>
      <c r="D59" s="767">
        <v>10.6</v>
      </c>
      <c r="E59" s="767">
        <f>'Haver Pivoted'!GY58</f>
        <v>10.6</v>
      </c>
      <c r="F59" s="767">
        <f t="shared" si="0"/>
        <v>0</v>
      </c>
      <c r="G59" s="778">
        <f t="shared" si="1"/>
        <v>0</v>
      </c>
    </row>
    <row r="60" spans="1:11">
      <c r="A60" s="767" t="s">
        <v>596</v>
      </c>
      <c r="B60" s="767" t="s">
        <v>597</v>
      </c>
      <c r="C60" s="767" t="str">
        <f>'Haver Pivoted'!A59</f>
        <v>yptue</v>
      </c>
      <c r="D60" s="767">
        <v>105.1</v>
      </c>
      <c r="E60" s="767">
        <f>'Haver Pivoted'!GY59</f>
        <v>104.5</v>
      </c>
      <c r="F60" s="767">
        <f t="shared" si="0"/>
        <v>-0.59999999999999432</v>
      </c>
      <c r="G60" s="778">
        <f t="shared" si="1"/>
        <v>-5.7088487155089853E-3</v>
      </c>
    </row>
    <row r="61" spans="1:11">
      <c r="A61" s="767" t="s">
        <v>596</v>
      </c>
      <c r="B61" s="767" t="s">
        <v>598</v>
      </c>
      <c r="C61" s="767" t="str">
        <f>'Haver Pivoted'!A60</f>
        <v>yptup</v>
      </c>
      <c r="D61" s="767">
        <v>82.4</v>
      </c>
      <c r="E61" s="767">
        <f>'Haver Pivoted'!GY60</f>
        <v>82.1</v>
      </c>
      <c r="F61" s="767">
        <f t="shared" si="0"/>
        <v>-0.30000000000001137</v>
      </c>
      <c r="G61" s="778">
        <f t="shared" si="1"/>
        <v>-3.6407766990292638E-3</v>
      </c>
      <c r="H61" s="769"/>
      <c r="I61" s="769"/>
      <c r="J61" s="769"/>
      <c r="K61" s="769"/>
    </row>
    <row r="62" spans="1:11">
      <c r="A62" s="767" t="s">
        <v>596</v>
      </c>
      <c r="B62" s="767" t="s">
        <v>142</v>
      </c>
      <c r="C62" s="767" t="str">
        <f>'Haver Pivoted'!A61</f>
        <v>yptuc</v>
      </c>
      <c r="D62" s="767">
        <v>238</v>
      </c>
      <c r="E62" s="767">
        <f>'Haver Pivoted'!GY61</f>
        <v>237.2</v>
      </c>
      <c r="F62" s="767">
        <f t="shared" si="0"/>
        <v>-0.80000000000001137</v>
      </c>
      <c r="G62" s="778">
        <f t="shared" si="1"/>
        <v>-3.361344537815174E-3</v>
      </c>
      <c r="H62" s="771"/>
      <c r="I62" s="771"/>
      <c r="J62" s="769"/>
      <c r="K62" s="769"/>
    </row>
    <row r="63" spans="1:11">
      <c r="B63" s="767" t="s">
        <v>1047</v>
      </c>
      <c r="C63" s="767" t="str">
        <f>'Haver Pivoted'!A62</f>
        <v>gftfpu</v>
      </c>
      <c r="D63" s="767">
        <v>431.3</v>
      </c>
      <c r="E63" s="767">
        <f>'Haver Pivoted'!GY62</f>
        <v>429.7</v>
      </c>
      <c r="F63" s="767">
        <f t="shared" si="0"/>
        <v>-1.6000000000000227</v>
      </c>
      <c r="G63" s="778">
        <f t="shared" si="1"/>
        <v>-3.7097148156735979E-3</v>
      </c>
      <c r="H63" s="772"/>
      <c r="I63" s="772"/>
      <c r="J63" s="769"/>
      <c r="K63" s="769"/>
    </row>
    <row r="64" spans="1:11">
      <c r="A64" s="767" t="s">
        <v>596</v>
      </c>
      <c r="B64" s="773" t="s">
        <v>699</v>
      </c>
      <c r="C64" s="767" t="str">
        <f>'Haver Pivoted'!A63</f>
        <v>yptub</v>
      </c>
      <c r="D64" s="767">
        <v>5.8</v>
      </c>
      <c r="E64" s="767">
        <f>'Haver Pivoted'!GY63</f>
        <v>5.8</v>
      </c>
      <c r="F64" s="767">
        <f t="shared" si="0"/>
        <v>0</v>
      </c>
      <c r="G64" s="778">
        <f t="shared" si="1"/>
        <v>0</v>
      </c>
      <c r="H64" s="772"/>
      <c r="I64" s="772"/>
      <c r="J64" s="769"/>
      <c r="K64" s="769"/>
    </row>
    <row r="65" spans="1:11">
      <c r="A65" s="767" t="s">
        <v>596</v>
      </c>
      <c r="B65" s="767" t="s">
        <v>271</v>
      </c>
      <c r="C65" s="767" t="str">
        <f>'Haver Pivoted'!A64</f>
        <v>yptol</v>
      </c>
      <c r="D65" s="767">
        <v>0.6</v>
      </c>
      <c r="E65" s="767">
        <f>'Haver Pivoted'!GY64</f>
        <v>0.6</v>
      </c>
      <c r="F65" s="767">
        <f t="shared" si="0"/>
        <v>0</v>
      </c>
      <c r="G65" s="778">
        <f t="shared" si="1"/>
        <v>0</v>
      </c>
      <c r="H65" s="772"/>
      <c r="I65" s="772"/>
      <c r="J65" s="769"/>
      <c r="K65" s="769"/>
    </row>
    <row r="66" spans="1:11">
      <c r="B66" s="771" t="s">
        <v>532</v>
      </c>
      <c r="C66" s="767" t="str">
        <f>'Haver Pivoted'!A65</f>
        <v>gfctp</v>
      </c>
      <c r="D66" s="767">
        <v>88.8</v>
      </c>
      <c r="E66" s="767">
        <f>'Haver Pivoted'!GY65</f>
        <v>88.8</v>
      </c>
      <c r="F66" s="767">
        <f t="shared" si="0"/>
        <v>0</v>
      </c>
      <c r="G66" s="778">
        <f t="shared" si="1"/>
        <v>0</v>
      </c>
      <c r="H66" s="774"/>
      <c r="I66" s="774"/>
      <c r="J66" s="769"/>
      <c r="K66" s="769"/>
    </row>
    <row r="67" spans="1:11">
      <c r="A67" s="771" t="s">
        <v>594</v>
      </c>
      <c r="B67" s="783" t="s">
        <v>599</v>
      </c>
      <c r="C67" s="767" t="str">
        <f>'Haver Pivoted'!A66</f>
        <v>gftffx</v>
      </c>
      <c r="D67" s="784">
        <v>124.27</v>
      </c>
      <c r="E67" s="767">
        <f>'Haver Pivoted'!GY66</f>
        <v>124.33499999999999</v>
      </c>
      <c r="F67" s="767">
        <f t="shared" si="0"/>
        <v>6.4999999999997726E-2</v>
      </c>
      <c r="G67" s="778">
        <f t="shared" si="1"/>
        <v>5.2305463909228073E-4</v>
      </c>
      <c r="H67" s="774"/>
      <c r="I67" s="774"/>
      <c r="J67" s="769"/>
      <c r="K67" s="769"/>
    </row>
    <row r="68" spans="1:11">
      <c r="B68" s="767" t="s">
        <v>1051</v>
      </c>
      <c r="C68" s="767" t="str">
        <f>'Haver Pivoted'!A67</f>
        <v>cpiu</v>
      </c>
      <c r="D68" s="784">
        <v>268.78800000000001</v>
      </c>
      <c r="E68" s="767">
        <f>'Haver Pivoted'!GY67</f>
        <v>268.78800000000001</v>
      </c>
      <c r="F68" s="767">
        <f t="shared" ref="F68:F81" si="2">E68-D68</f>
        <v>0</v>
      </c>
      <c r="G68" s="778">
        <f t="shared" ref="G68:G81" si="3">F68/D68</f>
        <v>0</v>
      </c>
      <c r="H68" s="774"/>
      <c r="I68" s="774"/>
      <c r="J68" s="769"/>
      <c r="K68" s="769"/>
    </row>
    <row r="69" spans="1:11">
      <c r="C69" s="767" t="str">
        <f>'Haver Pivoted'!A68</f>
        <v>pcw</v>
      </c>
      <c r="D69" s="784">
        <v>263.125333333333</v>
      </c>
      <c r="E69" s="767">
        <f>'Haver Pivoted'!GY68</f>
        <v>263.125333333333</v>
      </c>
      <c r="F69" s="767">
        <f t="shared" si="2"/>
        <v>0</v>
      </c>
      <c r="G69" s="778">
        <f t="shared" si="3"/>
        <v>0</v>
      </c>
      <c r="H69" s="771"/>
      <c r="I69" s="771"/>
      <c r="J69" s="769"/>
      <c r="K69" s="769"/>
    </row>
    <row r="70" spans="1:11">
      <c r="B70" s="771" t="s">
        <v>1048</v>
      </c>
      <c r="C70" s="767" t="str">
        <f>'Haver Pivoted'!A69</f>
        <v>gdppothq</v>
      </c>
      <c r="D70" s="784">
        <v>19697.400000000001</v>
      </c>
      <c r="E70" s="767">
        <f>'Haver Pivoted'!GY69</f>
        <v>19697.400000000001</v>
      </c>
      <c r="F70" s="767">
        <f t="shared" si="2"/>
        <v>0</v>
      </c>
      <c r="G70" s="778">
        <f t="shared" si="3"/>
        <v>0</v>
      </c>
      <c r="H70" s="769"/>
      <c r="I70" s="769"/>
      <c r="J70" s="769"/>
      <c r="K70" s="769"/>
    </row>
    <row r="71" spans="1:11">
      <c r="B71" s="771" t="s">
        <v>1049</v>
      </c>
      <c r="C71" s="767" t="str">
        <f>'Haver Pivoted'!A70</f>
        <v>gdppotq</v>
      </c>
      <c r="D71" s="784">
        <v>22983.3</v>
      </c>
      <c r="E71" s="767">
        <f>'Haver Pivoted'!GY70</f>
        <v>22983.3</v>
      </c>
      <c r="F71" s="767">
        <f t="shared" si="2"/>
        <v>0</v>
      </c>
      <c r="G71" s="778">
        <f t="shared" si="3"/>
        <v>0</v>
      </c>
      <c r="H71" s="769"/>
      <c r="I71" s="769"/>
      <c r="J71" s="769"/>
      <c r="K71" s="769"/>
    </row>
    <row r="72" spans="1:11">
      <c r="B72" s="771" t="s">
        <v>1050</v>
      </c>
      <c r="C72" s="767" t="str">
        <f>'Haver Pivoted'!A71</f>
        <v>recessq</v>
      </c>
      <c r="D72" s="784">
        <v>-1</v>
      </c>
      <c r="E72" s="767">
        <f>'Haver Pivoted'!GY71</f>
        <v>-1</v>
      </c>
      <c r="F72" s="767">
        <f t="shared" si="2"/>
        <v>0</v>
      </c>
      <c r="G72" s="778">
        <f t="shared" si="3"/>
        <v>0</v>
      </c>
      <c r="H72" s="769"/>
      <c r="I72" s="769"/>
      <c r="J72" s="769"/>
      <c r="K72" s="769"/>
    </row>
    <row r="73" spans="1:11">
      <c r="A73" s="767" t="s">
        <v>130</v>
      </c>
      <c r="B73" s="767" t="s">
        <v>1014</v>
      </c>
      <c r="C73" s="767" t="str">
        <f>'Haver Pivoted'!A72</f>
        <v>lasgova</v>
      </c>
      <c r="D73" s="784">
        <v>5031.3333333333303</v>
      </c>
      <c r="E73" s="767">
        <f>'Haver Pivoted'!GY72</f>
        <v>5025.6666666666697</v>
      </c>
      <c r="F73" s="767">
        <f t="shared" si="2"/>
        <v>-5.6666666666606034</v>
      </c>
      <c r="G73" s="778">
        <f t="shared" si="3"/>
        <v>-1.1262753411939725E-3</v>
      </c>
    </row>
    <row r="74" spans="1:11">
      <c r="A74" s="767" t="s">
        <v>130</v>
      </c>
      <c r="B74" s="767" t="s">
        <v>1015</v>
      </c>
      <c r="C74" s="767" t="str">
        <f>'Haver Pivoted'!A73</f>
        <v>lalgova</v>
      </c>
      <c r="D74" s="784">
        <v>13778.333333333299</v>
      </c>
      <c r="E74" s="767">
        <f>'Haver Pivoted'!GY73</f>
        <v>13773.666666666701</v>
      </c>
      <c r="F74" s="767">
        <f t="shared" si="2"/>
        <v>-4.6666666665987577</v>
      </c>
      <c r="G74" s="778">
        <f t="shared" si="3"/>
        <v>-3.3869602031683338E-4</v>
      </c>
    </row>
    <row r="75" spans="1:11">
      <c r="A75" s="767" t="s">
        <v>130</v>
      </c>
      <c r="B75" s="767" t="s">
        <v>1032</v>
      </c>
      <c r="C75" s="767" t="str">
        <f>'Haver Pivoted'!A74</f>
        <v>cpgs</v>
      </c>
      <c r="D75" s="784">
        <v>324766.55555555603</v>
      </c>
      <c r="E75" s="767">
        <f>'Haver Pivoted'!GY74</f>
        <v>317911</v>
      </c>
      <c r="F75" s="767">
        <f t="shared" si="2"/>
        <v>-6855.5555555560277</v>
      </c>
      <c r="G75" s="778">
        <f t="shared" si="3"/>
        <v>-2.110917961927667E-2</v>
      </c>
    </row>
    <row r="76" spans="1:11">
      <c r="B76" s="767" t="s">
        <v>457</v>
      </c>
      <c r="C76" s="767" t="str">
        <f>'Haver Pivoted'!A75</f>
        <v>jgdp_growth</v>
      </c>
      <c r="D76" s="785">
        <v>1.4616752715279799E-2</v>
      </c>
      <c r="E76" s="767">
        <f>'Haver Pivoted'!GY75</f>
        <v>1.48584946385095E-2</v>
      </c>
      <c r="F76" s="767">
        <f t="shared" si="2"/>
        <v>2.417419232297012E-4</v>
      </c>
      <c r="G76" s="778">
        <f t="shared" si="3"/>
        <v>1.6538688718253636E-2</v>
      </c>
    </row>
    <row r="77" spans="1:11">
      <c r="B77" s="767" t="s">
        <v>455</v>
      </c>
      <c r="C77" s="767" t="str">
        <f>'Haver Pivoted'!A76</f>
        <v>jc_growth</v>
      </c>
      <c r="D77" s="785">
        <v>1.5656391330129301E-2</v>
      </c>
      <c r="E77" s="767">
        <f>'Haver Pivoted'!GY76</f>
        <v>1.5806848454274401E-2</v>
      </c>
      <c r="F77" s="767">
        <f t="shared" si="2"/>
        <v>1.5045712414510012E-4</v>
      </c>
      <c r="G77" s="778">
        <f t="shared" si="3"/>
        <v>9.6099491238162311E-3</v>
      </c>
    </row>
    <row r="78" spans="1:11">
      <c r="B78" s="767" t="s">
        <v>453</v>
      </c>
      <c r="C78" s="767" t="str">
        <f>'Haver Pivoted'!A77</f>
        <v>jgf_growth</v>
      </c>
      <c r="D78" s="785">
        <v>9.7400604918249593E-3</v>
      </c>
      <c r="E78" s="767">
        <f>'Haver Pivoted'!GY77</f>
        <v>9.8627975277254497E-3</v>
      </c>
      <c r="F78" s="767">
        <f t="shared" si="2"/>
        <v>1.2273703590049041E-4</v>
      </c>
      <c r="G78" s="778">
        <f t="shared" si="3"/>
        <v>1.2601260126002937E-2</v>
      </c>
    </row>
    <row r="79" spans="1:11">
      <c r="B79" s="767" t="s">
        <v>451</v>
      </c>
      <c r="C79" s="767" t="str">
        <f>'Haver Pivoted'!A78</f>
        <v>jgs_growth</v>
      </c>
      <c r="D79" s="785">
        <v>1.72841160313526E-2</v>
      </c>
      <c r="E79" s="767">
        <f>'Haver Pivoted'!GY78</f>
        <v>1.75269645608629E-2</v>
      </c>
      <c r="F79" s="767">
        <f t="shared" si="2"/>
        <v>2.4284852951030056E-4</v>
      </c>
      <c r="G79" s="778">
        <f t="shared" si="3"/>
        <v>1.4050387596900206E-2</v>
      </c>
    </row>
    <row r="80" spans="1:11">
      <c r="B80" s="767" t="s">
        <v>449</v>
      </c>
      <c r="C80" s="767" t="str">
        <f>'Haver Pivoted'!A79</f>
        <v>jgse_growth</v>
      </c>
      <c r="D80" s="785">
        <v>1.6421172510237E-2</v>
      </c>
      <c r="E80" s="767">
        <f>'Haver Pivoted'!GY79</f>
        <v>1.65635284167511E-2</v>
      </c>
      <c r="F80" s="767">
        <f t="shared" si="2"/>
        <v>1.4235590651410016E-4</v>
      </c>
      <c r="G80" s="778">
        <f t="shared" si="3"/>
        <v>8.6690464048992319E-3</v>
      </c>
    </row>
    <row r="81" spans="2:7">
      <c r="B81" s="767" t="s">
        <v>447</v>
      </c>
      <c r="C81" s="767" t="str">
        <f>'Haver Pivoted'!A80</f>
        <v>jgsi_growth</v>
      </c>
      <c r="D81" s="785">
        <v>2.12199370268642E-2</v>
      </c>
      <c r="E81" s="767">
        <f>'Haver Pivoted'!GY80</f>
        <v>2.1931734440946E-2</v>
      </c>
      <c r="F81" s="767">
        <f t="shared" si="2"/>
        <v>7.1179741408180022E-4</v>
      </c>
      <c r="G81" s="778">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baseColWidth="10" defaultColWidth="8.83203125" defaultRowHeight="15"/>
  <cols>
    <col min="2" max="2" width="26.5" customWidth="1"/>
    <col min="3" max="3" width="20.1640625" customWidth="1"/>
    <col min="4" max="15" width="9.5" bestFit="1" customWidth="1"/>
  </cols>
  <sheetData>
    <row r="2" spans="2:18">
      <c r="B2" s="1346" t="s">
        <v>1140</v>
      </c>
      <c r="C2" s="1346"/>
      <c r="D2" s="1346"/>
      <c r="E2" s="1346"/>
      <c r="F2" s="1346"/>
      <c r="G2" s="1346"/>
      <c r="H2" s="1346"/>
      <c r="I2" s="1346"/>
      <c r="J2" s="1346"/>
      <c r="K2" s="1346"/>
      <c r="L2" s="1346"/>
      <c r="M2" s="1346"/>
      <c r="N2" s="1346"/>
      <c r="O2" s="1346"/>
      <c r="P2" s="1346"/>
      <c r="Q2" s="1346"/>
      <c r="R2" s="1346"/>
    </row>
    <row r="3" spans="2:18">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c r="B6" s="560" t="str">
        <f>forecast!A4</f>
        <v>Federal Purchases (NIPA Consistent)</v>
      </c>
      <c r="C6" s="560" t="str">
        <f>forecast!B4</f>
        <v>federal_purchases</v>
      </c>
      <c r="D6" s="572">
        <f>forecast!C4</f>
        <v>1574.4706324651618</v>
      </c>
      <c r="E6" s="572">
        <f>forecast!D4</f>
        <v>1586.3910806856957</v>
      </c>
      <c r="F6" s="572">
        <f>forecast!E4</f>
        <v>1598.4948253539787</v>
      </c>
      <c r="G6" s="572">
        <f>forecast!F4</f>
        <v>1600.4852269719188</v>
      </c>
      <c r="H6" s="572">
        <f>forecast!G4</f>
        <v>1599.8246179233195</v>
      </c>
      <c r="I6" s="572">
        <f>forecast!H4</f>
        <v>1599.9925730575819</v>
      </c>
      <c r="J6" s="572">
        <f>forecast!I4</f>
        <v>1604.2713586599725</v>
      </c>
      <c r="K6" s="572">
        <f>forecast!J4</f>
        <v>1610.249863080161</v>
      </c>
      <c r="L6" s="572">
        <f>forecast!K4</f>
        <v>1617.9041839311014</v>
      </c>
      <c r="M6" s="572">
        <f>forecast!L4</f>
        <v>1626.9012547503785</v>
      </c>
      <c r="N6" s="572">
        <f>forecast!M4</f>
        <v>1635.7763242754954</v>
      </c>
      <c r="O6" s="572">
        <f>forecast!N4</f>
        <v>1644.6998090678856</v>
      </c>
      <c r="P6" s="572">
        <f>forecast!O4</f>
        <v>1654.0763434825342</v>
      </c>
      <c r="Q6" s="572">
        <f>forecast!P4</f>
        <v>1663.0996585149583</v>
      </c>
      <c r="R6" s="572">
        <f>forecast!Q4</f>
        <v>1673.3979812645641</v>
      </c>
    </row>
    <row r="7" spans="2:18">
      <c r="B7" s="560" t="str">
        <f>forecast!A5</f>
        <v>State Purchases (NIPA Consistent)</v>
      </c>
      <c r="C7" s="560" t="str">
        <f>forecast!B5</f>
        <v>state_purchases</v>
      </c>
      <c r="D7" s="572">
        <f>forecast!C5</f>
        <v>2511.8436452174183</v>
      </c>
      <c r="E7" s="572">
        <f>forecast!D5</f>
        <v>2572.4134619069305</v>
      </c>
      <c r="F7" s="572">
        <f>forecast!E5</f>
        <v>2628.4359475389774</v>
      </c>
      <c r="G7" s="572">
        <f>forecast!F5</f>
        <v>2679.4973817692357</v>
      </c>
      <c r="H7" s="572">
        <f>forecast!G5</f>
        <v>2725.2056548484343</v>
      </c>
      <c r="I7" s="572">
        <f>forecast!H5</f>
        <v>2761.9282764357772</v>
      </c>
      <c r="J7" s="572">
        <f>forecast!I5</f>
        <v>2795.8233077203895</v>
      </c>
      <c r="K7" s="572">
        <f>forecast!J5</f>
        <v>2830.1343067749062</v>
      </c>
      <c r="L7" s="572">
        <f>forecast!K5</f>
        <v>2864.8663784533146</v>
      </c>
      <c r="M7" s="572">
        <f>forecast!L5</f>
        <v>2900.0246902575668</v>
      </c>
      <c r="N7" s="572">
        <f>forecast!M5</f>
        <v>2935.6144731064101</v>
      </c>
      <c r="O7" s="572">
        <f>forecast!N5</f>
        <v>2935.6144731064101</v>
      </c>
      <c r="P7" s="572">
        <f>forecast!O5</f>
        <v>2935.6144731064101</v>
      </c>
      <c r="Q7" s="572">
        <f>forecast!P5</f>
        <v>2935.6144731064101</v>
      </c>
      <c r="R7" s="572">
        <f>forecast!Q5</f>
        <v>2935.6144731064101</v>
      </c>
    </row>
    <row r="8" spans="2:18">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c r="B10" s="560" t="str">
        <f>forecast!A8</f>
        <v>Federal UI</v>
      </c>
      <c r="C10" s="560" t="str">
        <f>forecast!B8</f>
        <v>federal_ui</v>
      </c>
      <c r="D10" s="572">
        <f>forecast!C8</f>
        <v>232.99999999999997</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c r="B11" s="560" t="str">
        <f>forecast!A9</f>
        <v>State UI</v>
      </c>
      <c r="C11" s="560" t="str">
        <f>forecast!B9</f>
        <v>state_ui</v>
      </c>
      <c r="D11" s="572">
        <f>forecast!C9</f>
        <v>41.434647398843964</v>
      </c>
      <c r="E11" s="572">
        <f>forecast!D9</f>
        <v>36.046109826589621</v>
      </c>
      <c r="F11" s="572">
        <f>forecast!E9</f>
        <v>32.09660115606939</v>
      </c>
      <c r="G11" s="572">
        <f>forecast!F9</f>
        <v>29.867670520231236</v>
      </c>
      <c r="H11" s="572">
        <f>forecast!G9</f>
        <v>28.796219653179211</v>
      </c>
      <c r="I11" s="572">
        <f>forecast!H9</f>
        <v>28.444283236994242</v>
      </c>
      <c r="J11" s="572">
        <f>forecast!I9</f>
        <v>28.639803468208115</v>
      </c>
      <c r="K11" s="572">
        <f>forecast!J9</f>
        <v>29.077768786127191</v>
      </c>
      <c r="L11" s="572">
        <f>forecast!K9</f>
        <v>29.52355491329482</v>
      </c>
      <c r="M11" s="572">
        <f>forecast!L9</f>
        <v>29.992803468208116</v>
      </c>
      <c r="N11" s="572">
        <f>forecast!M9</f>
        <v>30.579364161849735</v>
      </c>
      <c r="O11" s="572">
        <f>forecast!N9</f>
        <v>31.064254335260141</v>
      </c>
      <c r="P11" s="572">
        <f>forecast!O9</f>
        <v>31.447473988439334</v>
      </c>
      <c r="Q11" s="572">
        <f>forecast!P9</f>
        <v>31.924543352601184</v>
      </c>
      <c r="R11" s="572">
        <f>forecast!Q9</f>
        <v>32.385971098265927</v>
      </c>
    </row>
    <row r="12" spans="2:18">
      <c r="B12" s="560" t="str">
        <f>forecast!A10</f>
        <v>Federal Medicaid</v>
      </c>
      <c r="C12" s="560" t="str">
        <f>forecast!B10</f>
        <v>medicaid_grants</v>
      </c>
      <c r="D12" s="572">
        <f>forecast!C10</f>
        <v>552.98943075574527</v>
      </c>
      <c r="E12" s="572">
        <f>forecast!D10</f>
        <v>561.55321472104822</v>
      </c>
      <c r="F12" s="572">
        <f>forecast!E10</f>
        <v>595.71048950195052</v>
      </c>
      <c r="G12" s="572">
        <f>forecast!F10</f>
        <v>604.93586643363528</v>
      </c>
      <c r="H12" s="572">
        <f>forecast!G10</f>
        <v>557.70430033183629</v>
      </c>
      <c r="I12" s="572">
        <f>forecast!H10</f>
        <v>556.8347699065057</v>
      </c>
      <c r="J12" s="572">
        <f>forecast!I10</f>
        <v>558.52568720215106</v>
      </c>
      <c r="K12" s="572">
        <f>forecast!J10</f>
        <v>560.22173923696005</v>
      </c>
      <c r="L12" s="572">
        <f>forecast!K10</f>
        <v>561.92294160338429</v>
      </c>
      <c r="M12" s="572">
        <f>forecast!L10</f>
        <v>584.9437111499708</v>
      </c>
      <c r="N12" s="572">
        <f>forecast!M10</f>
        <v>608.90759191569498</v>
      </c>
      <c r="O12" s="572">
        <f>forecast!N10</f>
        <v>633.85322113072698</v>
      </c>
      <c r="P12" s="572">
        <f>forecast!O10</f>
        <v>659.82081890912684</v>
      </c>
      <c r="Q12" s="572">
        <f>forecast!P10</f>
        <v>686.85225309617954</v>
      </c>
      <c r="R12" s="572">
        <f>forecast!Q10</f>
        <v>714.99110677238536</v>
      </c>
    </row>
    <row r="13" spans="2:18">
      <c r="B13" s="560" t="str">
        <f>forecast!A11</f>
        <v>Total Medicaid</v>
      </c>
      <c r="C13" s="560" t="str">
        <f>forecast!B11</f>
        <v>medicaid</v>
      </c>
      <c r="D13" s="572">
        <f>forecast!C11</f>
        <v>770.8</v>
      </c>
      <c r="E13" s="572">
        <f>forecast!D11</f>
        <v>782.73687313595531</v>
      </c>
      <c r="F13" s="572">
        <f>forecast!E11</f>
        <v>794.85860478289123</v>
      </c>
      <c r="G13" s="572">
        <f>forecast!F11</f>
        <v>807.16805772310374</v>
      </c>
      <c r="H13" s="572">
        <f>forecast!G11</f>
        <v>819.66813907291714</v>
      </c>
      <c r="I13" s="572">
        <f>forecast!H11</f>
        <v>822.15719167514692</v>
      </c>
      <c r="J13" s="572">
        <f>forecast!I11</f>
        <v>824.65380268127376</v>
      </c>
      <c r="K13" s="572">
        <f>forecast!J11</f>
        <v>827.15799504359268</v>
      </c>
      <c r="L13" s="572">
        <f>forecast!K11</f>
        <v>829.66979178409679</v>
      </c>
      <c r="M13" s="572">
        <f>forecast!L11</f>
        <v>863.65957163171674</v>
      </c>
      <c r="N13" s="572">
        <f>forecast!M11</f>
        <v>899.04183936491506</v>
      </c>
      <c r="O13" s="572">
        <f>forecast!N11</f>
        <v>935.87364220553832</v>
      </c>
      <c r="P13" s="572">
        <f>forecast!O11</f>
        <v>974.21436447692884</v>
      </c>
      <c r="Q13" s="572">
        <f>forecast!P11</f>
        <v>1014.1258233499268</v>
      </c>
      <c r="R13" s="572">
        <f>forecast!Q11</f>
        <v>1055.6723685113786</v>
      </c>
    </row>
    <row r="14" spans="2:18">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c r="B16" s="560" t="str">
        <f>forecast!A14</f>
        <v>ARP Rebate Checks</v>
      </c>
      <c r="C16" s="560" t="str">
        <f>forecast!B14</f>
        <v>rebate_checks_arp</v>
      </c>
      <c r="D16" s="572">
        <f>forecast!C14</f>
        <v>20</v>
      </c>
      <c r="E16" s="572">
        <f>forecast!D14</f>
        <v>0</v>
      </c>
      <c r="F16" s="572">
        <f>forecast!E14</f>
        <v>14.93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c r="B18" s="560" t="str">
        <f>forecast!A16</f>
        <v>ARP Other Direct Aid</v>
      </c>
      <c r="C18" s="560" t="str">
        <f>forecast!B16</f>
        <v>federal_other_direct_aid_arp</v>
      </c>
      <c r="D18" s="572">
        <f>forecast!C16</f>
        <v>203.10400000000004</v>
      </c>
      <c r="E18" s="572">
        <f>forecast!D16</f>
        <v>74.718999999999994</v>
      </c>
      <c r="F18" s="572">
        <f>forecast!E16</f>
        <v>74.718999999999994</v>
      </c>
      <c r="G18" s="572">
        <f>forecast!F16</f>
        <v>74.718999999999994</v>
      </c>
      <c r="H18" s="572">
        <f>forecast!G16</f>
        <v>74.718999999999994</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c r="B21" s="560" t="str">
        <f>forecast!A19</f>
        <v>Federal Non-Corporate Taxes</v>
      </c>
      <c r="C21" s="560" t="str">
        <f>forecast!B19</f>
        <v>federal_non_corporate_taxes</v>
      </c>
      <c r="D21" s="572">
        <f>forecast!C19</f>
        <v>3702.7279180746473</v>
      </c>
      <c r="E21" s="572">
        <f>forecast!D19</f>
        <v>3753.1986685626935</v>
      </c>
      <c r="F21" s="572">
        <f>forecast!E19</f>
        <v>3789.474466066139</v>
      </c>
      <c r="G21" s="572">
        <f>forecast!F19</f>
        <v>3839.6232913716235</v>
      </c>
      <c r="H21" s="572">
        <f>forecast!G19</f>
        <v>3885.73396048325</v>
      </c>
      <c r="I21" s="572">
        <f>forecast!H19</f>
        <v>3928.7228259014305</v>
      </c>
      <c r="J21" s="572">
        <f>forecast!I19</f>
        <v>3963.2082474974463</v>
      </c>
      <c r="K21" s="572">
        <f>forecast!J19</f>
        <v>4002.0105959242255</v>
      </c>
      <c r="L21" s="572">
        <f>forecast!K19</f>
        <v>4040.4862419569254</v>
      </c>
      <c r="M21" s="572">
        <f>forecast!L19</f>
        <v>4078.1458539417649</v>
      </c>
      <c r="N21" s="572">
        <f>forecast!M19</f>
        <v>4114.5364253800335</v>
      </c>
      <c r="O21" s="572">
        <f>forecast!N19</f>
        <v>4150.5791355082993</v>
      </c>
      <c r="P21" s="572">
        <f>forecast!O19</f>
        <v>4188.264463641015</v>
      </c>
      <c r="Q21" s="572">
        <f>forecast!P19</f>
        <v>4225.9780741350496</v>
      </c>
      <c r="R21" s="572">
        <f>forecast!Q19</f>
        <v>4264.7804553946153</v>
      </c>
    </row>
    <row r="22" spans="2:18">
      <c r="B22" s="560" t="str">
        <f>forecast!A20</f>
        <v>State Non-Corporate Taxes</v>
      </c>
      <c r="C22" s="560" t="str">
        <f>forecast!B20</f>
        <v>state_non_corporate_taxes</v>
      </c>
      <c r="D22" s="572">
        <f>forecast!C20</f>
        <v>2164.4482919103875</v>
      </c>
      <c r="E22" s="572">
        <f>forecast!D20</f>
        <v>2194.3223121532637</v>
      </c>
      <c r="F22" s="572">
        <f>forecast!E20</f>
        <v>2224.5413720016322</v>
      </c>
      <c r="G22" s="572">
        <f>forecast!F20</f>
        <v>2253.7176920087013</v>
      </c>
      <c r="H22" s="572">
        <f>forecast!G20</f>
        <v>2284.0426377976205</v>
      </c>
      <c r="I22" s="572">
        <f>forecast!H20</f>
        <v>2311.8513323667312</v>
      </c>
      <c r="J22" s="572">
        <f>forecast!I20</f>
        <v>2336.816532152634</v>
      </c>
      <c r="K22" s="572">
        <f>forecast!J20</f>
        <v>2360.4098395562496</v>
      </c>
      <c r="L22" s="572">
        <f>forecast!K20</f>
        <v>2383.8947046963863</v>
      </c>
      <c r="M22" s="572">
        <f>forecast!L20</f>
        <v>2406.1925927068878</v>
      </c>
      <c r="N22" s="572">
        <f>forecast!M20</f>
        <v>2427.4681701856962</v>
      </c>
      <c r="O22" s="572">
        <f>forecast!N20</f>
        <v>2448.7029333186206</v>
      </c>
      <c r="P22" s="572">
        <f>forecast!O20</f>
        <v>2470.8658012154724</v>
      </c>
      <c r="Q22" s="572">
        <f>forecast!P20</f>
        <v>2492.091879620777</v>
      </c>
      <c r="R22" s="572">
        <f>forecast!Q20</f>
        <v>2514.7144630554176</v>
      </c>
    </row>
    <row r="23" spans="2:18">
      <c r="B23" s="560" t="str">
        <f>forecast!A21</f>
        <v>Federal Corporate Taxes</v>
      </c>
      <c r="C23" s="560" t="str">
        <f>forecast!B21</f>
        <v>federal_corporate_taxes</v>
      </c>
      <c r="D23" s="572">
        <f>forecast!C21</f>
        <v>275.36144578313252</v>
      </c>
      <c r="E23" s="572">
        <f>forecast!D21</f>
        <v>278.50843373493979</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c r="B25" s="560"/>
      <c r="C25" s="560"/>
      <c r="D25" s="560"/>
      <c r="E25" s="560"/>
      <c r="F25" s="560"/>
      <c r="G25" s="560"/>
      <c r="H25" s="560"/>
      <c r="I25" s="560"/>
      <c r="J25" s="560"/>
      <c r="K25" s="560"/>
      <c r="L25" s="560"/>
      <c r="M25" s="560"/>
      <c r="N25" s="560"/>
      <c r="O25" s="560"/>
    </row>
    <row r="26" spans="2:18">
      <c r="B26" s="560"/>
      <c r="C26" s="560"/>
      <c r="D26" s="560"/>
      <c r="E26" s="560"/>
      <c r="F26" s="560"/>
      <c r="G26" s="560"/>
      <c r="H26" s="560"/>
      <c r="I26" s="560"/>
      <c r="J26" s="560"/>
      <c r="K26" s="560"/>
      <c r="L26" s="560"/>
      <c r="M26" s="560"/>
      <c r="N26" s="560"/>
      <c r="O26" s="560"/>
    </row>
    <row r="27" spans="2:18">
      <c r="B27" s="1346" t="s">
        <v>1191</v>
      </c>
      <c r="C27" s="1346"/>
      <c r="D27" s="1346"/>
      <c r="E27" s="1346"/>
      <c r="F27" s="1346"/>
      <c r="G27" s="1346"/>
      <c r="H27" s="1346"/>
      <c r="I27" s="1346"/>
      <c r="J27" s="1346"/>
      <c r="K27" s="1346"/>
      <c r="L27" s="1346"/>
      <c r="M27" s="1346"/>
      <c r="N27" s="1346"/>
      <c r="O27" s="1346"/>
      <c r="P27" s="1346"/>
      <c r="Q27" s="1346"/>
      <c r="R27" s="1346"/>
    </row>
    <row r="28" spans="2:18">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171">
        <v>473.87554213626697</v>
      </c>
      <c r="P29" s="1171">
        <v>489.00698046171772</v>
      </c>
      <c r="Q29" s="1171">
        <v>503.86304218018643</v>
      </c>
      <c r="R29" s="1171">
        <v>511.23178213939389</v>
      </c>
    </row>
    <row r="30" spans="2:18">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171">
        <v>75.205285714285722</v>
      </c>
      <c r="P30" s="1171">
        <v>75.205285714285722</v>
      </c>
      <c r="Q30" s="1171">
        <v>75.205285714285722</v>
      </c>
      <c r="R30" s="1171">
        <v>75.205285714285722</v>
      </c>
    </row>
    <row r="31" spans="2:18">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171">
        <v>1645.0154298333946</v>
      </c>
      <c r="P31" s="1171">
        <v>1654.3937636213718</v>
      </c>
      <c r="Q31" s="1171">
        <v>1663.4188102437081</v>
      </c>
      <c r="R31" s="1171">
        <v>1673.7191092594337</v>
      </c>
    </row>
    <row r="32" spans="2:18">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171">
        <v>2938.8460787154886</v>
      </c>
      <c r="P32" s="1171">
        <v>2938.8460787154886</v>
      </c>
      <c r="Q32" s="1171">
        <v>2938.8460787154886</v>
      </c>
      <c r="R32" s="1171">
        <v>2938.8460787154886</v>
      </c>
    </row>
    <row r="33" spans="2:18">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171">
        <v>74.060000000000016</v>
      </c>
      <c r="P33" s="1171">
        <v>74.060000000000016</v>
      </c>
      <c r="Q33" s="1171">
        <v>77.001000000000005</v>
      </c>
      <c r="R33" s="1171">
        <v>77.001000000000005</v>
      </c>
    </row>
    <row r="34" spans="2:18">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171">
        <v>1.365</v>
      </c>
      <c r="P34" s="1171">
        <v>1.365</v>
      </c>
      <c r="Q34" s="1171">
        <v>-0.90100000000000025</v>
      </c>
      <c r="R34" s="1171">
        <v>-0.90100000000000025</v>
      </c>
    </row>
    <row r="35" spans="2:18">
      <c r="B35" s="560" t="s">
        <v>133</v>
      </c>
      <c r="C35" s="560" t="s">
        <v>606</v>
      </c>
      <c r="D35" s="572">
        <v>395.42777129932153</v>
      </c>
      <c r="E35" s="572">
        <v>0</v>
      </c>
      <c r="F35" s="572">
        <v>0</v>
      </c>
      <c r="G35" s="572">
        <v>0</v>
      </c>
      <c r="H35" s="572">
        <v>0</v>
      </c>
      <c r="I35" s="572">
        <v>0</v>
      </c>
      <c r="J35" s="572">
        <v>0</v>
      </c>
      <c r="K35" s="572">
        <v>0</v>
      </c>
      <c r="L35" s="572">
        <v>0</v>
      </c>
      <c r="M35" s="572">
        <v>0</v>
      </c>
      <c r="N35" s="572">
        <v>0</v>
      </c>
      <c r="O35" s="1171">
        <v>0</v>
      </c>
      <c r="P35" s="1171">
        <v>0</v>
      </c>
      <c r="Q35" s="1171">
        <v>0</v>
      </c>
      <c r="R35" s="1171">
        <v>0</v>
      </c>
    </row>
    <row r="36" spans="2:18">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171">
        <v>30.995375722543347</v>
      </c>
      <c r="P36" s="1171">
        <v>31.37774566473988</v>
      </c>
      <c r="Q36" s="1171">
        <v>31.853757225433522</v>
      </c>
      <c r="R36" s="1171">
        <v>32.314161849710985</v>
      </c>
    </row>
    <row r="37" spans="2:18">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171">
        <v>603.474373697445</v>
      </c>
      <c r="P37" s="1171">
        <v>628.19741569412679</v>
      </c>
      <c r="Q37" s="1171">
        <v>653.93330733647747</v>
      </c>
      <c r="R37" s="1171">
        <v>680.72354288741451</v>
      </c>
    </row>
    <row r="38" spans="2:18">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171">
        <v>890.7135047030099</v>
      </c>
      <c r="P38" s="1171">
        <v>927.2041136560664</v>
      </c>
      <c r="Q38" s="1171">
        <v>965.18966406306311</v>
      </c>
      <c r="R38" s="1171">
        <v>1004.7314004473125</v>
      </c>
    </row>
    <row r="39" spans="2:18">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171">
        <v>982.06111404386252</v>
      </c>
      <c r="P39" s="1171">
        <v>1000.427847182359</v>
      </c>
      <c r="Q39" s="1171">
        <v>1019.1325725353943</v>
      </c>
      <c r="R39" s="1171">
        <v>1038.181509975399</v>
      </c>
    </row>
    <row r="40" spans="2:18">
      <c r="B40" t="s">
        <v>463</v>
      </c>
      <c r="C40" t="s">
        <v>618</v>
      </c>
      <c r="D40" s="572">
        <v>0</v>
      </c>
      <c r="E40" s="572">
        <v>0</v>
      </c>
      <c r="F40" s="572">
        <v>0</v>
      </c>
      <c r="G40" s="572">
        <v>0</v>
      </c>
      <c r="H40" s="572">
        <v>0</v>
      </c>
      <c r="I40" s="572">
        <v>0</v>
      </c>
      <c r="J40" s="572">
        <v>0</v>
      </c>
      <c r="K40" s="572">
        <v>0</v>
      </c>
      <c r="L40" s="572">
        <v>0</v>
      </c>
      <c r="M40" s="572">
        <v>0</v>
      </c>
      <c r="N40" s="572">
        <v>0</v>
      </c>
      <c r="O40" s="1171">
        <v>0</v>
      </c>
      <c r="P40" s="1171">
        <v>0</v>
      </c>
      <c r="Q40" s="1171">
        <v>0</v>
      </c>
      <c r="R40" s="1171">
        <v>0</v>
      </c>
    </row>
    <row r="41" spans="2:18">
      <c r="B41" t="s">
        <v>464</v>
      </c>
      <c r="C41" t="s">
        <v>619</v>
      </c>
      <c r="D41" s="572">
        <v>0</v>
      </c>
      <c r="E41" s="572">
        <v>0</v>
      </c>
      <c r="F41" s="572">
        <v>34.93</v>
      </c>
      <c r="G41" s="572">
        <v>34.93</v>
      </c>
      <c r="H41" s="572">
        <v>0</v>
      </c>
      <c r="I41" s="572">
        <v>0</v>
      </c>
      <c r="J41" s="572">
        <v>0</v>
      </c>
      <c r="K41" s="572">
        <v>0</v>
      </c>
      <c r="L41" s="572">
        <v>0</v>
      </c>
      <c r="M41" s="572">
        <v>0</v>
      </c>
      <c r="N41" s="572">
        <v>0</v>
      </c>
      <c r="O41" s="1171">
        <v>0</v>
      </c>
      <c r="P41" s="1171">
        <v>0</v>
      </c>
      <c r="Q41" s="1171">
        <v>0</v>
      </c>
      <c r="R41" s="1171">
        <v>0</v>
      </c>
    </row>
    <row r="42" spans="2:18">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171">
        <v>4.2219999999999995</v>
      </c>
      <c r="P42" s="1171">
        <v>4.2219999999999995</v>
      </c>
      <c r="Q42" s="1171">
        <v>2.3719999999999999</v>
      </c>
      <c r="R42" s="1171">
        <v>2.3719999999999999</v>
      </c>
    </row>
    <row r="43" spans="2:18">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171">
        <v>2.1789999999999998</v>
      </c>
      <c r="P43" s="1171">
        <v>2.1789999999999998</v>
      </c>
      <c r="Q43" s="1171">
        <v>2.33</v>
      </c>
      <c r="R43" s="1171">
        <v>2.33</v>
      </c>
    </row>
    <row r="44" spans="2:18">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171">
        <v>1885.8013202063362</v>
      </c>
      <c r="P44" s="1171">
        <v>1892.9013202063363</v>
      </c>
      <c r="Q44" s="1171">
        <v>1900.0013202063365</v>
      </c>
      <c r="R44" s="1171">
        <v>1907.1013202063366</v>
      </c>
    </row>
    <row r="45" spans="2:18">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171">
        <v>178.90899930447623</v>
      </c>
      <c r="P45" s="1171">
        <v>181.06057445693898</v>
      </c>
      <c r="Q45" s="1171">
        <v>183.23802463891224</v>
      </c>
      <c r="R45" s="1171">
        <v>185.44166102574647</v>
      </c>
    </row>
    <row r="46" spans="2:18">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171">
        <v>4013.1835799980427</v>
      </c>
      <c r="P46" s="1171">
        <v>4049.6170732672394</v>
      </c>
      <c r="Q46" s="1171">
        <v>4086.0569413053399</v>
      </c>
      <c r="R46" s="1171">
        <v>4123.5269188037892</v>
      </c>
    </row>
    <row r="47" spans="2:18">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171">
        <v>2443.8030478580699</v>
      </c>
      <c r="P47" s="1171">
        <v>2465.9212462631763</v>
      </c>
      <c r="Q47" s="1171">
        <v>2487.1016591667403</v>
      </c>
      <c r="R47" s="1171">
        <v>2509.6765154847499</v>
      </c>
    </row>
    <row r="48" spans="2:18">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171">
        <v>333.80516780727601</v>
      </c>
      <c r="P48" s="1171">
        <v>335.18754670496617</v>
      </c>
      <c r="Q48" s="1171">
        <v>337.08691283268678</v>
      </c>
      <c r="R48" s="1171">
        <v>337.99725991165343</v>
      </c>
    </row>
    <row r="49" spans="2:18">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171">
        <v>119.68209877146802</v>
      </c>
      <c r="P49" s="1171">
        <v>120.17773521969842</v>
      </c>
      <c r="Q49" s="1171">
        <v>120.85873164043772</v>
      </c>
      <c r="R49" s="1171">
        <v>121.18512637463822</v>
      </c>
    </row>
    <row r="52" spans="2:18">
      <c r="B52" s="1346" t="s">
        <v>1135</v>
      </c>
      <c r="C52" s="1346"/>
      <c r="D52" s="1346"/>
      <c r="E52" s="1346"/>
      <c r="F52" s="1346"/>
      <c r="G52" s="1346"/>
      <c r="H52" s="1346"/>
      <c r="I52" s="1346"/>
      <c r="J52" s="1346"/>
      <c r="K52" s="1346"/>
      <c r="L52" s="1346"/>
      <c r="M52" s="1346"/>
      <c r="N52" s="1346"/>
      <c r="O52" s="1346"/>
      <c r="P52" s="1346"/>
      <c r="Q52" s="1346"/>
      <c r="R52" s="1346"/>
    </row>
    <row r="53" spans="2:18">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c r="B56" s="560" t="s">
        <v>459</v>
      </c>
      <c r="C56" s="560" t="s">
        <v>604</v>
      </c>
      <c r="D56" s="572">
        <f t="shared" ref="D56:N74" si="4">D6-D31</f>
        <v>-0.30214366387735936</v>
      </c>
      <c r="E56" s="572">
        <f t="shared" si="4"/>
        <v>-0.30443121870780487</v>
      </c>
      <c r="F56" s="572">
        <f t="shared" si="4"/>
        <v>-0.30675394844638504</v>
      </c>
      <c r="G56" s="572">
        <f t="shared" si="4"/>
        <v>-0.30713590999289409</v>
      </c>
      <c r="H56" s="572">
        <f t="shared" si="4"/>
        <v>-0.30700913796295026</v>
      </c>
      <c r="I56" s="572">
        <f t="shared" si="4"/>
        <v>-0.30704136884651234</v>
      </c>
      <c r="J56" s="572">
        <f t="shared" si="4"/>
        <v>-0.30786247527566957</v>
      </c>
      <c r="K56" s="572">
        <f t="shared" si="4"/>
        <v>-0.30900976071416153</v>
      </c>
      <c r="L56" s="572">
        <f t="shared" si="4"/>
        <v>-0.31047863825210698</v>
      </c>
      <c r="M56" s="572">
        <f t="shared" si="4"/>
        <v>-0.31220519185399098</v>
      </c>
      <c r="N56" s="572">
        <f t="shared" si="4"/>
        <v>-0.31390833319437661</v>
      </c>
      <c r="O56" s="572">
        <f t="shared" ref="O56:R56" si="5">O6-O31</f>
        <v>-0.31562076550903839</v>
      </c>
      <c r="P56" s="572">
        <f t="shared" si="5"/>
        <v>-0.3174201388376332</v>
      </c>
      <c r="Q56" s="572">
        <f t="shared" si="5"/>
        <v>-0.31915172874983</v>
      </c>
      <c r="R56" s="572">
        <f t="shared" si="5"/>
        <v>-0.32112799486958465</v>
      </c>
    </row>
    <row r="57" spans="2:18">
      <c r="B57" s="560" t="s">
        <v>460</v>
      </c>
      <c r="C57" s="560" t="s">
        <v>605</v>
      </c>
      <c r="D57" s="572">
        <f t="shared" si="4"/>
        <v>-2.7651069605285556</v>
      </c>
      <c r="E57" s="572">
        <f t="shared" si="4"/>
        <v>-2.8317838900597962</v>
      </c>
      <c r="F57" s="572">
        <f t="shared" si="4"/>
        <v>-2.8934549917867116</v>
      </c>
      <c r="G57" s="572">
        <f t="shared" si="4"/>
        <v>-2.949664830911388</v>
      </c>
      <c r="H57" s="572">
        <f t="shared" si="4"/>
        <v>-2.9999817621765033</v>
      </c>
      <c r="I57" s="572">
        <f t="shared" si="4"/>
        <v>-3.040407039742604</v>
      </c>
      <c r="J57" s="572">
        <f t="shared" si="4"/>
        <v>-3.0777196276940231</v>
      </c>
      <c r="K57" s="572">
        <f t="shared" si="4"/>
        <v>-3.1154901244722168</v>
      </c>
      <c r="L57" s="572">
        <f t="shared" si="4"/>
        <v>-3.1537241496412207</v>
      </c>
      <c r="M57" s="572">
        <f t="shared" si="4"/>
        <v>-3.1924273917297796</v>
      </c>
      <c r="N57" s="572">
        <f t="shared" si="4"/>
        <v>-3.2316056090785423</v>
      </c>
      <c r="O57" s="572">
        <f t="shared" ref="O57:R57" si="6">O7-O32</f>
        <v>-3.2316056090785423</v>
      </c>
      <c r="P57" s="572">
        <f t="shared" si="6"/>
        <v>-3.2316056090785423</v>
      </c>
      <c r="Q57" s="572">
        <f t="shared" si="6"/>
        <v>-3.2316056090785423</v>
      </c>
      <c r="R57" s="572">
        <f t="shared" si="6"/>
        <v>-3.2316056090785423</v>
      </c>
    </row>
    <row r="58" spans="2:18">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c r="B60" s="560" t="s">
        <v>133</v>
      </c>
      <c r="C60" s="560" t="s">
        <v>606</v>
      </c>
      <c r="D60" s="572">
        <f t="shared" si="4"/>
        <v>-162.42777129932156</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c r="B61" s="560" t="s">
        <v>134</v>
      </c>
      <c r="C61" s="560" t="s">
        <v>607</v>
      </c>
      <c r="D61" s="572">
        <f t="shared" si="4"/>
        <v>9.1872832369972457E-2</v>
      </c>
      <c r="E61" s="572">
        <f t="shared" si="4"/>
        <v>7.9924855491356084E-2</v>
      </c>
      <c r="F61" s="572">
        <f t="shared" si="4"/>
        <v>7.1167630057829001E-2</v>
      </c>
      <c r="G61" s="572">
        <f t="shared" si="4"/>
        <v>6.6225433526032162E-2</v>
      </c>
      <c r="H61" s="572">
        <f t="shared" si="4"/>
        <v>6.3849710982676555E-2</v>
      </c>
      <c r="I61" s="572">
        <f t="shared" si="4"/>
        <v>6.3069364161869146E-2</v>
      </c>
      <c r="J61" s="572">
        <f t="shared" si="4"/>
        <v>6.3502890173431581E-2</v>
      </c>
      <c r="K61" s="572">
        <f t="shared" si="4"/>
        <v>6.4473988439328167E-2</v>
      </c>
      <c r="L61" s="572">
        <f t="shared" si="4"/>
        <v>6.5462427745686114E-2</v>
      </c>
      <c r="M61" s="572">
        <f t="shared" si="4"/>
        <v>6.6502890173435247E-2</v>
      </c>
      <c r="N61" s="572">
        <f t="shared" si="4"/>
        <v>6.7803468208119E-2</v>
      </c>
      <c r="O61" s="572">
        <f t="shared" ref="O61:R61" si="10">O11-O36</f>
        <v>6.8878612716794407E-2</v>
      </c>
      <c r="P61" s="572">
        <f t="shared" si="10"/>
        <v>6.9728323699454364E-2</v>
      </c>
      <c r="Q61" s="572">
        <f t="shared" si="10"/>
        <v>7.0786127167661306E-2</v>
      </c>
      <c r="R61" s="572">
        <f t="shared" si="10"/>
        <v>7.1809248554941973E-2</v>
      </c>
    </row>
    <row r="62" spans="2:18">
      <c r="B62" s="560" t="s">
        <v>140</v>
      </c>
      <c r="C62" s="560" t="s">
        <v>610</v>
      </c>
      <c r="D62" s="572">
        <f t="shared" si="4"/>
        <v>14.340507932621108</v>
      </c>
      <c r="E62" s="572">
        <f t="shared" si="4"/>
        <v>13.519213370187003</v>
      </c>
      <c r="F62" s="572">
        <f t="shared" si="4"/>
        <v>30.596229709816726</v>
      </c>
      <c r="G62" s="572">
        <f t="shared" si="4"/>
        <v>29.975412802486403</v>
      </c>
      <c r="H62" s="572">
        <f t="shared" si="4"/>
        <v>26.594712453955253</v>
      </c>
      <c r="I62" s="572">
        <f t="shared" si="4"/>
        <v>26.687564181436301</v>
      </c>
      <c r="J62" s="572">
        <f t="shared" si="4"/>
        <v>26.768605212441912</v>
      </c>
      <c r="K62" s="572">
        <f t="shared" si="4"/>
        <v>26.849892337420897</v>
      </c>
      <c r="L62" s="572">
        <f t="shared" si="4"/>
        <v>26.931426303676517</v>
      </c>
      <c r="M62" s="572">
        <f t="shared" si="4"/>
        <v>28.034748685796785</v>
      </c>
      <c r="N62" s="572">
        <f t="shared" si="4"/>
        <v>29.183271803487401</v>
      </c>
      <c r="O62" s="572">
        <f t="shared" ref="O62:R62" si="11">O12-O37</f>
        <v>30.378847433281976</v>
      </c>
      <c r="P62" s="572">
        <f t="shared" si="11"/>
        <v>31.623403215000053</v>
      </c>
      <c r="Q62" s="572">
        <f t="shared" si="11"/>
        <v>32.918945759702069</v>
      </c>
      <c r="R62" s="572">
        <f t="shared" si="11"/>
        <v>34.267563884970855</v>
      </c>
    </row>
    <row r="63" spans="2:18">
      <c r="B63" s="560" t="s">
        <v>139</v>
      </c>
      <c r="C63" s="560" t="s">
        <v>73</v>
      </c>
      <c r="D63" s="572">
        <f t="shared" si="4"/>
        <v>42.765362880312637</v>
      </c>
      <c r="E63" s="572">
        <f t="shared" si="4"/>
        <v>42.017420451298449</v>
      </c>
      <c r="F63" s="572">
        <f t="shared" si="4"/>
        <v>41.233324320777456</v>
      </c>
      <c r="G63" s="572">
        <f t="shared" si="4"/>
        <v>40.412086493884658</v>
      </c>
      <c r="H63" s="572">
        <f t="shared" si="4"/>
        <v>39.552696216274967</v>
      </c>
      <c r="I63" s="572">
        <f t="shared" si="4"/>
        <v>39.672804265800551</v>
      </c>
      <c r="J63" s="572">
        <f t="shared" si="4"/>
        <v>39.793277042511363</v>
      </c>
      <c r="K63" s="572">
        <f t="shared" si="4"/>
        <v>39.914115653959584</v>
      </c>
      <c r="L63" s="572">
        <f t="shared" si="4"/>
        <v>40.035321211060477</v>
      </c>
      <c r="M63" s="572">
        <f t="shared" si="4"/>
        <v>41.675481872046475</v>
      </c>
      <c r="N63" s="572">
        <f t="shared" si="4"/>
        <v>43.382836373682949</v>
      </c>
      <c r="O63" s="572">
        <f t="shared" ref="O63:R63" si="12">O13-O38</f>
        <v>45.160137502528414</v>
      </c>
      <c r="P63" s="572">
        <f t="shared" si="12"/>
        <v>47.010250820862439</v>
      </c>
      <c r="Q63" s="572">
        <f t="shared" si="12"/>
        <v>48.936159286863699</v>
      </c>
      <c r="R63" s="572">
        <f t="shared" si="12"/>
        <v>50.940968064066169</v>
      </c>
    </row>
    <row r="64" spans="2:18">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c r="B66" s="560" t="s">
        <v>464</v>
      </c>
      <c r="C66" s="560" t="s">
        <v>619</v>
      </c>
      <c r="D66" s="572">
        <f t="shared" si="4"/>
        <v>20</v>
      </c>
      <c r="E66" s="572">
        <f t="shared" si="4"/>
        <v>0</v>
      </c>
      <c r="F66" s="572">
        <f t="shared" si="4"/>
        <v>-20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c r="B68" s="560" t="s">
        <v>462</v>
      </c>
      <c r="C68" s="560" t="s">
        <v>616</v>
      </c>
      <c r="D68" s="572">
        <f t="shared" si="4"/>
        <v>96.559999999999945</v>
      </c>
      <c r="E68" s="572">
        <f t="shared" si="4"/>
        <v>-24.260000000000005</v>
      </c>
      <c r="F68" s="572">
        <f t="shared" si="4"/>
        <v>-24.260000000000005</v>
      </c>
      <c r="G68" s="572">
        <f t="shared" si="4"/>
        <v>-24.260000000000005</v>
      </c>
      <c r="H68" s="572">
        <f t="shared" si="4"/>
        <v>-24.260000000000005</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c r="B71" s="560" t="s">
        <v>622</v>
      </c>
      <c r="C71" s="560" t="s">
        <v>624</v>
      </c>
      <c r="D71" s="572">
        <f t="shared" si="4"/>
        <v>121.43420241219383</v>
      </c>
      <c r="E71" s="572">
        <f t="shared" si="4"/>
        <v>122.85913440520108</v>
      </c>
      <c r="F71" s="572">
        <f t="shared" si="4"/>
        <v>124.82833262642407</v>
      </c>
      <c r="G71" s="572">
        <f t="shared" si="4"/>
        <v>126.56648624827403</v>
      </c>
      <c r="H71" s="572">
        <f t="shared" si="4"/>
        <v>128.16357620820418</v>
      </c>
      <c r="I71" s="572">
        <f t="shared" si="4"/>
        <v>129.6470355679412</v>
      </c>
      <c r="J71" s="572">
        <f t="shared" si="4"/>
        <v>131.04567857366737</v>
      </c>
      <c r="K71" s="572">
        <f t="shared" si="4"/>
        <v>132.40204251922978</v>
      </c>
      <c r="L71" s="572">
        <f t="shared" si="4"/>
        <v>133.71905799117758</v>
      </c>
      <c r="M71" s="572">
        <f t="shared" si="4"/>
        <v>134.97311329861941</v>
      </c>
      <c r="N71" s="572">
        <f t="shared" si="4"/>
        <v>136.21792518129905</v>
      </c>
      <c r="O71" s="572">
        <f t="shared" ref="O71:R71" si="20">O21-O46</f>
        <v>137.3955555102566</v>
      </c>
      <c r="P71" s="572">
        <f t="shared" si="20"/>
        <v>138.64739037377558</v>
      </c>
      <c r="Q71" s="572">
        <f t="shared" si="20"/>
        <v>139.92113282970968</v>
      </c>
      <c r="R71" s="572">
        <f t="shared" si="20"/>
        <v>141.25353659082612</v>
      </c>
    </row>
    <row r="72" spans="2:18">
      <c r="B72" s="560" t="s">
        <v>623</v>
      </c>
      <c r="C72" s="560" t="s">
        <v>625</v>
      </c>
      <c r="D72" s="572">
        <f t="shared" si="4"/>
        <v>4.3387755594767441</v>
      </c>
      <c r="E72" s="572">
        <f t="shared" si="4"/>
        <v>4.3887648384184104</v>
      </c>
      <c r="F72" s="572">
        <f t="shared" si="4"/>
        <v>4.4513241734093754</v>
      </c>
      <c r="G72" s="572">
        <f t="shared" si="4"/>
        <v>4.5136513750499034</v>
      </c>
      <c r="H72" s="572">
        <f t="shared" si="4"/>
        <v>4.5704028076838767</v>
      </c>
      <c r="I72" s="572">
        <f t="shared" si="4"/>
        <v>4.6231642111470137</v>
      </c>
      <c r="J72" s="572">
        <f t="shared" si="4"/>
        <v>4.6731055550753808</v>
      </c>
      <c r="K72" s="572">
        <f t="shared" si="4"/>
        <v>4.7216296911042264</v>
      </c>
      <c r="L72" s="572">
        <f t="shared" si="4"/>
        <v>4.7686366868642835</v>
      </c>
      <c r="M72" s="572">
        <f t="shared" si="4"/>
        <v>4.8133742145423639</v>
      </c>
      <c r="N72" s="572">
        <f t="shared" si="4"/>
        <v>4.8579388438811293</v>
      </c>
      <c r="O72" s="572">
        <f t="shared" ref="O72:R72" si="21">O22-O47</f>
        <v>4.8998854605506494</v>
      </c>
      <c r="P72" s="572">
        <f t="shared" si="21"/>
        <v>4.9445549522961301</v>
      </c>
      <c r="Q72" s="572">
        <f t="shared" si="21"/>
        <v>4.9902204540367165</v>
      </c>
      <c r="R72" s="572">
        <f t="shared" si="21"/>
        <v>5.0379475706677113</v>
      </c>
    </row>
    <row r="73" spans="2:18">
      <c r="B73" s="560" t="s">
        <v>620</v>
      </c>
      <c r="C73" s="560" t="s">
        <v>626</v>
      </c>
      <c r="D73" s="572">
        <f t="shared" si="4"/>
        <v>35.281124497992295</v>
      </c>
      <c r="E73" s="572">
        <f t="shared" si="4"/>
        <v>35.684337349397964</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c r="B77" s="1346" t="s">
        <v>1136</v>
      </c>
      <c r="C77" s="1346"/>
      <c r="D77" s="1346"/>
      <c r="E77" s="1346"/>
      <c r="F77" s="1346"/>
      <c r="G77" s="1346"/>
      <c r="H77" s="1346"/>
      <c r="I77" s="1346"/>
      <c r="J77" s="1346"/>
      <c r="K77" s="1346"/>
      <c r="L77" s="1346"/>
      <c r="M77" s="1346"/>
      <c r="N77" s="1346"/>
      <c r="O77" s="1346"/>
      <c r="P77" s="1346"/>
      <c r="Q77" s="1346"/>
      <c r="R77" s="1346"/>
    </row>
    <row r="78" spans="2:18">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c r="B79" s="560" t="s">
        <v>0</v>
      </c>
      <c r="C79" s="560" t="s">
        <v>609</v>
      </c>
      <c r="D79" s="1016">
        <f t="shared" ref="D79:N79" si="24">(D4/D29-1)</f>
        <v>0</v>
      </c>
      <c r="E79" s="1016">
        <f t="shared" si="24"/>
        <v>0</v>
      </c>
      <c r="F79" s="1016">
        <f t="shared" si="24"/>
        <v>0</v>
      </c>
      <c r="G79" s="1016">
        <f t="shared" si="24"/>
        <v>0</v>
      </c>
      <c r="H79" s="1016">
        <f t="shared" si="24"/>
        <v>0</v>
      </c>
      <c r="I79" s="1016">
        <f t="shared" si="24"/>
        <v>0</v>
      </c>
      <c r="J79" s="1016">
        <f t="shared" si="24"/>
        <v>0</v>
      </c>
      <c r="K79" s="1016">
        <f t="shared" si="24"/>
        <v>0</v>
      </c>
      <c r="L79" s="1016">
        <f t="shared" si="24"/>
        <v>0</v>
      </c>
      <c r="M79" s="1016">
        <f t="shared" si="24"/>
        <v>0</v>
      </c>
      <c r="N79" s="1016">
        <f t="shared" si="24"/>
        <v>0</v>
      </c>
      <c r="O79" s="1016">
        <f t="shared" ref="O79:R79" si="25">(O4/O29-1)</f>
        <v>0</v>
      </c>
      <c r="P79" s="1016">
        <f t="shared" si="25"/>
        <v>0</v>
      </c>
      <c r="Q79" s="1016">
        <f t="shared" si="25"/>
        <v>0</v>
      </c>
      <c r="R79" s="1016">
        <f t="shared" si="25"/>
        <v>0</v>
      </c>
    </row>
    <row r="80" spans="2:18">
      <c r="B80" s="560" t="s">
        <v>6</v>
      </c>
      <c r="C80" s="560" t="s">
        <v>608</v>
      </c>
      <c r="D80" s="1016">
        <f t="shared" ref="D80:N99" si="26">(D5/D30-1)</f>
        <v>0</v>
      </c>
      <c r="E80" s="1016">
        <f t="shared" si="26"/>
        <v>0</v>
      </c>
      <c r="F80" s="1016">
        <f t="shared" si="26"/>
        <v>0</v>
      </c>
      <c r="G80" s="1016">
        <f t="shared" si="26"/>
        <v>0</v>
      </c>
      <c r="H80" s="1016">
        <f t="shared" si="26"/>
        <v>0</v>
      </c>
      <c r="I80" s="1016">
        <f t="shared" si="26"/>
        <v>0</v>
      </c>
      <c r="J80" s="1016">
        <f t="shared" si="26"/>
        <v>0</v>
      </c>
      <c r="K80" s="1016">
        <f t="shared" si="26"/>
        <v>0</v>
      </c>
      <c r="L80" s="1016">
        <f t="shared" si="26"/>
        <v>0</v>
      </c>
      <c r="M80" s="1016">
        <f t="shared" si="26"/>
        <v>0</v>
      </c>
      <c r="N80" s="1016">
        <f t="shared" si="26"/>
        <v>0</v>
      </c>
      <c r="O80" s="1016">
        <f t="shared" ref="O80:R80" si="27">(O5/O30-1)</f>
        <v>0</v>
      </c>
      <c r="P80" s="1016">
        <f t="shared" si="27"/>
        <v>0</v>
      </c>
      <c r="Q80" s="1016">
        <f t="shared" si="27"/>
        <v>0</v>
      </c>
      <c r="R80" s="1016">
        <f t="shared" si="27"/>
        <v>0</v>
      </c>
    </row>
    <row r="81" spans="2:18">
      <c r="B81" s="560" t="s">
        <v>459</v>
      </c>
      <c r="C81" s="560" t="s">
        <v>604</v>
      </c>
      <c r="D81" s="1016">
        <f t="shared" si="26"/>
        <v>-1.9186492709133418E-4</v>
      </c>
      <c r="E81" s="1016">
        <f t="shared" si="26"/>
        <v>-1.918649270914452E-4</v>
      </c>
      <c r="F81" s="1016">
        <f t="shared" si="26"/>
        <v>-1.9186492709133418E-4</v>
      </c>
      <c r="G81" s="1016">
        <f t="shared" si="26"/>
        <v>-1.918649270914452E-4</v>
      </c>
      <c r="H81" s="1016">
        <f t="shared" si="26"/>
        <v>-1.9186492709155623E-4</v>
      </c>
      <c r="I81" s="1016">
        <f t="shared" si="26"/>
        <v>-1.9186492709155623E-4</v>
      </c>
      <c r="J81" s="1016">
        <f t="shared" si="26"/>
        <v>-1.9186492709155623E-4</v>
      </c>
      <c r="K81" s="1016">
        <f t="shared" si="26"/>
        <v>-1.918649270914452E-4</v>
      </c>
      <c r="L81" s="1016">
        <f t="shared" si="26"/>
        <v>-1.918649270914452E-4</v>
      </c>
      <c r="M81" s="1016">
        <f t="shared" si="26"/>
        <v>-1.918649270914452E-4</v>
      </c>
      <c r="N81" s="1016">
        <f t="shared" si="26"/>
        <v>-1.9186492709133418E-4</v>
      </c>
      <c r="O81" s="1016">
        <f t="shared" ref="O81:R81" si="28">(O6/O31-1)</f>
        <v>-1.9186492709133418E-4</v>
      </c>
      <c r="P81" s="1016">
        <f t="shared" si="28"/>
        <v>-1.9186492709133418E-4</v>
      </c>
      <c r="Q81" s="1016">
        <f t="shared" si="28"/>
        <v>-1.9186492709133418E-4</v>
      </c>
      <c r="R81" s="1016">
        <f t="shared" si="28"/>
        <v>-1.918649270914452E-4</v>
      </c>
    </row>
    <row r="82" spans="2:18">
      <c r="B82" s="560" t="s">
        <v>460</v>
      </c>
      <c r="C82" s="560" t="s">
        <v>605</v>
      </c>
      <c r="D82" s="1016">
        <f t="shared" si="26"/>
        <v>-1.0996171703187008E-3</v>
      </c>
      <c r="E82" s="1016">
        <f t="shared" si="26"/>
        <v>-1.0996171703185897E-3</v>
      </c>
      <c r="F82" s="1016">
        <f t="shared" si="26"/>
        <v>-1.0996171703184787E-3</v>
      </c>
      <c r="G82" s="1016">
        <f t="shared" si="26"/>
        <v>-1.0996171703183677E-3</v>
      </c>
      <c r="H82" s="1016">
        <f t="shared" si="26"/>
        <v>-1.0996171703183677E-3</v>
      </c>
      <c r="I82" s="1016">
        <f t="shared" si="26"/>
        <v>-1.0996171703184787E-3</v>
      </c>
      <c r="J82" s="1016">
        <f t="shared" si="26"/>
        <v>-1.0996171703184787E-3</v>
      </c>
      <c r="K82" s="1016">
        <f t="shared" si="26"/>
        <v>-1.0996171703185897E-3</v>
      </c>
      <c r="L82" s="1016">
        <f t="shared" si="26"/>
        <v>-1.0996171703185897E-3</v>
      </c>
      <c r="M82" s="1016">
        <f t="shared" si="26"/>
        <v>-1.0996171703184787E-3</v>
      </c>
      <c r="N82" s="1016">
        <f t="shared" si="26"/>
        <v>-1.0996171703184787E-3</v>
      </c>
      <c r="O82" s="1016">
        <f t="shared" ref="O82:R82" si="29">(O7/O32-1)</f>
        <v>-1.0996171703184787E-3</v>
      </c>
      <c r="P82" s="1016">
        <f t="shared" si="29"/>
        <v>-1.0996171703184787E-3</v>
      </c>
      <c r="Q82" s="1016">
        <f t="shared" si="29"/>
        <v>-1.0996171703184787E-3</v>
      </c>
      <c r="R82" s="1016">
        <f t="shared" si="29"/>
        <v>-1.0996171703184787E-3</v>
      </c>
    </row>
    <row r="83" spans="2:18">
      <c r="B83" s="560" t="s">
        <v>570</v>
      </c>
      <c r="C83" s="560" t="s">
        <v>612</v>
      </c>
      <c r="D83" s="1016">
        <f t="shared" si="26"/>
        <v>0</v>
      </c>
      <c r="E83" s="1016">
        <f t="shared" si="26"/>
        <v>0</v>
      </c>
      <c r="F83" s="1016">
        <f t="shared" si="26"/>
        <v>0</v>
      </c>
      <c r="G83" s="1016">
        <f t="shared" si="26"/>
        <v>0</v>
      </c>
      <c r="H83" s="1016">
        <f t="shared" si="26"/>
        <v>0</v>
      </c>
      <c r="I83" s="1016">
        <f t="shared" si="26"/>
        <v>0</v>
      </c>
      <c r="J83" s="1016">
        <f t="shared" si="26"/>
        <v>0</v>
      </c>
      <c r="K83" s="1016">
        <f t="shared" si="26"/>
        <v>0</v>
      </c>
      <c r="L83" s="1016">
        <f t="shared" si="26"/>
        <v>0</v>
      </c>
      <c r="M83" s="1016">
        <f t="shared" si="26"/>
        <v>0</v>
      </c>
      <c r="N83" s="1016">
        <f t="shared" si="26"/>
        <v>0</v>
      </c>
      <c r="O83" s="1016">
        <f t="shared" ref="O83:R83" si="30">(O8/O33-1)</f>
        <v>0</v>
      </c>
      <c r="P83" s="1016">
        <f t="shared" si="30"/>
        <v>0</v>
      </c>
      <c r="Q83" s="1016">
        <f t="shared" si="30"/>
        <v>0</v>
      </c>
      <c r="R83" s="1016">
        <f t="shared" si="30"/>
        <v>0</v>
      </c>
    </row>
    <row r="84" spans="2:18">
      <c r="B84" s="560" t="s">
        <v>611</v>
      </c>
      <c r="C84" s="560" t="s">
        <v>613</v>
      </c>
      <c r="D84" s="1016">
        <f t="shared" si="26"/>
        <v>0</v>
      </c>
      <c r="E84" s="1016">
        <f t="shared" si="26"/>
        <v>0</v>
      </c>
      <c r="F84" s="1016">
        <f t="shared" si="26"/>
        <v>0</v>
      </c>
      <c r="G84" s="1016">
        <f t="shared" si="26"/>
        <v>0</v>
      </c>
      <c r="H84" s="1016">
        <f t="shared" si="26"/>
        <v>0</v>
      </c>
      <c r="I84" s="1016">
        <f t="shared" si="26"/>
        <v>0</v>
      </c>
      <c r="J84" s="1016">
        <f t="shared" si="26"/>
        <v>0</v>
      </c>
      <c r="K84" s="1016">
        <f t="shared" si="26"/>
        <v>0</v>
      </c>
      <c r="L84" s="1016">
        <f t="shared" si="26"/>
        <v>0</v>
      </c>
      <c r="M84" s="1016">
        <f t="shared" si="26"/>
        <v>0</v>
      </c>
      <c r="N84" s="1016">
        <f t="shared" si="26"/>
        <v>0</v>
      </c>
      <c r="O84" s="1016">
        <f t="shared" ref="O84:R84" si="31">(O9/O34-1)</f>
        <v>0</v>
      </c>
      <c r="P84" s="1016">
        <f t="shared" si="31"/>
        <v>0</v>
      </c>
      <c r="Q84" s="1016">
        <f t="shared" si="31"/>
        <v>0</v>
      </c>
      <c r="R84" s="1016">
        <f t="shared" si="31"/>
        <v>0</v>
      </c>
    </row>
    <row r="85" spans="2:18">
      <c r="B85" s="560" t="s">
        <v>133</v>
      </c>
      <c r="C85" s="560" t="s">
        <v>606</v>
      </c>
      <c r="D85" s="1016">
        <f t="shared" si="26"/>
        <v>-0.41076470366662954</v>
      </c>
      <c r="E85" s="1016" t="e">
        <f t="shared" si="26"/>
        <v>#DIV/0!</v>
      </c>
      <c r="F85" s="1016" t="e">
        <f t="shared" si="26"/>
        <v>#DIV/0!</v>
      </c>
      <c r="G85" s="1016" t="e">
        <f t="shared" si="26"/>
        <v>#DIV/0!</v>
      </c>
      <c r="H85" s="1016" t="e">
        <f t="shared" si="26"/>
        <v>#DIV/0!</v>
      </c>
      <c r="I85" s="1016" t="e">
        <f t="shared" si="26"/>
        <v>#DIV/0!</v>
      </c>
      <c r="J85" s="1016" t="e">
        <f t="shared" si="26"/>
        <v>#DIV/0!</v>
      </c>
      <c r="K85" s="1016" t="e">
        <f t="shared" si="26"/>
        <v>#DIV/0!</v>
      </c>
      <c r="L85" s="1016" t="e">
        <f t="shared" si="26"/>
        <v>#DIV/0!</v>
      </c>
      <c r="M85" s="1016" t="e">
        <f t="shared" si="26"/>
        <v>#DIV/0!</v>
      </c>
      <c r="N85" s="1016" t="e">
        <f t="shared" si="26"/>
        <v>#DIV/0!</v>
      </c>
      <c r="O85" s="1016" t="e">
        <f t="shared" ref="O85:R85" si="32">(O10/O35-1)</f>
        <v>#DIV/0!</v>
      </c>
      <c r="P85" s="1016" t="e">
        <f t="shared" si="32"/>
        <v>#DIV/0!</v>
      </c>
      <c r="Q85" s="1016" t="e">
        <f t="shared" si="32"/>
        <v>#DIV/0!</v>
      </c>
      <c r="R85" s="1016" t="e">
        <f t="shared" si="32"/>
        <v>#DIV/0!</v>
      </c>
    </row>
    <row r="86" spans="2:18">
      <c r="B86" s="560" t="s">
        <v>134</v>
      </c>
      <c r="C86" s="560" t="s">
        <v>607</v>
      </c>
      <c r="D86" s="1016">
        <f t="shared" si="26"/>
        <v>2.2222222222230137E-3</v>
      </c>
      <c r="E86" s="1016">
        <f t="shared" si="26"/>
        <v>2.2222222222230137E-3</v>
      </c>
      <c r="F86" s="1016">
        <f t="shared" si="26"/>
        <v>2.2222222222230137E-3</v>
      </c>
      <c r="G86" s="1016">
        <f t="shared" si="26"/>
        <v>2.2222222222230137E-3</v>
      </c>
      <c r="H86" s="1016">
        <f t="shared" si="26"/>
        <v>2.2222222222227916E-3</v>
      </c>
      <c r="I86" s="1016">
        <f t="shared" si="26"/>
        <v>2.2222222222230137E-3</v>
      </c>
      <c r="J86" s="1016">
        <f t="shared" si="26"/>
        <v>2.2222222222230137E-3</v>
      </c>
      <c r="K86" s="1016">
        <f t="shared" si="26"/>
        <v>2.2222222222230137E-3</v>
      </c>
      <c r="L86" s="1016">
        <f t="shared" si="26"/>
        <v>2.2222222222230137E-3</v>
      </c>
      <c r="M86" s="1016">
        <f t="shared" si="26"/>
        <v>2.2222222222230137E-3</v>
      </c>
      <c r="N86" s="1016">
        <f t="shared" si="26"/>
        <v>2.2222222222230137E-3</v>
      </c>
      <c r="O86" s="1016">
        <f t="shared" ref="O86:R86" si="33">(O11/O36-1)</f>
        <v>2.2222222222232357E-3</v>
      </c>
      <c r="P86" s="1016">
        <f t="shared" si="33"/>
        <v>2.2222222222232357E-3</v>
      </c>
      <c r="Q86" s="1016">
        <f t="shared" si="33"/>
        <v>2.2222222222232357E-3</v>
      </c>
      <c r="R86" s="1016">
        <f t="shared" si="33"/>
        <v>2.2222222222230137E-3</v>
      </c>
    </row>
    <row r="87" spans="2:18">
      <c r="B87" s="560" t="s">
        <v>140</v>
      </c>
      <c r="C87" s="560" t="s">
        <v>610</v>
      </c>
      <c r="D87" s="1016">
        <f t="shared" si="26"/>
        <v>2.6623107046164218E-2</v>
      </c>
      <c r="E87" s="1016">
        <f t="shared" si="26"/>
        <v>2.4668566798525582E-2</v>
      </c>
      <c r="F87" s="1016">
        <f t="shared" si="26"/>
        <v>5.4141669900651612E-2</v>
      </c>
      <c r="G87" s="1016">
        <f t="shared" si="26"/>
        <v>5.213473833404958E-2</v>
      </c>
      <c r="H87" s="1016">
        <f t="shared" si="26"/>
        <v>5.0073869990217901E-2</v>
      </c>
      <c r="I87" s="1016">
        <f t="shared" si="26"/>
        <v>5.0339912939720843E-2</v>
      </c>
      <c r="J87" s="1016">
        <f t="shared" si="26"/>
        <v>5.0339912939720843E-2</v>
      </c>
      <c r="K87" s="1016">
        <f t="shared" si="26"/>
        <v>5.0339912939720843E-2</v>
      </c>
      <c r="L87" s="1016">
        <f t="shared" si="26"/>
        <v>5.0339912939720621E-2</v>
      </c>
      <c r="M87" s="1016">
        <f t="shared" si="26"/>
        <v>5.0339912939720843E-2</v>
      </c>
      <c r="N87" s="1016">
        <f t="shared" si="26"/>
        <v>5.0339912939720843E-2</v>
      </c>
      <c r="O87" s="1016">
        <f t="shared" ref="O87:R87" si="34">(O12/O37-1)</f>
        <v>5.0339912939720843E-2</v>
      </c>
      <c r="P87" s="1016">
        <f t="shared" si="34"/>
        <v>5.0339912939721065E-2</v>
      </c>
      <c r="Q87" s="1016">
        <f t="shared" si="34"/>
        <v>5.0339912939721065E-2</v>
      </c>
      <c r="R87" s="1016">
        <f t="shared" si="34"/>
        <v>5.0339912939721065E-2</v>
      </c>
    </row>
    <row r="88" spans="2:18">
      <c r="B88" s="560" t="s">
        <v>139</v>
      </c>
      <c r="C88" s="560" t="s">
        <v>73</v>
      </c>
      <c r="D88" s="1016">
        <f t="shared" si="26"/>
        <v>5.8740835531540858E-2</v>
      </c>
      <c r="E88" s="1016">
        <f t="shared" si="26"/>
        <v>5.6725147826226063E-2</v>
      </c>
      <c r="F88" s="1016">
        <f t="shared" si="26"/>
        <v>5.471329769549893E-2</v>
      </c>
      <c r="G88" s="1016">
        <f t="shared" si="26"/>
        <v>5.2705277833178465E-2</v>
      </c>
      <c r="H88" s="1016">
        <f t="shared" si="26"/>
        <v>5.0701080946994326E-2</v>
      </c>
      <c r="I88" s="1016">
        <f t="shared" si="26"/>
        <v>5.0701080946994326E-2</v>
      </c>
      <c r="J88" s="1016">
        <f t="shared" si="26"/>
        <v>5.0701080946994326E-2</v>
      </c>
      <c r="K88" s="1016">
        <f t="shared" si="26"/>
        <v>5.0701080946994326E-2</v>
      </c>
      <c r="L88" s="1016">
        <f t="shared" si="26"/>
        <v>5.0701080946994326E-2</v>
      </c>
      <c r="M88" s="1016">
        <f t="shared" si="26"/>
        <v>5.0701080946994326E-2</v>
      </c>
      <c r="N88" s="1016">
        <f t="shared" si="26"/>
        <v>5.0701080946994326E-2</v>
      </c>
      <c r="O88" s="1016">
        <f t="shared" ref="O88:R88" si="35">(O13/O38-1)</f>
        <v>5.0701080946994326E-2</v>
      </c>
      <c r="P88" s="1016">
        <f t="shared" si="35"/>
        <v>5.0701080946994326E-2</v>
      </c>
      <c r="Q88" s="1016">
        <f t="shared" si="35"/>
        <v>5.0701080946994326E-2</v>
      </c>
      <c r="R88" s="1016">
        <f t="shared" si="35"/>
        <v>5.0701080946994326E-2</v>
      </c>
    </row>
    <row r="89" spans="2:18">
      <c r="B89" s="560" t="s">
        <v>385</v>
      </c>
      <c r="C89" s="560" t="s">
        <v>74</v>
      </c>
      <c r="D89" s="1016">
        <f t="shared" si="26"/>
        <v>0</v>
      </c>
      <c r="E89" s="1016">
        <f t="shared" si="26"/>
        <v>0</v>
      </c>
      <c r="F89" s="1016">
        <f t="shared" si="26"/>
        <v>0</v>
      </c>
      <c r="G89" s="1016">
        <f t="shared" si="26"/>
        <v>0</v>
      </c>
      <c r="H89" s="1016">
        <f t="shared" si="26"/>
        <v>0</v>
      </c>
      <c r="I89" s="1016">
        <f t="shared" si="26"/>
        <v>0</v>
      </c>
      <c r="J89" s="1016">
        <f t="shared" si="26"/>
        <v>0</v>
      </c>
      <c r="K89" s="1016">
        <f t="shared" si="26"/>
        <v>0</v>
      </c>
      <c r="L89" s="1016">
        <f t="shared" si="26"/>
        <v>0</v>
      </c>
      <c r="M89" s="1016">
        <f t="shared" si="26"/>
        <v>0</v>
      </c>
      <c r="N89" s="1016">
        <f t="shared" si="26"/>
        <v>0</v>
      </c>
      <c r="O89" s="1016">
        <f t="shared" ref="O89:R89" si="36">(O14/O39-1)</f>
        <v>0</v>
      </c>
      <c r="P89" s="1016">
        <f t="shared" si="36"/>
        <v>0</v>
      </c>
      <c r="Q89" s="1016">
        <f t="shared" si="36"/>
        <v>0</v>
      </c>
      <c r="R89" s="1016">
        <f t="shared" si="36"/>
        <v>0</v>
      </c>
    </row>
    <row r="90" spans="2:18">
      <c r="B90" s="560" t="s">
        <v>463</v>
      </c>
      <c r="C90" s="560" t="s">
        <v>618</v>
      </c>
      <c r="D90" s="1016" t="e">
        <f t="shared" si="26"/>
        <v>#DIV/0!</v>
      </c>
      <c r="E90" s="1016" t="e">
        <f t="shared" si="26"/>
        <v>#DIV/0!</v>
      </c>
      <c r="F90" s="1016" t="e">
        <f t="shared" si="26"/>
        <v>#DIV/0!</v>
      </c>
      <c r="G90" s="1016" t="e">
        <f t="shared" si="26"/>
        <v>#DIV/0!</v>
      </c>
      <c r="H90" s="1016" t="e">
        <f t="shared" si="26"/>
        <v>#DIV/0!</v>
      </c>
      <c r="I90" s="1016" t="e">
        <f t="shared" si="26"/>
        <v>#DIV/0!</v>
      </c>
      <c r="J90" s="1016" t="e">
        <f t="shared" si="26"/>
        <v>#DIV/0!</v>
      </c>
      <c r="K90" s="1016" t="e">
        <f t="shared" si="26"/>
        <v>#DIV/0!</v>
      </c>
      <c r="L90" s="1016" t="e">
        <f t="shared" si="26"/>
        <v>#DIV/0!</v>
      </c>
      <c r="M90" s="1016" t="e">
        <f t="shared" si="26"/>
        <v>#DIV/0!</v>
      </c>
      <c r="N90" s="1016" t="e">
        <f t="shared" si="26"/>
        <v>#DIV/0!</v>
      </c>
      <c r="O90" s="1016" t="e">
        <f t="shared" ref="O90:R90" si="37">(O15/O40-1)</f>
        <v>#DIV/0!</v>
      </c>
      <c r="P90" s="1016" t="e">
        <f t="shared" si="37"/>
        <v>#DIV/0!</v>
      </c>
      <c r="Q90" s="1016" t="e">
        <f t="shared" si="37"/>
        <v>#DIV/0!</v>
      </c>
      <c r="R90" s="1016" t="e">
        <f t="shared" si="37"/>
        <v>#DIV/0!</v>
      </c>
    </row>
    <row r="91" spans="2:18">
      <c r="B91" s="560" t="s">
        <v>464</v>
      </c>
      <c r="C91" s="560" t="s">
        <v>619</v>
      </c>
      <c r="D91" s="1016" t="e">
        <f t="shared" si="26"/>
        <v>#DIV/0!</v>
      </c>
      <c r="E91" s="1016" t="e">
        <f t="shared" si="26"/>
        <v>#DIV/0!</v>
      </c>
      <c r="F91" s="1016">
        <f t="shared" si="26"/>
        <v>-0.57257371886630404</v>
      </c>
      <c r="G91" s="1016">
        <f t="shared" si="26"/>
        <v>0</v>
      </c>
      <c r="H91" s="1016" t="e">
        <f t="shared" si="26"/>
        <v>#DIV/0!</v>
      </c>
      <c r="I91" s="1016" t="e">
        <f t="shared" si="26"/>
        <v>#DIV/0!</v>
      </c>
      <c r="J91" s="1016" t="e">
        <f t="shared" si="26"/>
        <v>#DIV/0!</v>
      </c>
      <c r="K91" s="1016" t="e">
        <f t="shared" si="26"/>
        <v>#DIV/0!</v>
      </c>
      <c r="L91" s="1016" t="e">
        <f t="shared" si="26"/>
        <v>#DIV/0!</v>
      </c>
      <c r="M91" s="1016" t="e">
        <f t="shared" si="26"/>
        <v>#DIV/0!</v>
      </c>
      <c r="N91" s="1016" t="e">
        <f t="shared" si="26"/>
        <v>#DIV/0!</v>
      </c>
      <c r="O91" s="1016" t="e">
        <f t="shared" ref="O91:R91" si="38">(O16/O41-1)</f>
        <v>#DIV/0!</v>
      </c>
      <c r="P91" s="1016" t="e">
        <f t="shared" si="38"/>
        <v>#DIV/0!</v>
      </c>
      <c r="Q91" s="1016" t="e">
        <f t="shared" si="38"/>
        <v>#DIV/0!</v>
      </c>
      <c r="R91" s="1016" t="e">
        <f t="shared" si="38"/>
        <v>#DIV/0!</v>
      </c>
    </row>
    <row r="92" spans="2:18">
      <c r="B92" s="560" t="s">
        <v>461</v>
      </c>
      <c r="C92" s="560" t="s">
        <v>617</v>
      </c>
      <c r="D92" s="1016">
        <f t="shared" si="26"/>
        <v>0</v>
      </c>
      <c r="E92" s="1016">
        <f t="shared" si="26"/>
        <v>0</v>
      </c>
      <c r="F92" s="1016">
        <f t="shared" si="26"/>
        <v>0</v>
      </c>
      <c r="G92" s="1016">
        <f t="shared" si="26"/>
        <v>0</v>
      </c>
      <c r="H92" s="1016">
        <f t="shared" si="26"/>
        <v>0</v>
      </c>
      <c r="I92" s="1016">
        <f t="shared" si="26"/>
        <v>0</v>
      </c>
      <c r="J92" s="1016">
        <f t="shared" si="26"/>
        <v>0</v>
      </c>
      <c r="K92" s="1016">
        <f t="shared" si="26"/>
        <v>0</v>
      </c>
      <c r="L92" s="1016">
        <f t="shared" si="26"/>
        <v>0</v>
      </c>
      <c r="M92" s="1016">
        <f t="shared" si="26"/>
        <v>0</v>
      </c>
      <c r="N92" s="1016">
        <f t="shared" si="26"/>
        <v>0</v>
      </c>
      <c r="O92" s="1016">
        <f t="shared" ref="O92:R92" si="39">(O17/O42-1)</f>
        <v>0</v>
      </c>
      <c r="P92" s="1016">
        <f t="shared" si="39"/>
        <v>0</v>
      </c>
      <c r="Q92" s="1016">
        <f t="shared" si="39"/>
        <v>0</v>
      </c>
      <c r="R92" s="1016">
        <f t="shared" si="39"/>
        <v>0</v>
      </c>
    </row>
    <row r="93" spans="2:18">
      <c r="B93" s="560" t="s">
        <v>462</v>
      </c>
      <c r="C93" s="560" t="s">
        <v>616</v>
      </c>
      <c r="D93" s="1016">
        <f t="shared" si="26"/>
        <v>0.90629223607148091</v>
      </c>
      <c r="E93" s="1016">
        <f t="shared" si="26"/>
        <v>-0.24510249648915428</v>
      </c>
      <c r="F93" s="1016">
        <f t="shared" si="26"/>
        <v>-0.24510249648915428</v>
      </c>
      <c r="G93" s="1016">
        <f t="shared" si="26"/>
        <v>-0.24510249648915428</v>
      </c>
      <c r="H93" s="1016">
        <f t="shared" si="26"/>
        <v>-0.24510249648915428</v>
      </c>
      <c r="I93" s="1016">
        <f t="shared" si="26"/>
        <v>0</v>
      </c>
      <c r="J93" s="1016">
        <f t="shared" si="26"/>
        <v>0</v>
      </c>
      <c r="K93" s="1016">
        <f t="shared" si="26"/>
        <v>0</v>
      </c>
      <c r="L93" s="1016">
        <f t="shared" si="26"/>
        <v>0</v>
      </c>
      <c r="M93" s="1016">
        <f t="shared" si="26"/>
        <v>0</v>
      </c>
      <c r="N93" s="1016">
        <f t="shared" si="26"/>
        <v>0</v>
      </c>
      <c r="O93" s="1016">
        <f t="shared" ref="O93:R93" si="40">(O18/O43-1)</f>
        <v>0</v>
      </c>
      <c r="P93" s="1016">
        <f t="shared" si="40"/>
        <v>0</v>
      </c>
      <c r="Q93" s="1016">
        <f t="shared" si="40"/>
        <v>0</v>
      </c>
      <c r="R93" s="1016">
        <f t="shared" si="40"/>
        <v>0</v>
      </c>
    </row>
    <row r="94" spans="2:18">
      <c r="B94" s="560" t="s">
        <v>555</v>
      </c>
      <c r="C94" s="560" t="s">
        <v>614</v>
      </c>
      <c r="D94" s="1016">
        <f t="shared" si="26"/>
        <v>0</v>
      </c>
      <c r="E94" s="1016">
        <f t="shared" si="26"/>
        <v>0</v>
      </c>
      <c r="F94" s="1016">
        <f t="shared" si="26"/>
        <v>0</v>
      </c>
      <c r="G94" s="1016">
        <f t="shared" si="26"/>
        <v>0</v>
      </c>
      <c r="H94" s="1016">
        <f t="shared" si="26"/>
        <v>0</v>
      </c>
      <c r="I94" s="1016">
        <f t="shared" si="26"/>
        <v>0</v>
      </c>
      <c r="J94" s="1016">
        <f t="shared" si="26"/>
        <v>0</v>
      </c>
      <c r="K94" s="1016">
        <f t="shared" si="26"/>
        <v>0</v>
      </c>
      <c r="L94" s="1016">
        <f t="shared" si="26"/>
        <v>0</v>
      </c>
      <c r="M94" s="1016">
        <f t="shared" si="26"/>
        <v>0</v>
      </c>
      <c r="N94" s="1016">
        <f t="shared" si="26"/>
        <v>0</v>
      </c>
      <c r="O94" s="1016">
        <f t="shared" ref="O94:R94" si="41">(O19/O44-1)</f>
        <v>0</v>
      </c>
      <c r="P94" s="1016">
        <f t="shared" si="41"/>
        <v>0</v>
      </c>
      <c r="Q94" s="1016">
        <f t="shared" si="41"/>
        <v>0</v>
      </c>
      <c r="R94" s="1016">
        <f t="shared" si="41"/>
        <v>0</v>
      </c>
    </row>
    <row r="95" spans="2:18">
      <c r="B95" s="560" t="s">
        <v>556</v>
      </c>
      <c r="C95" s="560" t="s">
        <v>615</v>
      </c>
      <c r="D95" s="1016">
        <f t="shared" si="26"/>
        <v>0</v>
      </c>
      <c r="E95" s="1016">
        <f t="shared" si="26"/>
        <v>0</v>
      </c>
      <c r="F95" s="1016">
        <f t="shared" si="26"/>
        <v>0</v>
      </c>
      <c r="G95" s="1016">
        <f t="shared" si="26"/>
        <v>0</v>
      </c>
      <c r="H95" s="1016">
        <f t="shared" si="26"/>
        <v>0</v>
      </c>
      <c r="I95" s="1016">
        <f t="shared" si="26"/>
        <v>0</v>
      </c>
      <c r="J95" s="1016">
        <f t="shared" si="26"/>
        <v>0</v>
      </c>
      <c r="K95" s="1016">
        <f t="shared" si="26"/>
        <v>0</v>
      </c>
      <c r="L95" s="1016">
        <f t="shared" si="26"/>
        <v>0</v>
      </c>
      <c r="M95" s="1016">
        <f t="shared" si="26"/>
        <v>0</v>
      </c>
      <c r="N95" s="1016">
        <f t="shared" si="26"/>
        <v>0</v>
      </c>
      <c r="O95" s="1016">
        <f t="shared" ref="O95:R95" si="42">(O20/O45-1)</f>
        <v>0</v>
      </c>
      <c r="P95" s="1016">
        <f t="shared" si="42"/>
        <v>0</v>
      </c>
      <c r="Q95" s="1016">
        <f t="shared" si="42"/>
        <v>0</v>
      </c>
      <c r="R95" s="1016">
        <f t="shared" si="42"/>
        <v>0</v>
      </c>
    </row>
    <row r="96" spans="2:18">
      <c r="B96" s="560" t="s">
        <v>622</v>
      </c>
      <c r="C96" s="560" t="s">
        <v>624</v>
      </c>
      <c r="D96" s="1016">
        <f t="shared" si="26"/>
        <v>3.3907914863590349E-2</v>
      </c>
      <c r="E96" s="1016">
        <f t="shared" si="26"/>
        <v>3.3842326110059995E-2</v>
      </c>
      <c r="F96" s="1016">
        <f t="shared" si="26"/>
        <v>3.4062861209809947E-2</v>
      </c>
      <c r="G96" s="1016">
        <f t="shared" si="26"/>
        <v>3.4086870438834849E-2</v>
      </c>
      <c r="H96" s="1016">
        <f t="shared" si="26"/>
        <v>3.4108097281305039E-2</v>
      </c>
      <c r="I96" s="1016">
        <f t="shared" si="26"/>
        <v>3.4125940813768407E-2</v>
      </c>
      <c r="J96" s="1016">
        <f t="shared" si="26"/>
        <v>3.419627330958197E-2</v>
      </c>
      <c r="K96" s="1016">
        <f t="shared" si="26"/>
        <v>3.4215874988886119E-2</v>
      </c>
      <c r="L96" s="1016">
        <f t="shared" si="26"/>
        <v>3.4227547149466853E-2</v>
      </c>
      <c r="M96" s="1016">
        <f t="shared" si="26"/>
        <v>3.4229571509110324E-2</v>
      </c>
      <c r="N96" s="1016">
        <f t="shared" si="26"/>
        <v>3.4240075342005571E-2</v>
      </c>
      <c r="O96" s="1016">
        <f t="shared" ref="O96:R96" si="43">(O21/O46-1)</f>
        <v>3.4236050450082711E-2</v>
      </c>
      <c r="P96" s="1016">
        <f t="shared" si="43"/>
        <v>3.4237160666135358E-2</v>
      </c>
      <c r="Q96" s="1016">
        <f t="shared" si="43"/>
        <v>3.4243559216042163E-2</v>
      </c>
      <c r="R96" s="1016">
        <f t="shared" si="43"/>
        <v>3.4255514604910831E-2</v>
      </c>
    </row>
    <row r="97" spans="2:18">
      <c r="B97" s="560" t="s">
        <v>623</v>
      </c>
      <c r="C97" s="560" t="s">
        <v>625</v>
      </c>
      <c r="D97" s="1016">
        <f t="shared" si="26"/>
        <v>2.0085905490598854E-3</v>
      </c>
      <c r="E97" s="1016">
        <f t="shared" si="26"/>
        <v>2.0040630199942289E-3</v>
      </c>
      <c r="F97" s="1016">
        <f t="shared" si="26"/>
        <v>2.0050196512362284E-3</v>
      </c>
      <c r="G97" s="1016">
        <f t="shared" si="26"/>
        <v>2.0067771947351876E-3</v>
      </c>
      <c r="H97" s="1016">
        <f t="shared" si="26"/>
        <v>2.0050267502838004E-3</v>
      </c>
      <c r="I97" s="1016">
        <f t="shared" si="26"/>
        <v>2.003774171517092E-3</v>
      </c>
      <c r="J97" s="1016">
        <f t="shared" si="26"/>
        <v>2.003781372011515E-3</v>
      </c>
      <c r="K97" s="1016">
        <f t="shared" si="26"/>
        <v>2.0043525587685185E-3</v>
      </c>
      <c r="L97" s="1016">
        <f t="shared" si="26"/>
        <v>2.0043648594267882E-3</v>
      </c>
      <c r="M97" s="1016">
        <f t="shared" si="26"/>
        <v>2.004420700185916E-3</v>
      </c>
      <c r="N97" s="1016">
        <f t="shared" si="26"/>
        <v>2.0052498668721164E-3</v>
      </c>
      <c r="O97" s="1016">
        <f t="shared" ref="O97:R97" si="44">(O22/O47-1)</f>
        <v>2.0050246949505635E-3</v>
      </c>
      <c r="P97" s="1016">
        <f t="shared" si="44"/>
        <v>2.0051552578124188E-3</v>
      </c>
      <c r="Q97" s="1016">
        <f t="shared" si="44"/>
        <v>2.0064400808241789E-3</v>
      </c>
      <c r="R97" s="1016">
        <f t="shared" si="44"/>
        <v>2.0074091380237746E-3</v>
      </c>
    </row>
    <row r="98" spans="2:18">
      <c r="B98" s="560" t="s">
        <v>620</v>
      </c>
      <c r="C98" s="560" t="s">
        <v>626</v>
      </c>
      <c r="D98" s="1016">
        <f t="shared" si="26"/>
        <v>0.14695550351288222</v>
      </c>
      <c r="E98" s="1016">
        <f t="shared" si="26"/>
        <v>0.14695550351288222</v>
      </c>
      <c r="F98" s="1016">
        <f t="shared" si="26"/>
        <v>0</v>
      </c>
      <c r="G98" s="1016">
        <f t="shared" si="26"/>
        <v>0</v>
      </c>
      <c r="H98" s="1016">
        <f t="shared" si="26"/>
        <v>0</v>
      </c>
      <c r="I98" s="1016">
        <f t="shared" si="26"/>
        <v>0</v>
      </c>
      <c r="J98" s="1016">
        <f t="shared" si="26"/>
        <v>0</v>
      </c>
      <c r="K98" s="1016">
        <f t="shared" si="26"/>
        <v>0</v>
      </c>
      <c r="L98" s="1016">
        <f t="shared" si="26"/>
        <v>0</v>
      </c>
      <c r="M98" s="1016">
        <f t="shared" si="26"/>
        <v>0</v>
      </c>
      <c r="N98" s="1016">
        <f t="shared" si="26"/>
        <v>0</v>
      </c>
      <c r="O98" s="1016">
        <f t="shared" ref="O98:R98" si="45">(O23/O48-1)</f>
        <v>0</v>
      </c>
      <c r="P98" s="1016">
        <f t="shared" si="45"/>
        <v>0</v>
      </c>
      <c r="Q98" s="1016">
        <f t="shared" si="45"/>
        <v>0</v>
      </c>
      <c r="R98" s="1016">
        <f t="shared" si="45"/>
        <v>0</v>
      </c>
    </row>
    <row r="99" spans="2:18">
      <c r="B99" s="560" t="s">
        <v>621</v>
      </c>
      <c r="C99" s="560" t="s">
        <v>627</v>
      </c>
      <c r="D99" s="1016">
        <f t="shared" si="26"/>
        <v>0</v>
      </c>
      <c r="E99" s="1016">
        <f t="shared" si="26"/>
        <v>0</v>
      </c>
      <c r="F99" s="1016">
        <f t="shared" si="26"/>
        <v>0</v>
      </c>
      <c r="G99" s="1016">
        <f t="shared" si="26"/>
        <v>0</v>
      </c>
      <c r="H99" s="1016">
        <f t="shared" si="26"/>
        <v>0</v>
      </c>
      <c r="I99" s="1016">
        <f t="shared" si="26"/>
        <v>0</v>
      </c>
      <c r="J99" s="1016">
        <f t="shared" si="26"/>
        <v>0</v>
      </c>
      <c r="K99" s="1016">
        <f t="shared" si="26"/>
        <v>0</v>
      </c>
      <c r="L99" s="1016">
        <f t="shared" si="26"/>
        <v>0</v>
      </c>
      <c r="M99" s="1016">
        <f t="shared" si="26"/>
        <v>0</v>
      </c>
      <c r="N99" s="1016">
        <f t="shared" si="26"/>
        <v>0</v>
      </c>
      <c r="O99" s="1016">
        <f t="shared" ref="O99:R99" si="46">(O24/O49-1)</f>
        <v>0</v>
      </c>
      <c r="P99" s="1016">
        <f t="shared" si="46"/>
        <v>0</v>
      </c>
      <c r="Q99" s="1016">
        <f t="shared" si="46"/>
        <v>0</v>
      </c>
      <c r="R99" s="1016">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baseColWidth="10" defaultColWidth="8.83203125" defaultRowHeight="15"/>
  <cols>
    <col min="1" max="1" width="41.1640625" customWidth="1"/>
    <col min="2" max="2" width="23.5" style="261" customWidth="1"/>
    <col min="3" max="13" width="10.33203125" bestFit="1" customWidth="1"/>
  </cols>
  <sheetData>
    <row r="1" spans="1:17" s="392" customFormat="1">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c r="A4" t="s">
        <v>459</v>
      </c>
      <c r="B4" s="261" t="s">
        <v>604</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72">
        <f>'Federal and State Purchases'!Z13</f>
        <v>1644.6998090678856</v>
      </c>
      <c r="O4" s="572">
        <f>'Federal and State Purchases'!AA13</f>
        <v>1654.0763434825342</v>
      </c>
      <c r="P4" s="572">
        <f>'Federal and State Purchases'!AB13</f>
        <v>1663.0996585149583</v>
      </c>
      <c r="Q4" s="572">
        <f>'Federal and State Purchases'!AC13</f>
        <v>1673.3979812645641</v>
      </c>
    </row>
    <row r="5" spans="1:17">
      <c r="A5" t="s">
        <v>460</v>
      </c>
      <c r="B5" s="324" t="s">
        <v>605</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72">
        <f>'Federal and State Purchases'!Z27</f>
        <v>2935.6144731064101</v>
      </c>
      <c r="O5" s="572">
        <f>'Federal and State Purchases'!AA27</f>
        <v>2935.6144731064101</v>
      </c>
      <c r="P5" s="572">
        <f>'Federal and State Purchases'!AB27</f>
        <v>2935.6144731064101</v>
      </c>
      <c r="Q5" s="572">
        <f>'Federal and State Purchases'!AC27</f>
        <v>2935.6144731064101</v>
      </c>
    </row>
    <row r="6" spans="1:17">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c r="A8" t="s">
        <v>133</v>
      </c>
      <c r="B8" s="324" t="s">
        <v>606</v>
      </c>
      <c r="C8" s="296">
        <f>'Unemployment Insurance'!O19</f>
        <v>232.99999999999997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c r="A9" t="s">
        <v>134</v>
      </c>
      <c r="B9" s="324" t="s">
        <v>607</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72">
        <f>'Unemployment Insurance'!Z20</f>
        <v>31.064254335260141</v>
      </c>
      <c r="O9" s="572">
        <f>'Unemployment Insurance'!AA20</f>
        <v>31.447473988439334</v>
      </c>
      <c r="P9" s="572">
        <f>'Unemployment Insurance'!AB20</f>
        <v>31.924543352601184</v>
      </c>
      <c r="Q9" s="572">
        <f>'Unemployment Insurance'!AC20</f>
        <v>32.385971098265927</v>
      </c>
    </row>
    <row r="10" spans="1:17">
      <c r="A10" t="s">
        <v>140</v>
      </c>
      <c r="B10" s="324" t="s">
        <v>610</v>
      </c>
      <c r="C10" s="296">
        <f>Medicaid!K26</f>
        <v>552.98943075574527</v>
      </c>
      <c r="D10" s="296">
        <f>Medicaid!L26</f>
        <v>561.55321472104822</v>
      </c>
      <c r="E10" s="296">
        <f>Medicaid!M26</f>
        <v>595.71048950195052</v>
      </c>
      <c r="F10" s="296">
        <f>Medicaid!N26</f>
        <v>604.93586643363528</v>
      </c>
      <c r="G10" s="296">
        <f>Medicaid!O26</f>
        <v>557.70430033183629</v>
      </c>
      <c r="H10" s="296">
        <f>Medicaid!P26</f>
        <v>556.8347699065057</v>
      </c>
      <c r="I10" s="296">
        <f>Medicaid!Q26</f>
        <v>558.52568720215106</v>
      </c>
      <c r="J10" s="296">
        <f>Medicaid!R26</f>
        <v>560.22173923696005</v>
      </c>
      <c r="K10" s="296">
        <f>Medicaid!S26</f>
        <v>561.92294160338429</v>
      </c>
      <c r="L10" s="296">
        <f>Medicaid!T26</f>
        <v>584.9437111499708</v>
      </c>
      <c r="M10" s="296">
        <f>Medicaid!U26</f>
        <v>608.90759191569498</v>
      </c>
      <c r="N10" s="572">
        <f>Medicaid!V26</f>
        <v>633.85322113072698</v>
      </c>
      <c r="O10" s="572">
        <f>Medicaid!W26</f>
        <v>659.82081890912684</v>
      </c>
      <c r="P10" s="572">
        <f>Medicaid!X26</f>
        <v>686.85225309617954</v>
      </c>
      <c r="Q10" s="572">
        <f>Medicaid!Y26</f>
        <v>714.99110677238536</v>
      </c>
    </row>
    <row r="11" spans="1:17">
      <c r="A11" t="s">
        <v>139</v>
      </c>
      <c r="B11" s="324" t="s">
        <v>73</v>
      </c>
      <c r="C11" s="572">
        <f>Medicaid!K25</f>
        <v>770.8</v>
      </c>
      <c r="D11" s="572">
        <f>Medicaid!L25</f>
        <v>782.73687313595531</v>
      </c>
      <c r="E11" s="572">
        <f>Medicaid!M25</f>
        <v>794.85860478289123</v>
      </c>
      <c r="F11" s="572">
        <f>Medicaid!N25</f>
        <v>807.16805772310374</v>
      </c>
      <c r="G11" s="572">
        <f>Medicaid!O25</f>
        <v>819.66813907291714</v>
      </c>
      <c r="H11" s="572">
        <f>Medicaid!P25</f>
        <v>822.15719167514692</v>
      </c>
      <c r="I11" s="572">
        <f>Medicaid!Q25</f>
        <v>824.65380268127376</v>
      </c>
      <c r="J11" s="572">
        <f>Medicaid!R25</f>
        <v>827.15799504359268</v>
      </c>
      <c r="K11" s="572">
        <f>Medicaid!S25</f>
        <v>829.66979178409679</v>
      </c>
      <c r="L11" s="572">
        <f>Medicaid!T25</f>
        <v>863.65957163171674</v>
      </c>
      <c r="M11" s="572">
        <f>Medicaid!U25</f>
        <v>899.04183936491506</v>
      </c>
      <c r="N11" s="572">
        <f>Medicaid!V25</f>
        <v>935.87364220553832</v>
      </c>
      <c r="O11" s="572">
        <f>Medicaid!W25</f>
        <v>974.21436447692884</v>
      </c>
      <c r="P11" s="572">
        <f>Medicaid!X25</f>
        <v>1014.1258233499268</v>
      </c>
      <c r="Q11" s="572">
        <f>Medicaid!Y25</f>
        <v>1055.6723685113786</v>
      </c>
    </row>
    <row r="12" spans="1:17">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c r="A14" t="s">
        <v>464</v>
      </c>
      <c r="B14" s="324" t="s">
        <v>619</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c r="A16" t="s">
        <v>462</v>
      </c>
      <c r="B16" s="324" t="s">
        <v>616</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c r="A19" t="s">
        <v>622</v>
      </c>
      <c r="B19" s="324" t="s">
        <v>624</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72">
        <f>Taxes!Z9</f>
        <v>4150.5791355082993</v>
      </c>
      <c r="O19" s="572">
        <f>Taxes!AA9</f>
        <v>4188.264463641015</v>
      </c>
      <c r="P19" s="572">
        <f>Taxes!AB9</f>
        <v>4225.9780741350496</v>
      </c>
      <c r="Q19" s="572">
        <f>Taxes!AC9</f>
        <v>4264.7804553946153</v>
      </c>
    </row>
    <row r="20" spans="1:17">
      <c r="A20" t="s">
        <v>623</v>
      </c>
      <c r="B20" s="324" t="s">
        <v>625</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72">
        <f>Taxes!Z16</f>
        <v>2448.7029333186206</v>
      </c>
      <c r="O20" s="572">
        <f>Taxes!AA16</f>
        <v>2470.8658012154724</v>
      </c>
      <c r="P20" s="572">
        <f>Taxes!AB16</f>
        <v>2492.091879620777</v>
      </c>
      <c r="Q20" s="572">
        <f>Taxes!AC16</f>
        <v>2514.7144630554176</v>
      </c>
    </row>
    <row r="21" spans="1:17">
      <c r="A21" t="s">
        <v>620</v>
      </c>
      <c r="B21" s="324" t="s">
        <v>626</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346" t="s">
        <v>999</v>
      </c>
      <c r="C1" s="1346"/>
      <c r="D1" s="1346"/>
      <c r="E1" s="1346"/>
      <c r="F1" s="1346"/>
      <c r="G1" s="1346"/>
      <c r="H1" s="1346"/>
      <c r="I1" s="1346"/>
      <c r="J1" s="1346"/>
      <c r="K1" s="1346"/>
    </row>
    <row r="2" spans="2:11">
      <c r="B2" s="1347" t="s">
        <v>998</v>
      </c>
      <c r="C2" s="1347"/>
      <c r="D2" s="1347"/>
      <c r="E2" s="1347"/>
      <c r="F2" s="1347"/>
      <c r="G2" s="1347"/>
      <c r="H2" s="1347"/>
      <c r="I2" s="1347"/>
      <c r="J2" s="1347"/>
      <c r="K2" s="1347"/>
    </row>
    <row r="3" spans="2:11">
      <c r="B3" s="1347"/>
      <c r="C3" s="1347"/>
      <c r="D3" s="1347"/>
      <c r="E3" s="1347"/>
      <c r="F3" s="1347"/>
      <c r="G3" s="1347"/>
      <c r="H3" s="1347"/>
      <c r="I3" s="1347"/>
      <c r="J3" s="1347"/>
      <c r="K3" s="1347"/>
    </row>
    <row r="4" spans="2:11">
      <c r="B4" s="1347"/>
      <c r="C4" s="1347"/>
      <c r="D4" s="1347"/>
      <c r="E4" s="1347"/>
      <c r="F4" s="1347"/>
      <c r="G4" s="1347"/>
      <c r="H4" s="1347"/>
      <c r="I4" s="1347"/>
      <c r="J4" s="1347"/>
      <c r="K4" s="1347"/>
    </row>
    <row r="7" spans="2:11">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C19" zoomScale="69" workbookViewId="0">
      <selection activeCell="P36" sqref="P36"/>
    </sheetView>
  </sheetViews>
  <sheetFormatPr baseColWidth="10" defaultColWidth="8.83203125" defaultRowHeight="15"/>
  <cols>
    <col min="1" max="1" width="8.83203125" style="299"/>
    <col min="2" max="2" width="6.5" style="299" customWidth="1"/>
    <col min="3" max="3" width="65" style="299" customWidth="1"/>
    <col min="4" max="4" width="11" style="299" customWidth="1"/>
    <col min="5" max="7" width="10.1640625" style="299" customWidth="1"/>
    <col min="8" max="9" width="8.83203125" style="299"/>
    <col min="10" max="10" width="13.6640625" style="299" customWidth="1"/>
    <col min="11" max="11" width="25.5" style="299" customWidth="1"/>
    <col min="12" max="16384" width="8.83203125" style="299"/>
  </cols>
  <sheetData>
    <row r="1" spans="2:14">
      <c r="B1" s="1346" t="s">
        <v>999</v>
      </c>
      <c r="C1" s="1346"/>
      <c r="D1" s="1346"/>
      <c r="E1" s="1346"/>
      <c r="F1" s="1346"/>
      <c r="G1" s="1346"/>
      <c r="H1" s="1346"/>
      <c r="I1" s="1346"/>
      <c r="J1" s="1346"/>
      <c r="K1" s="1346"/>
    </row>
    <row r="2" spans="2:14" ht="14.5" customHeight="1">
      <c r="B2" s="1347" t="s">
        <v>998</v>
      </c>
      <c r="C2" s="1347"/>
      <c r="D2" s="1347"/>
      <c r="E2" s="1347"/>
      <c r="F2" s="1347"/>
      <c r="G2" s="1347"/>
      <c r="H2" s="1347"/>
      <c r="I2" s="1347"/>
      <c r="J2" s="1347"/>
      <c r="K2" s="1347"/>
    </row>
    <row r="3" spans="2:14">
      <c r="B3" s="1347"/>
      <c r="C3" s="1347"/>
      <c r="D3" s="1347"/>
      <c r="E3" s="1347"/>
      <c r="F3" s="1347"/>
      <c r="G3" s="1347"/>
      <c r="H3" s="1347"/>
      <c r="I3" s="1347"/>
      <c r="J3" s="1347"/>
      <c r="K3" s="1347"/>
    </row>
    <row r="4" spans="2:14">
      <c r="B4" s="1347"/>
      <c r="C4" s="1347"/>
      <c r="D4" s="1347"/>
      <c r="E4" s="1347"/>
      <c r="F4" s="1347"/>
      <c r="G4" s="1347"/>
      <c r="H4" s="1347"/>
      <c r="I4" s="1347"/>
      <c r="J4" s="1347"/>
      <c r="K4" s="1347"/>
    </row>
    <row r="5" spans="2:14">
      <c r="B5" s="1353"/>
      <c r="C5" s="1353"/>
      <c r="D5" s="1353"/>
      <c r="E5" s="1353"/>
      <c r="F5" s="709"/>
      <c r="G5" s="709"/>
    </row>
    <row r="6" spans="2:14">
      <c r="B6" s="1321"/>
      <c r="C6" s="1308"/>
      <c r="D6" s="1360">
        <v>2021</v>
      </c>
      <c r="E6" s="1361"/>
      <c r="F6" s="1361"/>
      <c r="G6" s="1361"/>
      <c r="H6" s="1361"/>
      <c r="I6" s="1361"/>
      <c r="J6" s="1361"/>
      <c r="K6" s="1356" t="s">
        <v>137</v>
      </c>
    </row>
    <row r="7" spans="2:14" ht="16">
      <c r="B7" s="1322"/>
      <c r="C7" s="708" t="s">
        <v>997</v>
      </c>
      <c r="D7" s="1306" t="s">
        <v>518</v>
      </c>
      <c r="E7" s="1306" t="s">
        <v>519</v>
      </c>
      <c r="F7" s="1306" t="s">
        <v>520</v>
      </c>
      <c r="G7" s="1306" t="s">
        <v>521</v>
      </c>
      <c r="H7" s="1307" t="s">
        <v>984</v>
      </c>
      <c r="I7" s="1110" t="s">
        <v>1233</v>
      </c>
      <c r="J7" s="1277" t="s">
        <v>1234</v>
      </c>
      <c r="K7" s="1357"/>
    </row>
    <row r="8" spans="2:14">
      <c r="B8" s="1323">
        <v>1</v>
      </c>
      <c r="C8" s="1309" t="s">
        <v>924</v>
      </c>
      <c r="D8" s="1278">
        <v>21504.5</v>
      </c>
      <c r="E8" s="1279">
        <v>19955.099999999999</v>
      </c>
      <c r="F8" s="1280">
        <v>24142.400000000001</v>
      </c>
      <c r="G8" s="1279">
        <v>20848.2</v>
      </c>
      <c r="H8" s="1280">
        <v>20404.599999999999</v>
      </c>
      <c r="I8" s="1280">
        <v>20441.8</v>
      </c>
      <c r="J8" s="1281">
        <v>20667.7</v>
      </c>
      <c r="K8" s="1326">
        <f>J8+(J8-I8)</f>
        <v>20893.600000000002</v>
      </c>
    </row>
    <row r="9" spans="2:14">
      <c r="B9" s="1323">
        <v>2</v>
      </c>
      <c r="C9" s="1310" t="s">
        <v>925</v>
      </c>
      <c r="D9" s="1282">
        <v>12088.1</v>
      </c>
      <c r="E9" s="1283">
        <v>12049.5</v>
      </c>
      <c r="F9" s="1284">
        <v>12129.2</v>
      </c>
      <c r="G9" s="1283">
        <v>12216.6</v>
      </c>
      <c r="H9" s="1284">
        <v>12296.1</v>
      </c>
      <c r="I9" s="1284">
        <v>12391</v>
      </c>
      <c r="J9" s="1285">
        <v>12500.9</v>
      </c>
      <c r="K9" s="1326">
        <f t="shared" ref="K9:K59" si="0">J9+(J9-I9)</f>
        <v>12610.8</v>
      </c>
    </row>
    <row r="10" spans="2:14">
      <c r="B10" s="1322">
        <v>3</v>
      </c>
      <c r="C10" s="1311" t="s">
        <v>926</v>
      </c>
      <c r="D10" s="1286">
        <v>9879.5</v>
      </c>
      <c r="E10" s="1287">
        <v>9843.2999999999993</v>
      </c>
      <c r="F10" s="1288">
        <v>9914.9</v>
      </c>
      <c r="G10" s="1287">
        <v>9996</v>
      </c>
      <c r="H10" s="1288">
        <v>10067.4</v>
      </c>
      <c r="I10" s="1288">
        <v>10152.9</v>
      </c>
      <c r="J10" s="1289">
        <v>10251.4</v>
      </c>
      <c r="K10" s="1326">
        <f t="shared" si="0"/>
        <v>10349.9</v>
      </c>
    </row>
    <row r="11" spans="2:14">
      <c r="B11" s="1322">
        <v>4</v>
      </c>
      <c r="C11" s="569" t="s">
        <v>927</v>
      </c>
      <c r="D11" s="1290">
        <v>8376.4</v>
      </c>
      <c r="E11" s="1291">
        <v>8343.7000000000007</v>
      </c>
      <c r="F11" s="1292">
        <v>8409.2999999999993</v>
      </c>
      <c r="G11" s="1291">
        <v>8484.5</v>
      </c>
      <c r="H11" s="1292">
        <v>8550.2999999999993</v>
      </c>
      <c r="I11" s="1292">
        <v>8623.2000000000007</v>
      </c>
      <c r="J11" s="1293">
        <v>8705.6</v>
      </c>
      <c r="K11" s="1326">
        <f t="shared" si="0"/>
        <v>8788</v>
      </c>
    </row>
    <row r="12" spans="2:14">
      <c r="B12" s="1322">
        <v>5</v>
      </c>
      <c r="C12" s="1311" t="s">
        <v>928</v>
      </c>
      <c r="D12" s="1286">
        <v>1503</v>
      </c>
      <c r="E12" s="1287">
        <v>1499.6</v>
      </c>
      <c r="F12" s="1288">
        <v>1505.6</v>
      </c>
      <c r="G12" s="1287">
        <v>1511.5</v>
      </c>
      <c r="H12" s="1288">
        <v>1517.1</v>
      </c>
      <c r="I12" s="1288">
        <v>1529.6</v>
      </c>
      <c r="J12" s="1289">
        <v>1545.8</v>
      </c>
      <c r="K12" s="1326">
        <f t="shared" si="0"/>
        <v>1562</v>
      </c>
    </row>
    <row r="13" spans="2:14">
      <c r="B13" s="1322">
        <v>6</v>
      </c>
      <c r="C13" s="569" t="s">
        <v>929</v>
      </c>
      <c r="D13" s="1290">
        <v>2208.6</v>
      </c>
      <c r="E13" s="1291">
        <v>2206.1999999999998</v>
      </c>
      <c r="F13" s="1292">
        <v>2214.4</v>
      </c>
      <c r="G13" s="1291">
        <v>2220.6999999999998</v>
      </c>
      <c r="H13" s="1292">
        <v>2228.6</v>
      </c>
      <c r="I13" s="1292">
        <v>2238.1999999999998</v>
      </c>
      <c r="J13" s="1293">
        <v>2249.5</v>
      </c>
      <c r="K13" s="1326">
        <f t="shared" si="0"/>
        <v>2260.8000000000002</v>
      </c>
    </row>
    <row r="14" spans="2:14">
      <c r="B14" s="1323">
        <v>7</v>
      </c>
      <c r="C14" s="1312" t="s">
        <v>930</v>
      </c>
      <c r="D14" s="1294">
        <v>1643.8</v>
      </c>
      <c r="E14" s="1279">
        <v>1693.8</v>
      </c>
      <c r="F14" s="1295">
        <v>1804.2</v>
      </c>
      <c r="G14" s="1279">
        <v>1817.9</v>
      </c>
      <c r="H14" s="1295">
        <v>1840.7</v>
      </c>
      <c r="I14" s="1295">
        <v>1855.9</v>
      </c>
      <c r="J14" s="1296">
        <v>1851.9</v>
      </c>
      <c r="K14" s="1326">
        <f t="shared" si="0"/>
        <v>1847.9</v>
      </c>
      <c r="N14" s="1328"/>
    </row>
    <row r="15" spans="2:14">
      <c r="B15" s="1322">
        <v>8</v>
      </c>
      <c r="C15" s="569" t="s">
        <v>931</v>
      </c>
      <c r="D15" s="1290">
        <v>66.900000000000006</v>
      </c>
      <c r="E15" s="1291">
        <v>72.599999999999994</v>
      </c>
      <c r="F15" s="1292">
        <v>79.599999999999994</v>
      </c>
      <c r="G15" s="1291">
        <v>97</v>
      </c>
      <c r="H15" s="1292">
        <v>108.5</v>
      </c>
      <c r="I15" s="1292">
        <v>120</v>
      </c>
      <c r="J15" s="1293">
        <v>112.7</v>
      </c>
      <c r="K15" s="1326">
        <f t="shared" si="0"/>
        <v>105.4</v>
      </c>
    </row>
    <row r="16" spans="2:14">
      <c r="B16" s="1322"/>
      <c r="C16" s="1313" t="s">
        <v>932</v>
      </c>
      <c r="D16" s="1286" t="s">
        <v>933</v>
      </c>
      <c r="E16" s="1287" t="s">
        <v>933</v>
      </c>
      <c r="F16" s="1288" t="s">
        <v>933</v>
      </c>
      <c r="G16" s="1287" t="s">
        <v>933</v>
      </c>
      <c r="H16" s="1288" t="s">
        <v>933</v>
      </c>
      <c r="I16" s="1288" t="s">
        <v>933</v>
      </c>
      <c r="J16" s="1289" t="s">
        <v>933</v>
      </c>
      <c r="K16" s="1326" t="e">
        <f t="shared" si="0"/>
        <v>#VALUE!</v>
      </c>
    </row>
    <row r="17" spans="2:11" ht="17">
      <c r="B17" s="1322">
        <v>9</v>
      </c>
      <c r="C17" s="1311" t="s">
        <v>934</v>
      </c>
      <c r="D17" s="1286">
        <v>2.4</v>
      </c>
      <c r="E17" s="1287">
        <v>0.4</v>
      </c>
      <c r="F17" s="1288">
        <v>0</v>
      </c>
      <c r="G17" s="1287">
        <v>3</v>
      </c>
      <c r="H17" s="1288">
        <v>1.4</v>
      </c>
      <c r="I17" s="1288">
        <v>0.9</v>
      </c>
      <c r="J17" s="1289">
        <v>0.4</v>
      </c>
      <c r="K17" s="1326">
        <f t="shared" si="0"/>
        <v>-9.9999999999999978E-2</v>
      </c>
    </row>
    <row r="18" spans="2:11" ht="17">
      <c r="B18" s="1322">
        <v>10</v>
      </c>
      <c r="C18" s="569" t="s">
        <v>935</v>
      </c>
      <c r="D18" s="1290">
        <v>1.8</v>
      </c>
      <c r="E18" s="1291">
        <v>5</v>
      </c>
      <c r="F18" s="1292">
        <v>7.9</v>
      </c>
      <c r="G18" s="1291">
        <v>10.4</v>
      </c>
      <c r="H18" s="1292">
        <v>11.8</v>
      </c>
      <c r="I18" s="1292">
        <v>11.8</v>
      </c>
      <c r="J18" s="1293">
        <v>10.199999999999999</v>
      </c>
      <c r="K18" s="1326">
        <f t="shared" si="0"/>
        <v>8.5999999999999979</v>
      </c>
    </row>
    <row r="19" spans="2:11">
      <c r="B19" s="1322">
        <v>11</v>
      </c>
      <c r="C19" s="1311" t="s">
        <v>936</v>
      </c>
      <c r="D19" s="1286">
        <v>1576.9</v>
      </c>
      <c r="E19" s="1287">
        <v>1621.2</v>
      </c>
      <c r="F19" s="1288">
        <v>1724.6</v>
      </c>
      <c r="G19" s="1287">
        <v>1720.8</v>
      </c>
      <c r="H19" s="1288">
        <v>1732.3</v>
      </c>
      <c r="I19" s="1288">
        <v>1735.9</v>
      </c>
      <c r="J19" s="1289">
        <v>1739.2</v>
      </c>
      <c r="K19" s="1326">
        <f t="shared" si="0"/>
        <v>1742.5</v>
      </c>
    </row>
    <row r="20" spans="2:11">
      <c r="B20" s="1322"/>
      <c r="C20" s="430" t="s">
        <v>937</v>
      </c>
      <c r="D20" s="1290" t="s">
        <v>933</v>
      </c>
      <c r="E20" s="1291" t="s">
        <v>933</v>
      </c>
      <c r="F20" s="1292" t="s">
        <v>933</v>
      </c>
      <c r="G20" s="1291" t="s">
        <v>933</v>
      </c>
      <c r="H20" s="1292" t="s">
        <v>933</v>
      </c>
      <c r="I20" s="1292" t="s">
        <v>933</v>
      </c>
      <c r="J20" s="1293" t="s">
        <v>933</v>
      </c>
      <c r="K20" s="1326" t="e">
        <f t="shared" si="0"/>
        <v>#VALUE!</v>
      </c>
    </row>
    <row r="21" spans="2:11" ht="17">
      <c r="B21" s="1322">
        <v>12</v>
      </c>
      <c r="C21" s="569" t="s">
        <v>935</v>
      </c>
      <c r="D21" s="1290">
        <v>27.9</v>
      </c>
      <c r="E21" s="1291">
        <v>78.3</v>
      </c>
      <c r="F21" s="1292">
        <v>124</v>
      </c>
      <c r="G21" s="1291">
        <v>163.69999999999999</v>
      </c>
      <c r="H21" s="1292">
        <v>184.6</v>
      </c>
      <c r="I21" s="1292">
        <v>184.6</v>
      </c>
      <c r="J21" s="1293">
        <v>160.30000000000001</v>
      </c>
      <c r="K21" s="1326">
        <f t="shared" si="0"/>
        <v>136.00000000000003</v>
      </c>
    </row>
    <row r="22" spans="2:11">
      <c r="B22" s="1323">
        <v>13</v>
      </c>
      <c r="C22" s="1312" t="s">
        <v>938</v>
      </c>
      <c r="D22" s="1294">
        <v>709.3</v>
      </c>
      <c r="E22" s="1279">
        <v>716.6</v>
      </c>
      <c r="F22" s="1295">
        <v>724.8</v>
      </c>
      <c r="G22" s="1279">
        <v>720.7</v>
      </c>
      <c r="H22" s="1295">
        <v>716.4</v>
      </c>
      <c r="I22" s="1295">
        <v>713.4</v>
      </c>
      <c r="J22" s="1296">
        <v>716.4</v>
      </c>
      <c r="K22" s="1326">
        <f t="shared" si="0"/>
        <v>719.4</v>
      </c>
    </row>
    <row r="23" spans="2:11">
      <c r="B23" s="1323">
        <v>14</v>
      </c>
      <c r="C23" s="1310" t="s">
        <v>939</v>
      </c>
      <c r="D23" s="1282">
        <v>2886.2</v>
      </c>
      <c r="E23" s="1283">
        <v>2901.2</v>
      </c>
      <c r="F23" s="1284">
        <v>2909.1</v>
      </c>
      <c r="G23" s="1283">
        <v>2923</v>
      </c>
      <c r="H23" s="1284">
        <v>2937.4</v>
      </c>
      <c r="I23" s="1284">
        <v>2954</v>
      </c>
      <c r="J23" s="1285">
        <v>2963</v>
      </c>
      <c r="K23" s="1326">
        <f t="shared" si="0"/>
        <v>2972</v>
      </c>
    </row>
    <row r="24" spans="2:11">
      <c r="B24" s="1322">
        <v>15</v>
      </c>
      <c r="C24" s="1311" t="s">
        <v>940</v>
      </c>
      <c r="D24" s="1286">
        <v>1621.9</v>
      </c>
      <c r="E24" s="1287">
        <v>1630.2</v>
      </c>
      <c r="F24" s="1288">
        <v>1638.4</v>
      </c>
      <c r="G24" s="1287">
        <v>1642.2</v>
      </c>
      <c r="H24" s="1288">
        <v>1645.9</v>
      </c>
      <c r="I24" s="1288">
        <v>1649.7</v>
      </c>
      <c r="J24" s="1289">
        <v>1654</v>
      </c>
      <c r="K24" s="1326">
        <f t="shared" si="0"/>
        <v>1658.3</v>
      </c>
    </row>
    <row r="25" spans="2:11">
      <c r="B25" s="1322">
        <v>16</v>
      </c>
      <c r="C25" s="569" t="s">
        <v>941</v>
      </c>
      <c r="D25" s="1290">
        <v>1264.3</v>
      </c>
      <c r="E25" s="1291">
        <v>1271.0999999999999</v>
      </c>
      <c r="F25" s="1292">
        <v>1270.7</v>
      </c>
      <c r="G25" s="1291">
        <v>1280.8</v>
      </c>
      <c r="H25" s="1292">
        <v>1291.4000000000001</v>
      </c>
      <c r="I25" s="1292">
        <v>1304.3</v>
      </c>
      <c r="J25" s="1293">
        <v>1309</v>
      </c>
      <c r="K25" s="1326">
        <f t="shared" si="0"/>
        <v>1313.7</v>
      </c>
    </row>
    <row r="26" spans="2:11">
      <c r="B26" s="1323">
        <v>17</v>
      </c>
      <c r="C26" s="1312" t="s">
        <v>942</v>
      </c>
      <c r="D26" s="1294">
        <v>5711.8</v>
      </c>
      <c r="E26" s="1279">
        <v>4123</v>
      </c>
      <c r="F26" s="1295">
        <v>8112.8</v>
      </c>
      <c r="G26" s="1279">
        <v>4719</v>
      </c>
      <c r="H26" s="1295">
        <v>4172.1000000000004</v>
      </c>
      <c r="I26" s="1295">
        <v>4096.3</v>
      </c>
      <c r="J26" s="1296">
        <v>4216.6000000000004</v>
      </c>
      <c r="K26" s="1326">
        <f t="shared" si="0"/>
        <v>4336.9000000000005</v>
      </c>
    </row>
    <row r="27" spans="2:11">
      <c r="B27" s="1322">
        <v>18</v>
      </c>
      <c r="C27" s="569" t="s">
        <v>943</v>
      </c>
      <c r="D27" s="1290">
        <v>5650.5</v>
      </c>
      <c r="E27" s="1291">
        <v>4061</v>
      </c>
      <c r="F27" s="1292">
        <v>8050.2</v>
      </c>
      <c r="G27" s="1291">
        <v>4656.8999999999996</v>
      </c>
      <c r="H27" s="1292">
        <v>4109.3</v>
      </c>
      <c r="I27" s="1292">
        <v>4007.4</v>
      </c>
      <c r="J27" s="1293">
        <v>4143</v>
      </c>
      <c r="K27" s="1326">
        <f t="shared" si="0"/>
        <v>4278.6000000000004</v>
      </c>
    </row>
    <row r="28" spans="2:11">
      <c r="B28" s="1322">
        <v>19</v>
      </c>
      <c r="C28" s="1311" t="s">
        <v>944</v>
      </c>
      <c r="D28" s="1286">
        <v>1103.9000000000001</v>
      </c>
      <c r="E28" s="1287">
        <v>1106</v>
      </c>
      <c r="F28" s="1288">
        <v>1109.0999999999999</v>
      </c>
      <c r="G28" s="1287">
        <v>1107.5999999999999</v>
      </c>
      <c r="H28" s="1288">
        <v>1108.2</v>
      </c>
      <c r="I28" s="1288">
        <v>1113.3</v>
      </c>
      <c r="J28" s="1289">
        <v>1113.4000000000001</v>
      </c>
      <c r="K28" s="1326">
        <f t="shared" si="0"/>
        <v>1113.5000000000002</v>
      </c>
    </row>
    <row r="29" spans="2:11">
      <c r="B29" s="1322">
        <v>20</v>
      </c>
      <c r="C29" s="569" t="s">
        <v>945</v>
      </c>
      <c r="D29" s="1290">
        <v>815.6</v>
      </c>
      <c r="E29" s="1291">
        <v>813.8</v>
      </c>
      <c r="F29" s="1292">
        <v>813</v>
      </c>
      <c r="G29" s="1291">
        <v>813.4</v>
      </c>
      <c r="H29" s="1292">
        <v>814.9</v>
      </c>
      <c r="I29" s="1292">
        <v>817.5</v>
      </c>
      <c r="J29" s="1293">
        <v>821.3</v>
      </c>
      <c r="K29" s="1326">
        <f t="shared" si="0"/>
        <v>825.09999999999991</v>
      </c>
    </row>
    <row r="30" spans="2:11">
      <c r="B30" s="1322"/>
      <c r="C30" s="1313" t="s">
        <v>946</v>
      </c>
      <c r="D30" s="1286" t="s">
        <v>933</v>
      </c>
      <c r="E30" s="1287" t="s">
        <v>933</v>
      </c>
      <c r="F30" s="1288" t="s">
        <v>933</v>
      </c>
      <c r="G30" s="1287" t="s">
        <v>933</v>
      </c>
      <c r="H30" s="1288" t="s">
        <v>933</v>
      </c>
      <c r="I30" s="1288" t="s">
        <v>933</v>
      </c>
      <c r="J30" s="1289" t="s">
        <v>933</v>
      </c>
      <c r="K30" s="1326" t="e">
        <f t="shared" si="0"/>
        <v>#VALUE!</v>
      </c>
    </row>
    <row r="31" spans="2:11" ht="17">
      <c r="B31" s="1322">
        <v>21</v>
      </c>
      <c r="C31" s="1311" t="s">
        <v>947</v>
      </c>
      <c r="D31" s="1286">
        <v>14.2</v>
      </c>
      <c r="E31" s="1287">
        <v>14.1</v>
      </c>
      <c r="F31" s="1288">
        <v>14.1</v>
      </c>
      <c r="G31" s="1287">
        <v>14.1</v>
      </c>
      <c r="H31" s="1288">
        <v>14.1</v>
      </c>
      <c r="I31" s="1288">
        <v>14.2</v>
      </c>
      <c r="J31" s="1289">
        <v>14.2</v>
      </c>
      <c r="K31" s="1326">
        <f t="shared" si="0"/>
        <v>14.2</v>
      </c>
    </row>
    <row r="32" spans="2:11">
      <c r="B32" s="1322">
        <v>22</v>
      </c>
      <c r="C32" s="569" t="s">
        <v>948</v>
      </c>
      <c r="D32" s="1290">
        <v>688.5</v>
      </c>
      <c r="E32" s="1291">
        <v>696.2</v>
      </c>
      <c r="F32" s="1292">
        <v>703</v>
      </c>
      <c r="G32" s="1291">
        <v>720.5</v>
      </c>
      <c r="H32" s="1292">
        <v>736</v>
      </c>
      <c r="I32" s="1292">
        <v>750</v>
      </c>
      <c r="J32" s="1293">
        <v>760.4</v>
      </c>
      <c r="K32" s="1326">
        <f t="shared" si="0"/>
        <v>770.8</v>
      </c>
    </row>
    <row r="33" spans="2:13">
      <c r="B33" s="1322">
        <v>23</v>
      </c>
      <c r="C33" s="1311" t="s">
        <v>949</v>
      </c>
      <c r="D33" s="1286">
        <v>574.20000000000005</v>
      </c>
      <c r="E33" s="1287">
        <v>557.5</v>
      </c>
      <c r="F33" s="1288">
        <v>565.5</v>
      </c>
      <c r="G33" s="1287">
        <v>516.4</v>
      </c>
      <c r="H33" s="1288">
        <v>492</v>
      </c>
      <c r="I33" s="1288">
        <v>433</v>
      </c>
      <c r="J33" s="1289">
        <v>380.5</v>
      </c>
      <c r="K33" s="1326">
        <f t="shared" si="0"/>
        <v>328</v>
      </c>
      <c r="L33" s="1328">
        <f>J33-L35</f>
        <v>45</v>
      </c>
      <c r="M33" s="299" t="s">
        <v>1236</v>
      </c>
    </row>
    <row r="34" spans="2:13" ht="17">
      <c r="B34" s="1322"/>
      <c r="C34" s="1314" t="s">
        <v>950</v>
      </c>
      <c r="D34" s="1290" t="s">
        <v>933</v>
      </c>
      <c r="E34" s="1291" t="s">
        <v>933</v>
      </c>
      <c r="F34" s="1292" t="s">
        <v>933</v>
      </c>
      <c r="G34" s="1291" t="s">
        <v>933</v>
      </c>
      <c r="H34" s="1292" t="s">
        <v>933</v>
      </c>
      <c r="I34" s="1292" t="s">
        <v>933</v>
      </c>
      <c r="J34" s="1293" t="s">
        <v>933</v>
      </c>
      <c r="K34" s="1326" t="e">
        <f t="shared" si="0"/>
        <v>#VALUE!</v>
      </c>
    </row>
    <row r="35" spans="2:13">
      <c r="B35" s="1322">
        <v>24</v>
      </c>
      <c r="C35" s="446" t="s">
        <v>951</v>
      </c>
      <c r="D35" s="1290">
        <v>31.9</v>
      </c>
      <c r="E35" s="1291">
        <v>25.9</v>
      </c>
      <c r="F35" s="1292">
        <v>17.100000000000001</v>
      </c>
      <c r="G35" s="1291">
        <v>9.6999999999999993</v>
      </c>
      <c r="H35" s="1292">
        <v>4.8</v>
      </c>
      <c r="I35" s="1292">
        <v>3</v>
      </c>
      <c r="J35" s="1293">
        <v>6.8</v>
      </c>
      <c r="K35" s="1326">
        <f t="shared" si="0"/>
        <v>10.6</v>
      </c>
      <c r="L35" s="1328">
        <f>SUM(J35:J38)</f>
        <v>335.5</v>
      </c>
    </row>
    <row r="36" spans="2:13">
      <c r="B36" s="1322">
        <v>25</v>
      </c>
      <c r="C36" s="1315" t="s">
        <v>952</v>
      </c>
      <c r="D36" s="1286">
        <v>81.099999999999994</v>
      </c>
      <c r="E36" s="1287">
        <v>100.1</v>
      </c>
      <c r="F36" s="1288">
        <v>112.1</v>
      </c>
      <c r="G36" s="1287">
        <v>105.8</v>
      </c>
      <c r="H36" s="1288">
        <v>106.9</v>
      </c>
      <c r="I36" s="1288">
        <v>100.9</v>
      </c>
      <c r="J36" s="1289">
        <v>84.3</v>
      </c>
      <c r="K36" s="1326">
        <f t="shared" si="0"/>
        <v>67.699999999999989</v>
      </c>
    </row>
    <row r="37" spans="2:13">
      <c r="B37" s="1322">
        <v>26</v>
      </c>
      <c r="C37" s="1316" t="s">
        <v>953</v>
      </c>
      <c r="D37" s="1290">
        <v>95.4</v>
      </c>
      <c r="E37" s="1291">
        <v>97</v>
      </c>
      <c r="F37" s="1292">
        <v>93.4</v>
      </c>
      <c r="G37" s="1291">
        <v>90.9</v>
      </c>
      <c r="H37" s="1292">
        <v>81.3</v>
      </c>
      <c r="I37" s="1292">
        <v>74.099999999999994</v>
      </c>
      <c r="J37" s="1293">
        <v>65.400000000000006</v>
      </c>
      <c r="K37" s="1326">
        <f t="shared" si="0"/>
        <v>56.700000000000017</v>
      </c>
    </row>
    <row r="38" spans="2:13">
      <c r="B38" s="1322">
        <v>27</v>
      </c>
      <c r="C38" s="1315" t="s">
        <v>954</v>
      </c>
      <c r="D38" s="1286">
        <v>297.8</v>
      </c>
      <c r="E38" s="1287">
        <v>273.7</v>
      </c>
      <c r="F38" s="1288">
        <v>289.3</v>
      </c>
      <c r="G38" s="1287">
        <v>258.2</v>
      </c>
      <c r="H38" s="1288">
        <v>247.2</v>
      </c>
      <c r="I38" s="1288">
        <v>206.3</v>
      </c>
      <c r="J38" s="1289">
        <v>179</v>
      </c>
      <c r="K38" s="1326">
        <f t="shared" si="0"/>
        <v>151.69999999999999</v>
      </c>
    </row>
    <row r="39" spans="2:13">
      <c r="B39" s="1322">
        <v>28</v>
      </c>
      <c r="C39" s="569" t="s">
        <v>955</v>
      </c>
      <c r="D39" s="1290">
        <v>151.30000000000001</v>
      </c>
      <c r="E39" s="1291">
        <v>152.4</v>
      </c>
      <c r="F39" s="1292">
        <v>153.6</v>
      </c>
      <c r="G39" s="1291">
        <v>155</v>
      </c>
      <c r="H39" s="1292">
        <v>156.5</v>
      </c>
      <c r="I39" s="1292">
        <v>158</v>
      </c>
      <c r="J39" s="1293">
        <v>160.30000000000001</v>
      </c>
      <c r="K39" s="1326">
        <f t="shared" si="0"/>
        <v>162.60000000000002</v>
      </c>
    </row>
    <row r="40" spans="2:13">
      <c r="B40" s="1322">
        <v>29</v>
      </c>
      <c r="C40" s="1311" t="s">
        <v>956</v>
      </c>
      <c r="D40" s="1286">
        <v>2317</v>
      </c>
      <c r="E40" s="1287">
        <v>735.2</v>
      </c>
      <c r="F40" s="1288">
        <v>4706</v>
      </c>
      <c r="G40" s="1287">
        <v>1344</v>
      </c>
      <c r="H40" s="1288">
        <v>801.7</v>
      </c>
      <c r="I40" s="1288">
        <v>735.6</v>
      </c>
      <c r="J40" s="1289">
        <v>907.1</v>
      </c>
      <c r="K40" s="1326">
        <f t="shared" si="0"/>
        <v>1078.5999999999999</v>
      </c>
    </row>
    <row r="41" spans="2:13">
      <c r="B41" s="1322"/>
      <c r="C41" s="1314" t="s">
        <v>957</v>
      </c>
      <c r="D41" s="1290" t="s">
        <v>933</v>
      </c>
      <c r="E41" s="1291" t="s">
        <v>933</v>
      </c>
      <c r="F41" s="1292" t="s">
        <v>933</v>
      </c>
      <c r="G41" s="1291" t="s">
        <v>933</v>
      </c>
      <c r="H41" s="1292" t="s">
        <v>933</v>
      </c>
      <c r="I41" s="1292" t="s">
        <v>933</v>
      </c>
      <c r="J41" s="1293" t="s">
        <v>933</v>
      </c>
      <c r="K41" s="1326" t="e">
        <f t="shared" si="0"/>
        <v>#VALUE!</v>
      </c>
    </row>
    <row r="42" spans="2:13" ht="17">
      <c r="B42" s="1322">
        <v>30</v>
      </c>
      <c r="C42" s="446" t="s">
        <v>1218</v>
      </c>
      <c r="D42" s="1297">
        <v>34.4</v>
      </c>
      <c r="E42" s="1292">
        <v>34.4</v>
      </c>
      <c r="F42" s="1291">
        <v>34.4</v>
      </c>
      <c r="G42" s="1292">
        <v>34.4</v>
      </c>
      <c r="H42" s="1291">
        <v>34.4</v>
      </c>
      <c r="I42" s="1292">
        <v>34.4</v>
      </c>
      <c r="J42" s="449">
        <v>211.9</v>
      </c>
      <c r="K42" s="1326">
        <f t="shared" si="0"/>
        <v>389.4</v>
      </c>
    </row>
    <row r="43" spans="2:13" ht="17">
      <c r="B43" s="1322">
        <v>31</v>
      </c>
      <c r="C43" s="1317" t="s">
        <v>1219</v>
      </c>
      <c r="D43" s="1286">
        <v>1660.9</v>
      </c>
      <c r="E43" s="1287">
        <v>95.9</v>
      </c>
      <c r="F43" s="1288">
        <v>4044.2</v>
      </c>
      <c r="G43" s="1287">
        <v>688</v>
      </c>
      <c r="H43" s="1288">
        <v>128.6</v>
      </c>
      <c r="I43" s="1288">
        <v>53.8</v>
      </c>
      <c r="J43" s="1289">
        <v>45.7</v>
      </c>
      <c r="K43" s="1326">
        <f t="shared" si="0"/>
        <v>37.600000000000009</v>
      </c>
    </row>
    <row r="44" spans="2:13" ht="17">
      <c r="B44" s="1322">
        <v>32</v>
      </c>
      <c r="C44" s="446" t="s">
        <v>1220</v>
      </c>
      <c r="D44" s="1290">
        <v>2.1</v>
      </c>
      <c r="E44" s="1291">
        <v>0.7</v>
      </c>
      <c r="F44" s="1292">
        <v>2.1</v>
      </c>
      <c r="G44" s="1291">
        <v>0.8</v>
      </c>
      <c r="H44" s="1292">
        <v>0.5</v>
      </c>
      <c r="I44" s="1292">
        <v>0.5</v>
      </c>
      <c r="J44" s="1293">
        <v>0.2</v>
      </c>
      <c r="K44" s="1326">
        <f t="shared" si="0"/>
        <v>-9.9999999999999978E-2</v>
      </c>
    </row>
    <row r="45" spans="2:13" ht="17">
      <c r="B45" s="1322">
        <v>33</v>
      </c>
      <c r="C45" s="1311" t="s">
        <v>958</v>
      </c>
      <c r="D45" s="1286">
        <v>4.2</v>
      </c>
      <c r="E45" s="1287">
        <v>11</v>
      </c>
      <c r="F45" s="1288">
        <v>17.3</v>
      </c>
      <c r="G45" s="1287">
        <v>22.8</v>
      </c>
      <c r="H45" s="1288">
        <v>25.7</v>
      </c>
      <c r="I45" s="1288">
        <v>25.7</v>
      </c>
      <c r="J45" s="1289">
        <v>21.7</v>
      </c>
      <c r="K45" s="1326">
        <f t="shared" si="0"/>
        <v>17.7</v>
      </c>
    </row>
    <row r="46" spans="2:13" ht="17">
      <c r="B46" s="1322">
        <v>34</v>
      </c>
      <c r="C46" s="569" t="s">
        <v>1221</v>
      </c>
      <c r="D46" s="1290">
        <v>56.9</v>
      </c>
      <c r="E46" s="1291">
        <v>28.1</v>
      </c>
      <c r="F46" s="1292">
        <v>43.4</v>
      </c>
      <c r="G46" s="1291">
        <v>27.6</v>
      </c>
      <c r="H46" s="1292">
        <v>28.4</v>
      </c>
      <c r="I46" s="1292">
        <v>23.9</v>
      </c>
      <c r="J46" s="1293">
        <v>36.1</v>
      </c>
      <c r="K46" s="1326">
        <f t="shared" si="0"/>
        <v>48.300000000000004</v>
      </c>
    </row>
    <row r="47" spans="2:13">
      <c r="B47" s="1324">
        <v>35</v>
      </c>
      <c r="C47" s="1311" t="s">
        <v>959</v>
      </c>
      <c r="D47" s="1286">
        <v>61.4</v>
      </c>
      <c r="E47" s="1287">
        <v>62</v>
      </c>
      <c r="F47" s="1288">
        <v>62.6</v>
      </c>
      <c r="G47" s="1287">
        <v>62.1</v>
      </c>
      <c r="H47" s="1288">
        <v>62.8</v>
      </c>
      <c r="I47" s="1288">
        <v>88.9</v>
      </c>
      <c r="J47" s="1289">
        <v>73.599999999999994</v>
      </c>
      <c r="K47" s="1326">
        <f t="shared" si="0"/>
        <v>58.299999999999983</v>
      </c>
    </row>
    <row r="48" spans="2:13">
      <c r="B48" s="1323">
        <v>36</v>
      </c>
      <c r="C48" s="1310" t="s">
        <v>960</v>
      </c>
      <c r="D48" s="1282">
        <v>1534.7</v>
      </c>
      <c r="E48" s="1283">
        <v>1529.1</v>
      </c>
      <c r="F48" s="1284">
        <v>1537.7</v>
      </c>
      <c r="G48" s="1283">
        <v>1548.9</v>
      </c>
      <c r="H48" s="1284">
        <v>1558.1</v>
      </c>
      <c r="I48" s="1284">
        <v>1568.7</v>
      </c>
      <c r="J48" s="1285">
        <v>1581.1</v>
      </c>
      <c r="K48" s="1326">
        <f t="shared" si="0"/>
        <v>1593.4999999999998</v>
      </c>
    </row>
    <row r="49" spans="2:16">
      <c r="B49" s="1323">
        <v>37</v>
      </c>
      <c r="C49" s="1312" t="s">
        <v>961</v>
      </c>
      <c r="D49" s="1294">
        <v>2384.1999999999998</v>
      </c>
      <c r="E49" s="1279">
        <v>2408.5</v>
      </c>
      <c r="F49" s="1295">
        <v>2443.6</v>
      </c>
      <c r="G49" s="1279">
        <v>2505.8000000000002</v>
      </c>
      <c r="H49" s="1295">
        <v>2553.6999999999998</v>
      </c>
      <c r="I49" s="1295">
        <v>2591.8000000000002</v>
      </c>
      <c r="J49" s="1296">
        <v>2619.6</v>
      </c>
      <c r="K49" s="1326">
        <f t="shared" si="0"/>
        <v>2647.3999999999996</v>
      </c>
    </row>
    <row r="50" spans="2:16">
      <c r="B50" s="1323">
        <v>38</v>
      </c>
      <c r="C50" s="1310" t="s">
        <v>962</v>
      </c>
      <c r="D50" s="1282">
        <v>19120.3</v>
      </c>
      <c r="E50" s="1283">
        <v>17546.599999999999</v>
      </c>
      <c r="F50" s="1284">
        <v>21698.9</v>
      </c>
      <c r="G50" s="1283">
        <v>18342.5</v>
      </c>
      <c r="H50" s="1284">
        <v>17850.900000000001</v>
      </c>
      <c r="I50" s="1284">
        <v>17850</v>
      </c>
      <c r="J50" s="1285">
        <v>18048.099999999999</v>
      </c>
      <c r="K50" s="1326">
        <f t="shared" si="0"/>
        <v>18246.199999999997</v>
      </c>
    </row>
    <row r="51" spans="2:16">
      <c r="B51" s="1323">
        <v>39</v>
      </c>
      <c r="C51" s="1312" t="s">
        <v>963</v>
      </c>
      <c r="D51" s="1294">
        <v>15321.7</v>
      </c>
      <c r="E51" s="1279">
        <v>15169.7</v>
      </c>
      <c r="F51" s="1295">
        <v>15935.3</v>
      </c>
      <c r="G51" s="1279">
        <v>16095.5</v>
      </c>
      <c r="H51" s="1295">
        <v>16107.6</v>
      </c>
      <c r="I51" s="1295">
        <v>16278.2</v>
      </c>
      <c r="J51" s="1296">
        <v>16323.7</v>
      </c>
      <c r="K51" s="1326">
        <f t="shared" si="0"/>
        <v>16369.2</v>
      </c>
    </row>
    <row r="52" spans="2:16">
      <c r="B52" s="1322">
        <v>40</v>
      </c>
      <c r="C52" s="569" t="s">
        <v>964</v>
      </c>
      <c r="D52" s="1290">
        <v>14857.9</v>
      </c>
      <c r="E52" s="1291">
        <v>14699.6</v>
      </c>
      <c r="F52" s="1292">
        <v>15458.9</v>
      </c>
      <c r="G52" s="1291">
        <v>15614.6</v>
      </c>
      <c r="H52" s="1292">
        <v>15623.1</v>
      </c>
      <c r="I52" s="1292">
        <v>15790</v>
      </c>
      <c r="J52" s="1293">
        <v>15832.3</v>
      </c>
      <c r="K52" s="1326">
        <f t="shared" si="0"/>
        <v>15874.599999999999</v>
      </c>
    </row>
    <row r="53" spans="2:16">
      <c r="B53" s="1322"/>
      <c r="C53" s="1311" t="s">
        <v>965</v>
      </c>
      <c r="D53" s="1286">
        <v>249.2</v>
      </c>
      <c r="E53" s="1287">
        <v>255.3</v>
      </c>
      <c r="F53" s="1288">
        <v>261.5</v>
      </c>
      <c r="G53" s="1287">
        <v>264.8</v>
      </c>
      <c r="H53" s="1288">
        <v>268.2</v>
      </c>
      <c r="I53" s="1288">
        <v>271.60000000000002</v>
      </c>
      <c r="J53" s="1289">
        <v>274.5</v>
      </c>
      <c r="K53" s="1326">
        <f t="shared" si="0"/>
        <v>277.39999999999998</v>
      </c>
    </row>
    <row r="54" spans="2:16">
      <c r="B54" s="1322">
        <v>41</v>
      </c>
      <c r="C54" s="1318" t="s">
        <v>966</v>
      </c>
      <c r="D54" s="1290" t="s">
        <v>933</v>
      </c>
      <c r="E54" s="1291" t="s">
        <v>933</v>
      </c>
      <c r="F54" s="1292" t="s">
        <v>933</v>
      </c>
      <c r="G54" s="1291" t="s">
        <v>933</v>
      </c>
      <c r="H54" s="1292" t="s">
        <v>933</v>
      </c>
      <c r="I54" s="1292" t="s">
        <v>933</v>
      </c>
      <c r="J54" s="1293" t="s">
        <v>933</v>
      </c>
      <c r="K54" s="1326" t="e">
        <f t="shared" si="0"/>
        <v>#VALUE!</v>
      </c>
    </row>
    <row r="55" spans="2:16" ht="17">
      <c r="B55" s="1322">
        <v>42</v>
      </c>
      <c r="C55" s="1319" t="s">
        <v>1222</v>
      </c>
      <c r="D55" s="1290">
        <v>-37.799999999999997</v>
      </c>
      <c r="E55" s="1291">
        <v>-37.799999999999997</v>
      </c>
      <c r="F55" s="1292">
        <v>-37.799999999999997</v>
      </c>
      <c r="G55" s="1291">
        <v>-37.799999999999997</v>
      </c>
      <c r="H55" s="1292">
        <v>-37.799999999999997</v>
      </c>
      <c r="I55" s="1292">
        <v>-37.799999999999997</v>
      </c>
      <c r="J55" s="1293">
        <v>-37.799999999999997</v>
      </c>
      <c r="K55" s="1326">
        <f t="shared" si="0"/>
        <v>-37.799999999999997</v>
      </c>
    </row>
    <row r="56" spans="2:16">
      <c r="B56" s="1322">
        <v>43</v>
      </c>
      <c r="C56" s="1311" t="s">
        <v>967</v>
      </c>
      <c r="D56" s="1286">
        <v>214.7</v>
      </c>
      <c r="E56" s="1287">
        <v>214.8</v>
      </c>
      <c r="F56" s="1288">
        <v>215</v>
      </c>
      <c r="G56" s="1287">
        <v>216.1</v>
      </c>
      <c r="H56" s="1288">
        <v>216.4</v>
      </c>
      <c r="I56" s="1288">
        <v>216.7</v>
      </c>
      <c r="J56" s="1289">
        <v>216.9</v>
      </c>
      <c r="K56" s="1326">
        <f t="shared" si="0"/>
        <v>217.10000000000002</v>
      </c>
    </row>
    <row r="57" spans="2:16">
      <c r="B57" s="1322">
        <v>44</v>
      </c>
      <c r="C57" s="569" t="s">
        <v>968</v>
      </c>
      <c r="D57" s="1290">
        <v>115.2</v>
      </c>
      <c r="E57" s="1291">
        <v>115.3</v>
      </c>
      <c r="F57" s="1292">
        <v>115.5</v>
      </c>
      <c r="G57" s="1291">
        <v>115.7</v>
      </c>
      <c r="H57" s="1292">
        <v>116</v>
      </c>
      <c r="I57" s="1292">
        <v>116.3</v>
      </c>
      <c r="J57" s="1293">
        <v>116.5</v>
      </c>
      <c r="K57" s="1326">
        <f t="shared" si="0"/>
        <v>116.7</v>
      </c>
    </row>
    <row r="58" spans="2:16">
      <c r="B58" s="1324">
        <v>45</v>
      </c>
      <c r="C58" s="1311" t="s">
        <v>969</v>
      </c>
      <c r="D58" s="1286">
        <v>99.5</v>
      </c>
      <c r="E58" s="1287">
        <v>99.5</v>
      </c>
      <c r="F58" s="1288">
        <v>99.5</v>
      </c>
      <c r="G58" s="1287">
        <v>100.4</v>
      </c>
      <c r="H58" s="1288">
        <v>100.4</v>
      </c>
      <c r="I58" s="1288">
        <v>100.4</v>
      </c>
      <c r="J58" s="1289">
        <v>100.4</v>
      </c>
      <c r="K58" s="1326">
        <f t="shared" si="0"/>
        <v>100.4</v>
      </c>
    </row>
    <row r="59" spans="2:16" ht="16" thickBot="1">
      <c r="B59" s="1325">
        <v>46</v>
      </c>
      <c r="C59" s="1320" t="s">
        <v>970</v>
      </c>
      <c r="D59" s="1298">
        <v>3798.6</v>
      </c>
      <c r="E59" s="1299">
        <v>2376.9</v>
      </c>
      <c r="F59" s="1300">
        <v>5763.5</v>
      </c>
      <c r="G59" s="1299">
        <v>2247</v>
      </c>
      <c r="H59" s="1300">
        <v>1743.2</v>
      </c>
      <c r="I59" s="1300">
        <v>1571.8</v>
      </c>
      <c r="J59" s="1301">
        <v>1724.4</v>
      </c>
      <c r="K59" s="1326">
        <f t="shared" si="0"/>
        <v>1877.0000000000002</v>
      </c>
    </row>
    <row r="60" spans="2:16">
      <c r="B60" s="1302" t="s">
        <v>971</v>
      </c>
      <c r="C60" s="1303" t="s">
        <v>972</v>
      </c>
      <c r="D60" s="1302"/>
      <c r="E60" s="1302"/>
      <c r="F60" s="1302"/>
      <c r="G60" s="1302"/>
      <c r="H60" s="1302"/>
      <c r="I60" s="1302"/>
      <c r="J60" s="1302"/>
      <c r="K60" s="1302"/>
      <c r="L60" s="1302"/>
      <c r="M60" s="1302"/>
      <c r="N60" s="1302"/>
      <c r="O60" s="1302"/>
      <c r="P60" s="1302"/>
    </row>
    <row r="61" spans="2:16">
      <c r="B61" s="1302" t="s">
        <v>973</v>
      </c>
      <c r="C61" s="1304" t="s">
        <v>974</v>
      </c>
      <c r="D61" s="1302"/>
      <c r="E61" s="1302"/>
      <c r="F61" s="1302"/>
      <c r="G61" s="1302"/>
      <c r="H61" s="1302"/>
      <c r="I61" s="1302"/>
      <c r="J61" s="1302"/>
      <c r="K61" s="1302"/>
      <c r="L61" s="1302"/>
      <c r="M61" s="1302"/>
      <c r="N61" s="1302"/>
      <c r="O61" s="1302"/>
      <c r="P61" s="1302"/>
    </row>
    <row r="62" spans="2:16">
      <c r="B62" s="1302" t="s">
        <v>975</v>
      </c>
      <c r="C62" s="1304" t="s">
        <v>976</v>
      </c>
      <c r="D62" s="1302"/>
      <c r="E62" s="1302"/>
      <c r="F62" s="1302"/>
      <c r="G62" s="1302"/>
      <c r="H62" s="1302"/>
      <c r="I62" s="1302"/>
      <c r="J62" s="1302"/>
      <c r="K62" s="1302"/>
      <c r="L62" s="1302"/>
      <c r="M62" s="1302"/>
      <c r="N62" s="1302"/>
      <c r="O62" s="1302"/>
      <c r="P62" s="1302"/>
    </row>
    <row r="63" spans="2:16">
      <c r="B63" s="1302" t="s">
        <v>977</v>
      </c>
      <c r="C63" s="1304" t="s">
        <v>978</v>
      </c>
      <c r="D63" s="1302"/>
      <c r="E63" s="1302"/>
      <c r="F63" s="1302"/>
      <c r="G63" s="1302"/>
      <c r="H63" s="1302"/>
      <c r="I63" s="1302"/>
      <c r="J63" s="1302"/>
      <c r="K63" s="1302"/>
      <c r="L63" s="1302"/>
      <c r="M63" s="1302"/>
      <c r="N63" s="1302"/>
      <c r="O63" s="1302"/>
      <c r="P63" s="1302"/>
    </row>
    <row r="65" spans="2:16">
      <c r="B65" s="1348" t="s">
        <v>1223</v>
      </c>
      <c r="C65" s="1348"/>
      <c r="D65" s="1348"/>
      <c r="E65" s="1348"/>
      <c r="F65" s="1348"/>
      <c r="G65" s="1348"/>
      <c r="H65" s="1348"/>
      <c r="I65" s="1348"/>
      <c r="J65" s="1348"/>
      <c r="K65" s="1348"/>
      <c r="L65" s="1348"/>
      <c r="M65" s="1348"/>
      <c r="N65" s="1348"/>
      <c r="O65" s="1348"/>
      <c r="P65" s="1348"/>
    </row>
    <row r="66" spans="2:16">
      <c r="B66" s="1349" t="s">
        <v>1224</v>
      </c>
      <c r="C66" s="1349"/>
      <c r="D66" s="1349"/>
      <c r="E66" s="1349"/>
      <c r="F66" s="1349"/>
      <c r="G66" s="1349"/>
      <c r="H66" s="1349"/>
      <c r="I66" s="1349"/>
      <c r="J66" s="1349"/>
      <c r="K66" s="1349"/>
      <c r="L66" s="1349"/>
      <c r="M66" s="1349"/>
      <c r="N66" s="1349"/>
      <c r="O66" s="1349"/>
      <c r="P66" s="1349"/>
    </row>
    <row r="67" spans="2:16">
      <c r="B67" s="1350" t="s">
        <v>1225</v>
      </c>
      <c r="C67" s="1350"/>
      <c r="D67" s="1350"/>
      <c r="E67" s="1350"/>
      <c r="F67" s="1350"/>
      <c r="G67" s="1350"/>
      <c r="H67" s="1350"/>
      <c r="I67" s="1350"/>
      <c r="J67" s="1350"/>
      <c r="K67" s="1350"/>
      <c r="L67" s="1350"/>
      <c r="M67" s="1350"/>
      <c r="N67" s="1350"/>
      <c r="O67" s="1350"/>
      <c r="P67" s="1350"/>
    </row>
    <row r="68" spans="2:16">
      <c r="B68" s="1351" t="s">
        <v>1226</v>
      </c>
      <c r="C68" s="1351"/>
      <c r="D68" s="1351"/>
      <c r="E68" s="1351"/>
      <c r="F68" s="1351"/>
      <c r="G68" s="1351"/>
      <c r="H68" s="1351"/>
      <c r="I68" s="1351"/>
      <c r="J68" s="1351"/>
      <c r="K68" s="1351"/>
      <c r="L68" s="1351"/>
      <c r="M68" s="1351"/>
      <c r="N68" s="1351"/>
      <c r="O68" s="1351"/>
      <c r="P68" s="1351"/>
    </row>
    <row r="69" spans="2:16">
      <c r="B69" s="1352" t="s">
        <v>1227</v>
      </c>
      <c r="C69" s="1352"/>
      <c r="D69" s="1352"/>
      <c r="E69" s="1352"/>
      <c r="F69" s="1352"/>
      <c r="G69" s="1352"/>
      <c r="H69" s="1352"/>
      <c r="I69" s="1352"/>
      <c r="J69" s="1352"/>
      <c r="K69" s="1352"/>
      <c r="L69" s="1352"/>
      <c r="M69" s="1352"/>
      <c r="N69" s="1352"/>
      <c r="O69" s="1352"/>
      <c r="P69" s="1352"/>
    </row>
    <row r="70" spans="2:16">
      <c r="B70" s="1358" t="s">
        <v>1228</v>
      </c>
      <c r="C70" s="1358"/>
      <c r="D70" s="1358"/>
      <c r="E70" s="1358"/>
      <c r="F70" s="1358"/>
      <c r="G70" s="1358"/>
      <c r="H70" s="1358"/>
      <c r="I70" s="1358"/>
      <c r="J70" s="1358"/>
      <c r="K70" s="1358"/>
      <c r="L70" s="1358"/>
      <c r="M70" s="1358"/>
      <c r="N70" s="1358"/>
      <c r="O70" s="1358"/>
      <c r="P70" s="1358"/>
    </row>
    <row r="71" spans="2:16">
      <c r="B71" s="1350" t="s">
        <v>1229</v>
      </c>
      <c r="C71" s="1350"/>
      <c r="D71" s="1350"/>
      <c r="E71" s="1350"/>
      <c r="F71" s="1350"/>
      <c r="G71" s="1350"/>
      <c r="H71" s="1350"/>
      <c r="I71" s="1350"/>
      <c r="J71" s="1350"/>
      <c r="K71" s="1350"/>
      <c r="L71" s="1350"/>
      <c r="M71" s="1350"/>
      <c r="N71" s="1350"/>
      <c r="O71" s="1350"/>
      <c r="P71" s="1350"/>
    </row>
    <row r="72" spans="2:16">
      <c r="B72" s="1350" t="s">
        <v>1230</v>
      </c>
      <c r="C72" s="1350"/>
      <c r="D72" s="1350"/>
      <c r="E72" s="1350"/>
      <c r="F72" s="1350"/>
      <c r="G72" s="1350"/>
      <c r="H72" s="1350"/>
      <c r="I72" s="1350"/>
      <c r="J72" s="1350"/>
      <c r="K72" s="1350"/>
      <c r="L72" s="1350"/>
      <c r="M72" s="1350"/>
      <c r="N72" s="1350"/>
      <c r="O72" s="1350"/>
      <c r="P72" s="1350"/>
    </row>
    <row r="73" spans="2:16">
      <c r="B73" s="1358" t="s">
        <v>1231</v>
      </c>
      <c r="C73" s="1358"/>
      <c r="D73" s="1358"/>
      <c r="E73" s="1358"/>
      <c r="F73" s="1358"/>
      <c r="G73" s="1358"/>
      <c r="H73" s="1358"/>
      <c r="I73" s="1358"/>
      <c r="J73" s="1358"/>
      <c r="K73" s="1358"/>
      <c r="L73" s="1358"/>
      <c r="M73" s="1358"/>
      <c r="N73" s="1358"/>
      <c r="O73" s="1358"/>
      <c r="P73" s="1358"/>
    </row>
    <row r="74" spans="2:16">
      <c r="B74" s="711"/>
    </row>
    <row r="75" spans="2:16">
      <c r="B75" s="1359" t="s">
        <v>1232</v>
      </c>
      <c r="C75" s="1359"/>
      <c r="D75" s="1359"/>
      <c r="E75" s="1359"/>
      <c r="F75" s="1359"/>
      <c r="G75" s="1359"/>
      <c r="H75" s="1359"/>
      <c r="I75" s="1359"/>
      <c r="J75" s="1359"/>
      <c r="K75" s="1359"/>
      <c r="L75" s="1359"/>
      <c r="M75" s="1359"/>
      <c r="N75" s="1359"/>
      <c r="O75" s="1359"/>
      <c r="P75" s="1359"/>
    </row>
    <row r="76" spans="2:16">
      <c r="B76" s="638"/>
    </row>
    <row r="77" spans="2:16">
      <c r="B77" s="1302" t="s">
        <v>982</v>
      </c>
      <c r="C77" s="1302"/>
      <c r="D77" s="1302"/>
      <c r="E77" s="1302"/>
      <c r="F77" s="1302"/>
      <c r="G77" s="1302"/>
      <c r="H77" s="1302"/>
      <c r="I77" s="1302"/>
      <c r="J77" s="1302"/>
      <c r="K77" s="1302"/>
      <c r="L77" s="1302"/>
      <c r="M77" s="1302"/>
      <c r="N77" s="1302"/>
      <c r="O77" s="1302"/>
      <c r="P77" s="1302"/>
    </row>
    <row r="78" spans="2:16">
      <c r="B78" s="1302"/>
      <c r="C78" s="1302"/>
      <c r="D78" s="1302"/>
      <c r="E78" s="1302"/>
      <c r="F78" s="1302"/>
      <c r="G78" s="1302"/>
      <c r="H78" s="1302"/>
      <c r="I78" s="1302"/>
      <c r="J78" s="1302"/>
      <c r="K78" s="1302"/>
      <c r="L78" s="1302"/>
      <c r="M78" s="1302"/>
      <c r="N78" s="1302"/>
      <c r="O78" s="1302"/>
      <c r="P78" s="1302"/>
    </row>
    <row r="79" spans="2:16">
      <c r="B79" s="1302" t="s">
        <v>983</v>
      </c>
      <c r="C79" s="1302"/>
      <c r="D79" s="1302"/>
      <c r="E79" s="1302"/>
      <c r="F79" s="1302"/>
      <c r="G79" s="1302"/>
      <c r="H79" s="1302"/>
      <c r="I79" s="1302"/>
      <c r="J79" s="1302"/>
      <c r="K79" s="1302"/>
      <c r="L79" s="1302"/>
      <c r="M79" s="1302"/>
      <c r="N79" s="1302"/>
      <c r="O79" s="1302"/>
      <c r="P79" s="1302"/>
    </row>
    <row r="80" spans="2:16">
      <c r="B80" s="711"/>
    </row>
    <row r="81" spans="2:2">
      <c r="B81" s="1305"/>
    </row>
    <row r="83" spans="2:2">
      <c r="B83" s="299" t="s">
        <v>979</v>
      </c>
    </row>
    <row r="84" spans="2:2">
      <c r="B84" s="299" t="s">
        <v>980</v>
      </c>
    </row>
    <row r="85" spans="2:2">
      <c r="B85" s="637" t="s">
        <v>981</v>
      </c>
    </row>
    <row r="87" spans="2:2" ht="13.75" customHeight="1">
      <c r="B87" s="299" t="s">
        <v>982</v>
      </c>
    </row>
    <row r="88" spans="2:2" ht="6" customHeight="1"/>
    <row r="89" spans="2:2">
      <c r="B89" s="299" t="s">
        <v>983</v>
      </c>
    </row>
    <row r="91" spans="2:2">
      <c r="B91" s="712"/>
    </row>
    <row r="92" spans="2:2">
      <c r="B92" s="712"/>
    </row>
    <row r="93" spans="2:2">
      <c r="B93" s="712"/>
    </row>
    <row r="98" spans="2:16" s="581" customFormat="1"/>
    <row r="99" spans="2:16" s="581" customFormat="1">
      <c r="B99" s="717"/>
      <c r="C99" s="717"/>
      <c r="D99" s="717"/>
      <c r="E99" s="717"/>
      <c r="F99" s="717"/>
      <c r="G99" s="717"/>
      <c r="H99" s="717"/>
      <c r="I99" s="717"/>
      <c r="J99" s="717"/>
      <c r="K99" s="718"/>
      <c r="L99" s="718"/>
      <c r="M99" s="718"/>
      <c r="N99" s="718"/>
      <c r="O99" s="718"/>
      <c r="P99" s="718"/>
    </row>
    <row r="100" spans="2:16" s="581" customFormat="1">
      <c r="B100" s="1355"/>
      <c r="C100" s="1355"/>
      <c r="D100" s="1355"/>
      <c r="E100" s="1355"/>
      <c r="F100" s="1355"/>
      <c r="G100" s="1355"/>
      <c r="H100" s="1355"/>
      <c r="I100" s="1355"/>
      <c r="J100" s="1355"/>
      <c r="K100" s="1355"/>
      <c r="L100" s="1355"/>
      <c r="M100" s="1355"/>
      <c r="N100" s="1355"/>
      <c r="O100" s="1355"/>
      <c r="P100" s="1355"/>
    </row>
    <row r="101" spans="2:16" s="581" customFormat="1">
      <c r="B101" s="1355"/>
      <c r="C101" s="1355"/>
      <c r="D101" s="1355"/>
      <c r="E101" s="1355"/>
      <c r="F101" s="1355"/>
      <c r="G101" s="1355"/>
      <c r="H101" s="1355"/>
      <c r="I101" s="1355"/>
      <c r="J101" s="1355"/>
      <c r="K101" s="1355"/>
      <c r="L101" s="1355"/>
      <c r="M101" s="1355"/>
      <c r="N101" s="1355"/>
      <c r="O101" s="1355"/>
      <c r="P101" s="1355"/>
    </row>
    <row r="102" spans="2:16" s="581" customFormat="1">
      <c r="B102" s="1355"/>
      <c r="C102" s="1355"/>
      <c r="D102" s="1355"/>
      <c r="E102" s="1355"/>
      <c r="F102" s="1355"/>
      <c r="G102" s="1355"/>
      <c r="H102" s="1355"/>
      <c r="I102" s="1069"/>
      <c r="J102" s="719"/>
      <c r="K102" s="717"/>
      <c r="L102" s="717"/>
      <c r="M102" s="717"/>
      <c r="N102" s="717"/>
      <c r="O102" s="717"/>
      <c r="P102" s="717"/>
    </row>
    <row r="103" spans="2:16" s="581" customFormat="1">
      <c r="B103" s="720"/>
      <c r="C103" s="717"/>
      <c r="D103" s="1354"/>
      <c r="E103" s="1354"/>
      <c r="F103" s="1354"/>
      <c r="G103" s="1354"/>
      <c r="H103" s="1354"/>
      <c r="I103" s="1354"/>
      <c r="J103" s="1354"/>
    </row>
    <row r="104" spans="2:16" s="581" customFormat="1">
      <c r="B104" s="715"/>
      <c r="C104" s="717"/>
      <c r="D104" s="1354"/>
      <c r="E104" s="1354"/>
      <c r="F104" s="1354"/>
      <c r="G104" s="1354"/>
      <c r="H104" s="1354"/>
      <c r="I104" s="1354"/>
      <c r="J104" s="1354"/>
    </row>
    <row r="105" spans="2:16" s="581" customFormat="1">
      <c r="B105" s="717"/>
      <c r="C105" s="717"/>
      <c r="D105" s="715"/>
      <c r="E105" s="715"/>
      <c r="F105" s="715"/>
      <c r="G105" s="715"/>
      <c r="H105" s="715"/>
      <c r="I105" s="1068"/>
      <c r="J105" s="715"/>
    </row>
    <row r="106" spans="2:16" s="581" customFormat="1">
      <c r="B106" s="720"/>
      <c r="C106" s="721"/>
      <c r="D106" s="716"/>
      <c r="E106" s="716"/>
      <c r="F106" s="716"/>
      <c r="G106" s="716"/>
      <c r="H106" s="716"/>
      <c r="I106" s="716"/>
      <c r="J106" s="716"/>
    </row>
    <row r="107" spans="2:16" s="581" customFormat="1">
      <c r="B107" s="720"/>
      <c r="C107" s="721"/>
      <c r="D107" s="716"/>
      <c r="E107" s="716"/>
      <c r="F107" s="716"/>
      <c r="G107" s="716"/>
      <c r="H107" s="716"/>
      <c r="I107" s="716"/>
      <c r="J107" s="716"/>
    </row>
    <row r="108" spans="2:16" s="581" customFormat="1">
      <c r="B108" s="717"/>
      <c r="C108" s="717"/>
      <c r="D108" s="710"/>
      <c r="E108" s="710"/>
      <c r="F108" s="710"/>
      <c r="G108" s="710"/>
      <c r="H108" s="710"/>
      <c r="I108" s="710"/>
      <c r="J108" s="710"/>
    </row>
    <row r="109" spans="2:16" s="581" customFormat="1">
      <c r="B109" s="717"/>
      <c r="C109" s="717"/>
      <c r="D109" s="710"/>
      <c r="E109" s="710"/>
      <c r="F109" s="710"/>
      <c r="G109" s="710"/>
      <c r="H109" s="710"/>
      <c r="I109" s="710"/>
      <c r="J109" s="710"/>
    </row>
    <row r="110" spans="2:16" s="581" customFormat="1">
      <c r="B110" s="717"/>
      <c r="C110" s="717"/>
      <c r="D110" s="710"/>
      <c r="E110" s="710"/>
      <c r="F110" s="710"/>
      <c r="G110" s="710"/>
      <c r="H110" s="710"/>
      <c r="I110" s="710"/>
      <c r="J110" s="710"/>
    </row>
    <row r="111" spans="2:16" s="581" customFormat="1">
      <c r="B111" s="717"/>
      <c r="C111" s="717"/>
      <c r="D111" s="710"/>
      <c r="E111" s="710"/>
      <c r="F111" s="710"/>
      <c r="G111" s="710"/>
      <c r="H111" s="710"/>
      <c r="I111" s="710"/>
      <c r="J111" s="710"/>
    </row>
    <row r="112" spans="2:16" s="581" customFormat="1">
      <c r="B112" s="720"/>
      <c r="C112" s="721"/>
      <c r="D112" s="716"/>
      <c r="E112" s="716"/>
      <c r="F112" s="716"/>
      <c r="G112" s="716"/>
      <c r="H112" s="716"/>
      <c r="I112" s="716"/>
      <c r="J112" s="716"/>
    </row>
    <row r="113" spans="2:10" s="581" customFormat="1">
      <c r="B113" s="717"/>
      <c r="C113" s="717"/>
      <c r="D113" s="710"/>
      <c r="E113" s="710"/>
      <c r="F113" s="710"/>
      <c r="G113" s="710"/>
      <c r="H113" s="710"/>
      <c r="I113" s="710"/>
      <c r="J113" s="710"/>
    </row>
    <row r="114" spans="2:10" s="581" customFormat="1">
      <c r="B114" s="717"/>
      <c r="C114" s="722"/>
      <c r="D114" s="710"/>
      <c r="E114" s="710"/>
      <c r="F114" s="710"/>
      <c r="G114" s="710"/>
      <c r="H114" s="710"/>
      <c r="I114" s="710"/>
      <c r="J114" s="710"/>
    </row>
    <row r="115" spans="2:10" s="581" customFormat="1">
      <c r="B115" s="717"/>
      <c r="C115" s="717"/>
      <c r="D115" s="710"/>
      <c r="E115" s="710"/>
      <c r="F115" s="710"/>
      <c r="G115" s="710"/>
      <c r="H115" s="710"/>
      <c r="I115" s="710"/>
      <c r="J115" s="710"/>
    </row>
    <row r="116" spans="2:10" s="581" customFormat="1">
      <c r="B116" s="717"/>
      <c r="C116" s="717"/>
      <c r="D116" s="710"/>
      <c r="E116" s="710"/>
      <c r="F116" s="710"/>
      <c r="G116" s="710"/>
      <c r="H116" s="710"/>
      <c r="I116" s="710"/>
      <c r="J116" s="710"/>
    </row>
    <row r="117" spans="2:10" s="581" customFormat="1">
      <c r="B117" s="717"/>
      <c r="C117" s="717"/>
      <c r="D117" s="710"/>
      <c r="E117" s="710"/>
      <c r="F117" s="710"/>
      <c r="G117" s="710"/>
      <c r="H117" s="710"/>
      <c r="I117" s="710"/>
      <c r="J117" s="710"/>
    </row>
    <row r="118" spans="2:10" s="581" customFormat="1">
      <c r="B118" s="717"/>
      <c r="C118" s="722"/>
      <c r="D118" s="710"/>
      <c r="E118" s="710"/>
      <c r="F118" s="710"/>
      <c r="G118" s="710"/>
      <c r="H118" s="710"/>
      <c r="I118" s="710"/>
      <c r="J118" s="710"/>
    </row>
    <row r="119" spans="2:10" s="581" customFormat="1">
      <c r="B119" s="717"/>
      <c r="C119" s="717"/>
      <c r="D119" s="710"/>
      <c r="E119" s="710"/>
      <c r="F119" s="710"/>
      <c r="G119" s="710"/>
      <c r="H119" s="710"/>
      <c r="I119" s="710"/>
      <c r="J119" s="710"/>
    </row>
    <row r="120" spans="2:10" s="581" customFormat="1">
      <c r="B120" s="720"/>
      <c r="C120" s="721"/>
      <c r="D120" s="716"/>
      <c r="E120" s="716"/>
      <c r="F120" s="716"/>
      <c r="G120" s="716"/>
      <c r="H120" s="716"/>
      <c r="I120" s="716"/>
      <c r="J120" s="716"/>
    </row>
    <row r="121" spans="2:10" s="581" customFormat="1">
      <c r="B121" s="720"/>
      <c r="C121" s="721"/>
      <c r="D121" s="716"/>
      <c r="E121" s="716"/>
      <c r="F121" s="716"/>
      <c r="G121" s="716"/>
      <c r="H121" s="716"/>
      <c r="I121" s="716"/>
      <c r="J121" s="716"/>
    </row>
    <row r="122" spans="2:10" s="581" customFormat="1">
      <c r="B122" s="717"/>
      <c r="C122" s="717"/>
      <c r="D122" s="710"/>
      <c r="E122" s="710"/>
      <c r="F122" s="710"/>
      <c r="G122" s="710"/>
      <c r="H122" s="710"/>
      <c r="I122" s="710"/>
      <c r="J122" s="710"/>
    </row>
    <row r="123" spans="2:10" s="581" customFormat="1">
      <c r="B123" s="717"/>
      <c r="C123" s="717"/>
      <c r="D123" s="710"/>
      <c r="E123" s="710"/>
      <c r="F123" s="710"/>
      <c r="G123" s="710"/>
      <c r="H123" s="710"/>
      <c r="I123" s="710"/>
      <c r="J123" s="710"/>
    </row>
    <row r="124" spans="2:10" s="581" customFormat="1">
      <c r="B124" s="720"/>
      <c r="C124" s="721"/>
      <c r="D124" s="716"/>
      <c r="E124" s="716"/>
      <c r="F124" s="716"/>
      <c r="G124" s="716"/>
      <c r="H124" s="716"/>
      <c r="I124" s="716"/>
      <c r="J124" s="716"/>
    </row>
    <row r="125" spans="2:10" s="581" customFormat="1">
      <c r="B125" s="717"/>
      <c r="C125" s="717"/>
      <c r="D125" s="710"/>
      <c r="E125" s="710"/>
      <c r="F125" s="710"/>
      <c r="G125" s="710"/>
      <c r="H125" s="710"/>
      <c r="I125" s="710"/>
      <c r="J125" s="710"/>
    </row>
    <row r="126" spans="2:10" s="581" customFormat="1">
      <c r="B126" s="717"/>
      <c r="C126" s="717"/>
      <c r="D126" s="710"/>
      <c r="E126" s="710"/>
      <c r="F126" s="710"/>
      <c r="G126" s="710"/>
      <c r="H126" s="710"/>
      <c r="I126" s="710"/>
      <c r="J126" s="710"/>
    </row>
    <row r="127" spans="2:10" s="581" customFormat="1">
      <c r="B127" s="717"/>
      <c r="C127" s="717"/>
      <c r="D127" s="710"/>
      <c r="E127" s="710"/>
      <c r="F127" s="710"/>
      <c r="G127" s="710"/>
      <c r="H127" s="710"/>
      <c r="I127" s="710"/>
      <c r="J127" s="710"/>
    </row>
    <row r="128" spans="2:10" s="581" customFormat="1">
      <c r="B128" s="717"/>
      <c r="C128" s="722"/>
      <c r="D128" s="710"/>
      <c r="E128" s="710"/>
      <c r="F128" s="710"/>
      <c r="G128" s="710"/>
      <c r="H128" s="710"/>
      <c r="I128" s="710"/>
      <c r="J128" s="710"/>
    </row>
    <row r="129" spans="2:10" s="581" customFormat="1">
      <c r="B129" s="717"/>
      <c r="C129" s="717"/>
      <c r="D129" s="710"/>
      <c r="E129" s="710"/>
      <c r="F129" s="710"/>
      <c r="G129" s="710"/>
      <c r="H129" s="710"/>
      <c r="I129" s="710"/>
      <c r="J129" s="710"/>
    </row>
    <row r="130" spans="2:10" s="581" customFormat="1">
      <c r="B130" s="717"/>
      <c r="C130" s="717"/>
      <c r="D130" s="710"/>
      <c r="E130" s="710"/>
      <c r="F130" s="710"/>
      <c r="G130" s="710"/>
      <c r="H130" s="710"/>
      <c r="I130" s="710"/>
      <c r="J130" s="710"/>
    </row>
    <row r="131" spans="2:10" s="581" customFormat="1">
      <c r="B131" s="717"/>
      <c r="C131" s="717"/>
      <c r="D131" s="710"/>
      <c r="E131" s="710"/>
      <c r="F131" s="710"/>
      <c r="G131" s="710"/>
      <c r="H131" s="710"/>
      <c r="I131" s="710"/>
      <c r="J131" s="710"/>
    </row>
    <row r="132" spans="2:10" s="581" customFormat="1">
      <c r="B132" s="717"/>
      <c r="C132" s="723"/>
      <c r="D132" s="710"/>
      <c r="E132" s="710"/>
      <c r="F132" s="710"/>
      <c r="G132" s="710"/>
      <c r="H132" s="710"/>
      <c r="I132" s="710"/>
      <c r="J132" s="710"/>
    </row>
    <row r="133" spans="2:10" s="581" customFormat="1">
      <c r="B133" s="717"/>
      <c r="C133" s="724"/>
      <c r="D133" s="710"/>
      <c r="E133" s="710"/>
      <c r="F133" s="710"/>
      <c r="G133" s="710"/>
      <c r="H133" s="710"/>
      <c r="I133" s="710"/>
      <c r="J133" s="710"/>
    </row>
    <row r="134" spans="2:10" s="581" customFormat="1">
      <c r="B134" s="717"/>
      <c r="C134" s="725"/>
      <c r="D134" s="710"/>
      <c r="E134" s="710"/>
      <c r="F134" s="710"/>
      <c r="G134" s="710"/>
      <c r="H134" s="710"/>
      <c r="I134" s="710"/>
      <c r="J134" s="710"/>
    </row>
    <row r="135" spans="2:10" s="581" customFormat="1">
      <c r="B135" s="717"/>
      <c r="C135" s="725"/>
      <c r="D135" s="710"/>
      <c r="E135" s="710"/>
      <c r="F135" s="710"/>
      <c r="G135" s="710"/>
      <c r="H135" s="710"/>
      <c r="I135" s="710"/>
      <c r="J135" s="710"/>
    </row>
    <row r="136" spans="2:10" s="581" customFormat="1">
      <c r="B136" s="717"/>
      <c r="C136" s="725"/>
      <c r="D136" s="710"/>
      <c r="E136" s="710"/>
      <c r="F136" s="710"/>
      <c r="G136" s="710"/>
      <c r="H136" s="710"/>
      <c r="I136" s="710"/>
      <c r="J136" s="710"/>
    </row>
    <row r="137" spans="2:10" s="581" customFormat="1">
      <c r="B137" s="717"/>
      <c r="C137" s="717"/>
      <c r="D137" s="710"/>
      <c r="E137" s="710"/>
      <c r="F137" s="710"/>
      <c r="G137" s="710"/>
      <c r="H137" s="710"/>
      <c r="I137" s="710"/>
      <c r="J137" s="710"/>
    </row>
    <row r="138" spans="2:10" s="581" customFormat="1">
      <c r="B138" s="717"/>
      <c r="C138" s="717"/>
      <c r="D138" s="710"/>
      <c r="E138" s="710"/>
      <c r="F138" s="710"/>
      <c r="G138" s="710"/>
      <c r="H138" s="710"/>
      <c r="I138" s="710"/>
      <c r="J138" s="710"/>
    </row>
    <row r="139" spans="2:10" s="581" customFormat="1">
      <c r="B139" s="717"/>
      <c r="C139" s="723"/>
      <c r="D139" s="710"/>
      <c r="E139" s="710"/>
      <c r="F139" s="710"/>
      <c r="G139" s="710"/>
      <c r="H139" s="710"/>
      <c r="I139" s="710"/>
      <c r="J139" s="710"/>
    </row>
    <row r="140" spans="2:10" s="581" customFormat="1">
      <c r="B140" s="717"/>
      <c r="C140" s="724"/>
      <c r="D140" s="710"/>
      <c r="E140" s="710"/>
      <c r="F140" s="710"/>
      <c r="G140" s="710"/>
      <c r="H140" s="710"/>
      <c r="I140" s="710"/>
      <c r="J140" s="710"/>
    </row>
    <row r="141" spans="2:10" s="581" customFormat="1">
      <c r="B141" s="717"/>
      <c r="C141" s="724"/>
      <c r="D141" s="710"/>
      <c r="E141" s="710"/>
      <c r="F141" s="710"/>
      <c r="G141" s="710"/>
      <c r="H141" s="710"/>
      <c r="I141" s="710"/>
      <c r="J141" s="710"/>
    </row>
    <row r="142" spans="2:10" s="581" customFormat="1">
      <c r="B142" s="717"/>
      <c r="C142" s="717"/>
      <c r="D142" s="710"/>
      <c r="E142" s="710"/>
      <c r="F142" s="710"/>
      <c r="G142" s="710"/>
      <c r="H142" s="710"/>
      <c r="I142" s="710"/>
      <c r="J142" s="710"/>
    </row>
    <row r="143" spans="2:10" s="581" customFormat="1">
      <c r="B143" s="717"/>
      <c r="C143" s="717"/>
      <c r="D143" s="710"/>
      <c r="E143" s="710"/>
      <c r="F143" s="710"/>
      <c r="G143" s="710"/>
      <c r="H143" s="710"/>
      <c r="I143" s="710"/>
      <c r="J143" s="710"/>
    </row>
    <row r="144" spans="2:10" s="581" customFormat="1">
      <c r="B144" s="717"/>
      <c r="C144" s="717"/>
      <c r="D144" s="710"/>
      <c r="E144" s="710"/>
      <c r="F144" s="710"/>
      <c r="G144" s="710"/>
      <c r="H144" s="710"/>
      <c r="I144" s="710"/>
      <c r="J144" s="710"/>
    </row>
    <row r="145" spans="2:16" s="581" customFormat="1">
      <c r="B145" s="720"/>
      <c r="C145" s="721"/>
      <c r="D145" s="716"/>
      <c r="E145" s="716"/>
      <c r="F145" s="716"/>
      <c r="G145" s="716"/>
      <c r="H145" s="716"/>
      <c r="I145" s="716"/>
      <c r="J145" s="716"/>
    </row>
    <row r="146" spans="2:16" s="581" customFormat="1">
      <c r="B146" s="720"/>
      <c r="C146" s="721"/>
      <c r="D146" s="716"/>
      <c r="E146" s="716"/>
      <c r="F146" s="716"/>
      <c r="G146" s="716"/>
      <c r="H146" s="716"/>
      <c r="I146" s="716"/>
      <c r="J146" s="716"/>
    </row>
    <row r="147" spans="2:16" s="581" customFormat="1">
      <c r="B147" s="720"/>
      <c r="C147" s="721"/>
      <c r="D147" s="716"/>
      <c r="E147" s="716"/>
      <c r="F147" s="716"/>
      <c r="G147" s="716"/>
      <c r="H147" s="716"/>
      <c r="I147" s="716"/>
      <c r="J147" s="716"/>
    </row>
    <row r="148" spans="2:16" s="581" customFormat="1">
      <c r="B148" s="720"/>
      <c r="C148" s="721"/>
      <c r="D148" s="716"/>
      <c r="E148" s="716"/>
      <c r="F148" s="716"/>
      <c r="G148" s="716"/>
      <c r="H148" s="716"/>
      <c r="I148" s="716"/>
      <c r="J148" s="716"/>
    </row>
    <row r="149" spans="2:16" s="581" customFormat="1">
      <c r="B149" s="717"/>
      <c r="C149" s="717"/>
      <c r="D149" s="710"/>
      <c r="E149" s="710"/>
      <c r="F149" s="710"/>
      <c r="G149" s="710"/>
      <c r="H149" s="710"/>
      <c r="I149" s="710"/>
      <c r="J149" s="710"/>
    </row>
    <row r="150" spans="2:16" s="581" customFormat="1">
      <c r="B150" s="717"/>
      <c r="C150" s="717"/>
      <c r="D150" s="710"/>
      <c r="E150" s="710"/>
      <c r="F150" s="710"/>
      <c r="G150" s="710"/>
      <c r="H150" s="710"/>
      <c r="I150" s="710"/>
      <c r="J150" s="710"/>
    </row>
    <row r="151" spans="2:16" s="581" customFormat="1">
      <c r="B151" s="717"/>
      <c r="C151" s="726"/>
      <c r="D151" s="710"/>
      <c r="E151" s="710"/>
      <c r="F151" s="710"/>
      <c r="G151" s="710"/>
      <c r="H151" s="710"/>
      <c r="I151" s="710"/>
      <c r="J151" s="710"/>
    </row>
    <row r="152" spans="2:16" s="581" customFormat="1">
      <c r="B152" s="717"/>
      <c r="C152" s="725"/>
      <c r="D152" s="710"/>
      <c r="E152" s="710"/>
      <c r="F152" s="710"/>
      <c r="G152" s="710"/>
      <c r="H152" s="710"/>
      <c r="I152" s="710"/>
      <c r="J152" s="710"/>
    </row>
    <row r="153" spans="2:16" s="581" customFormat="1">
      <c r="B153" s="717"/>
      <c r="C153" s="717"/>
      <c r="D153" s="710"/>
      <c r="E153" s="710"/>
      <c r="F153" s="710"/>
      <c r="G153" s="710"/>
      <c r="H153" s="710"/>
      <c r="I153" s="710"/>
      <c r="J153" s="710"/>
    </row>
    <row r="154" spans="2:16" s="581" customFormat="1">
      <c r="B154" s="717"/>
      <c r="C154" s="717"/>
      <c r="D154" s="710"/>
      <c r="E154" s="710"/>
      <c r="F154" s="710"/>
      <c r="G154" s="710"/>
      <c r="H154" s="710"/>
      <c r="I154" s="710"/>
      <c r="J154" s="710"/>
    </row>
    <row r="155" spans="2:16" s="581" customFormat="1">
      <c r="B155" s="717"/>
      <c r="C155" s="717"/>
      <c r="D155" s="710"/>
      <c r="E155" s="710"/>
      <c r="F155" s="710"/>
      <c r="G155" s="710"/>
      <c r="H155" s="710"/>
      <c r="I155" s="710"/>
      <c r="J155" s="710"/>
    </row>
    <row r="156" spans="2:16" s="581" customFormat="1">
      <c r="B156" s="720"/>
      <c r="C156" s="721"/>
      <c r="D156" s="716"/>
      <c r="E156" s="716"/>
      <c r="F156" s="716"/>
      <c r="G156" s="716"/>
      <c r="H156" s="716"/>
      <c r="I156" s="716"/>
      <c r="J156" s="716"/>
    </row>
    <row r="157" spans="2:16" s="581" customFormat="1">
      <c r="B157" s="717"/>
      <c r="C157" s="717"/>
      <c r="D157" s="717"/>
      <c r="E157" s="717"/>
      <c r="F157" s="717"/>
      <c r="G157" s="717"/>
      <c r="H157" s="717"/>
      <c r="I157" s="717"/>
      <c r="J157" s="717"/>
      <c r="K157" s="717"/>
      <c r="L157" s="717"/>
      <c r="M157" s="717"/>
      <c r="N157" s="717"/>
      <c r="O157" s="717"/>
      <c r="P157" s="717"/>
    </row>
    <row r="158" spans="2:16" s="581" customFormat="1">
      <c r="B158" s="717"/>
      <c r="C158" s="727"/>
      <c r="D158" s="717"/>
      <c r="E158" s="717"/>
      <c r="F158" s="717"/>
      <c r="G158" s="717"/>
      <c r="H158" s="717"/>
      <c r="I158" s="717"/>
      <c r="J158" s="717"/>
      <c r="K158" s="717"/>
      <c r="L158" s="717"/>
      <c r="M158" s="717"/>
      <c r="N158" s="717"/>
      <c r="O158" s="717"/>
      <c r="P158" s="717"/>
    </row>
    <row r="159" spans="2:16" s="581" customFormat="1">
      <c r="B159" s="717"/>
      <c r="C159" s="717"/>
      <c r="D159" s="717"/>
      <c r="E159" s="717"/>
      <c r="F159" s="717"/>
      <c r="G159" s="717"/>
      <c r="H159" s="717"/>
      <c r="I159" s="717"/>
      <c r="J159" s="717"/>
      <c r="K159" s="717"/>
      <c r="L159" s="717"/>
      <c r="M159" s="717"/>
      <c r="N159" s="717"/>
      <c r="O159" s="717"/>
      <c r="P159" s="717"/>
    </row>
    <row r="160" spans="2:16" s="581" customFormat="1">
      <c r="B160" s="717"/>
      <c r="C160" s="717"/>
      <c r="D160" s="717"/>
      <c r="E160" s="717"/>
      <c r="F160" s="717"/>
      <c r="G160" s="717"/>
      <c r="H160" s="717"/>
      <c r="I160" s="717"/>
      <c r="J160" s="717"/>
      <c r="K160" s="717"/>
      <c r="L160" s="717"/>
      <c r="M160" s="717"/>
      <c r="N160" s="717"/>
      <c r="O160" s="717"/>
      <c r="P160" s="717"/>
    </row>
    <row r="161" spans="2:16" s="581" customFormat="1">
      <c r="B161" s="717"/>
      <c r="C161" s="717"/>
      <c r="D161" s="717"/>
      <c r="E161" s="717"/>
      <c r="F161" s="717"/>
      <c r="G161" s="717"/>
      <c r="H161" s="717"/>
      <c r="I161" s="717"/>
      <c r="J161" s="717"/>
      <c r="K161" s="717"/>
      <c r="L161" s="717"/>
      <c r="M161" s="717"/>
      <c r="N161" s="717"/>
      <c r="O161" s="717"/>
      <c r="P161" s="717"/>
    </row>
    <row r="162" spans="2:16" s="581" customFormat="1">
      <c r="B162" s="717"/>
      <c r="C162" s="717"/>
      <c r="D162" s="717"/>
      <c r="E162" s="717"/>
      <c r="F162" s="717"/>
      <c r="G162" s="717"/>
      <c r="H162" s="717"/>
      <c r="I162" s="717"/>
      <c r="J162" s="717"/>
      <c r="K162" s="717"/>
      <c r="L162" s="717"/>
      <c r="M162" s="717"/>
      <c r="N162" s="717"/>
      <c r="O162" s="717"/>
      <c r="P162" s="717"/>
    </row>
    <row r="163" spans="2:16" s="581" customFormat="1">
      <c r="B163" s="717"/>
      <c r="C163" s="717"/>
      <c r="D163" s="717"/>
      <c r="E163" s="717"/>
      <c r="F163" s="717"/>
      <c r="G163" s="717"/>
      <c r="H163" s="717"/>
      <c r="I163" s="717"/>
      <c r="J163" s="717"/>
      <c r="K163" s="717"/>
      <c r="L163" s="717"/>
      <c r="M163" s="717"/>
      <c r="N163" s="717"/>
      <c r="O163" s="717"/>
      <c r="P163" s="717"/>
    </row>
    <row r="164" spans="2:16" s="581" customFormat="1">
      <c r="B164" s="717"/>
      <c r="C164" s="717"/>
      <c r="D164" s="717"/>
      <c r="E164" s="717"/>
      <c r="F164" s="717"/>
      <c r="G164" s="717"/>
      <c r="H164" s="717"/>
      <c r="I164" s="717"/>
      <c r="J164" s="717"/>
      <c r="K164" s="717"/>
      <c r="L164" s="717"/>
      <c r="M164" s="717"/>
      <c r="N164" s="717"/>
      <c r="O164" s="717"/>
      <c r="P164" s="717"/>
    </row>
    <row r="165" spans="2:16" s="581" customFormat="1">
      <c r="B165" s="728"/>
      <c r="C165" s="728"/>
      <c r="D165" s="728"/>
      <c r="E165" s="728"/>
      <c r="F165" s="728"/>
      <c r="G165" s="728"/>
      <c r="H165" s="728"/>
      <c r="I165" s="728"/>
      <c r="J165" s="717"/>
      <c r="K165" s="717"/>
      <c r="L165" s="717"/>
      <c r="M165" s="717"/>
      <c r="N165" s="717"/>
      <c r="O165" s="717"/>
      <c r="P165" s="717"/>
    </row>
    <row r="166" spans="2:16" s="581" customFormat="1">
      <c r="B166" s="729"/>
      <c r="C166" s="727"/>
      <c r="D166" s="727"/>
      <c r="E166" s="727"/>
      <c r="F166" s="727"/>
      <c r="G166" s="727"/>
      <c r="H166" s="727"/>
      <c r="I166" s="727"/>
      <c r="J166" s="717"/>
      <c r="K166" s="717"/>
      <c r="L166" s="717"/>
      <c r="M166" s="717"/>
      <c r="N166" s="717"/>
      <c r="O166" s="717"/>
      <c r="P166" s="717"/>
    </row>
    <row r="167" spans="2:16" s="581" customFormat="1">
      <c r="B167" s="730"/>
      <c r="C167" s="728"/>
      <c r="D167" s="717"/>
      <c r="E167" s="717"/>
      <c r="F167" s="717"/>
      <c r="G167" s="717"/>
      <c r="H167" s="717"/>
      <c r="I167" s="717"/>
      <c r="J167" s="717"/>
      <c r="K167" s="717"/>
      <c r="L167" s="717"/>
      <c r="M167" s="717"/>
      <c r="N167" s="717"/>
      <c r="O167" s="717"/>
      <c r="P167" s="717"/>
    </row>
    <row r="168" spans="2:16" s="581" customFormat="1">
      <c r="B168" s="728"/>
      <c r="C168" s="728"/>
      <c r="D168" s="728"/>
      <c r="E168" s="728"/>
      <c r="F168" s="728"/>
      <c r="G168" s="728"/>
      <c r="H168" s="728"/>
      <c r="I168" s="728"/>
      <c r="J168" s="717"/>
      <c r="K168" s="717"/>
      <c r="L168" s="717"/>
      <c r="M168" s="717"/>
      <c r="N168" s="717"/>
      <c r="O168" s="717"/>
      <c r="P168" s="717"/>
    </row>
    <row r="169" spans="2:16" s="581" customFormat="1">
      <c r="B169" s="728"/>
      <c r="C169" s="728"/>
      <c r="D169" s="717"/>
      <c r="E169" s="717"/>
      <c r="F169" s="717"/>
      <c r="G169" s="717"/>
      <c r="H169" s="717"/>
      <c r="I169" s="717"/>
      <c r="J169" s="717"/>
      <c r="K169" s="717"/>
      <c r="L169" s="717"/>
      <c r="M169" s="717"/>
      <c r="N169" s="717"/>
      <c r="O169" s="717"/>
      <c r="P169" s="717"/>
    </row>
    <row r="170" spans="2:16" s="581" customFormat="1">
      <c r="B170" s="727"/>
      <c r="C170" s="727"/>
      <c r="D170" s="727"/>
      <c r="E170" s="727"/>
      <c r="F170" s="727"/>
      <c r="G170" s="727"/>
      <c r="H170" s="727"/>
      <c r="I170" s="727"/>
      <c r="J170" s="717"/>
      <c r="K170" s="717"/>
      <c r="L170" s="717"/>
      <c r="M170" s="717"/>
      <c r="N170" s="717"/>
      <c r="O170" s="717"/>
      <c r="P170" s="717"/>
    </row>
    <row r="171" spans="2:16" s="581" customFormat="1">
      <c r="B171" s="730"/>
      <c r="C171" s="731"/>
      <c r="D171" s="717"/>
      <c r="E171" s="717"/>
      <c r="F171" s="717"/>
      <c r="G171" s="717"/>
      <c r="H171" s="717"/>
      <c r="I171" s="717"/>
      <c r="J171" s="717"/>
      <c r="K171" s="717"/>
      <c r="L171" s="717"/>
      <c r="M171" s="717"/>
      <c r="N171" s="717"/>
      <c r="O171" s="717"/>
      <c r="P171" s="717"/>
    </row>
    <row r="172" spans="2:16" s="581" customFormat="1">
      <c r="B172" s="732"/>
      <c r="C172" s="732"/>
      <c r="D172" s="732"/>
      <c r="E172" s="732"/>
      <c r="F172" s="732"/>
      <c r="G172" s="732"/>
      <c r="H172" s="732"/>
      <c r="I172" s="732"/>
      <c r="J172" s="732"/>
      <c r="K172" s="717"/>
      <c r="L172" s="717"/>
      <c r="M172" s="717"/>
      <c r="N172" s="717"/>
      <c r="O172" s="717"/>
      <c r="P172" s="717"/>
    </row>
    <row r="173" spans="2:16" s="581" customFormat="1">
      <c r="B173" s="729"/>
      <c r="C173" s="733"/>
      <c r="D173" s="717"/>
      <c r="E173" s="717"/>
      <c r="F173" s="717"/>
      <c r="G173" s="717"/>
      <c r="H173" s="717"/>
      <c r="I173" s="717"/>
      <c r="J173" s="717"/>
      <c r="K173" s="717"/>
      <c r="L173" s="717"/>
      <c r="M173" s="717"/>
      <c r="N173" s="717"/>
      <c r="O173" s="717"/>
      <c r="P173" s="717"/>
    </row>
    <row r="174" spans="2:16" s="581" customFormat="1">
      <c r="B174" s="728"/>
      <c r="C174" s="728"/>
      <c r="D174" s="728"/>
      <c r="E174" s="728"/>
      <c r="F174" s="728"/>
      <c r="G174" s="728"/>
      <c r="H174" s="728"/>
      <c r="I174" s="728"/>
      <c r="J174" s="717"/>
      <c r="K174" s="717"/>
      <c r="L174" s="717"/>
      <c r="M174" s="717"/>
      <c r="N174" s="717"/>
      <c r="O174" s="717"/>
      <c r="P174" s="717"/>
    </row>
    <row r="175" spans="2:16" s="581" customFormat="1">
      <c r="B175" s="728"/>
      <c r="C175" s="728"/>
      <c r="D175" s="728"/>
      <c r="E175" s="728"/>
      <c r="F175" s="728"/>
      <c r="G175" s="728"/>
      <c r="H175" s="728"/>
      <c r="I175" s="728"/>
      <c r="J175" s="717"/>
      <c r="K175" s="717"/>
      <c r="L175" s="717"/>
      <c r="M175" s="717"/>
      <c r="N175" s="717"/>
      <c r="O175" s="717"/>
      <c r="P175" s="717"/>
    </row>
    <row r="176" spans="2:16" s="581" customFormat="1">
      <c r="B176" s="728"/>
      <c r="C176" s="728"/>
      <c r="D176" s="728"/>
      <c r="E176" s="728"/>
      <c r="F176" s="728"/>
      <c r="G176" s="728"/>
      <c r="H176" s="728"/>
      <c r="I176" s="728"/>
      <c r="J176" s="717"/>
      <c r="K176" s="717"/>
      <c r="L176" s="717"/>
      <c r="M176" s="717"/>
      <c r="N176" s="717"/>
      <c r="O176" s="717"/>
      <c r="P176" s="717"/>
    </row>
    <row r="177" spans="2:16" s="581" customFormat="1">
      <c r="B177" s="728"/>
      <c r="C177" s="728"/>
      <c r="D177" s="717"/>
      <c r="E177" s="717"/>
      <c r="F177" s="717"/>
      <c r="G177" s="717"/>
      <c r="H177" s="717"/>
      <c r="I177" s="717"/>
      <c r="J177" s="717"/>
      <c r="K177" s="717"/>
      <c r="L177" s="717"/>
      <c r="M177" s="717"/>
      <c r="N177" s="717"/>
      <c r="O177" s="717"/>
      <c r="P177" s="717"/>
    </row>
    <row r="178" spans="2:16" s="581" customFormat="1">
      <c r="B178" s="732"/>
      <c r="C178" s="732"/>
      <c r="D178" s="732"/>
      <c r="E178" s="732"/>
      <c r="F178" s="732"/>
      <c r="G178" s="732"/>
      <c r="H178" s="732"/>
      <c r="I178" s="732"/>
      <c r="J178" s="717"/>
      <c r="K178" s="717"/>
      <c r="L178" s="717"/>
      <c r="M178" s="717"/>
      <c r="N178" s="717"/>
      <c r="O178" s="717"/>
      <c r="P178" s="717"/>
    </row>
    <row r="179" spans="2:16" s="581" customFormat="1">
      <c r="B179" s="730"/>
      <c r="C179" s="734"/>
      <c r="D179" s="717"/>
      <c r="E179" s="717"/>
      <c r="F179" s="717"/>
      <c r="G179" s="717"/>
      <c r="H179" s="717"/>
      <c r="I179" s="717"/>
      <c r="J179" s="717"/>
      <c r="K179" s="717"/>
      <c r="L179" s="717"/>
      <c r="M179" s="717"/>
      <c r="N179" s="717"/>
      <c r="O179" s="717"/>
      <c r="P179" s="717"/>
    </row>
    <row r="180" spans="2:16" s="581" customFormat="1">
      <c r="B180" s="717"/>
      <c r="C180" s="717"/>
      <c r="D180" s="717"/>
      <c r="E180" s="717"/>
      <c r="F180" s="717"/>
      <c r="G180" s="717"/>
      <c r="H180" s="717"/>
      <c r="I180" s="717"/>
      <c r="J180" s="717"/>
      <c r="K180" s="717"/>
      <c r="L180" s="717"/>
      <c r="M180" s="717"/>
      <c r="N180" s="717"/>
      <c r="O180" s="717"/>
      <c r="P180" s="717"/>
    </row>
    <row r="181" spans="2:16" s="581" customFormat="1">
      <c r="B181" s="717"/>
      <c r="C181" s="717"/>
      <c r="D181" s="717"/>
      <c r="E181" s="717"/>
      <c r="F181" s="717"/>
      <c r="G181" s="717"/>
      <c r="H181" s="717"/>
      <c r="I181" s="717"/>
      <c r="J181" s="717"/>
      <c r="K181" s="717"/>
      <c r="L181" s="717"/>
      <c r="M181" s="717"/>
      <c r="N181" s="717"/>
      <c r="O181" s="717"/>
      <c r="P181" s="717"/>
    </row>
    <row r="182" spans="2:16" s="581" customFormat="1">
      <c r="B182" s="717"/>
      <c r="C182" s="717"/>
      <c r="D182" s="717"/>
      <c r="E182" s="717"/>
      <c r="F182" s="717"/>
      <c r="G182" s="717"/>
      <c r="H182" s="717"/>
      <c r="I182" s="717"/>
      <c r="J182" s="717"/>
      <c r="K182" s="717"/>
      <c r="L182" s="717"/>
      <c r="M182" s="717"/>
      <c r="N182" s="717"/>
      <c r="O182" s="717"/>
      <c r="P182" s="717"/>
    </row>
    <row r="183" spans="2:16" s="581" customFormat="1">
      <c r="B183" s="729"/>
      <c r="C183" s="727"/>
      <c r="D183" s="727"/>
      <c r="E183" s="727"/>
      <c r="F183" s="727"/>
      <c r="G183" s="727"/>
      <c r="H183" s="727"/>
      <c r="I183" s="727"/>
      <c r="J183" s="717"/>
      <c r="K183" s="717"/>
      <c r="L183" s="717"/>
      <c r="M183" s="717"/>
      <c r="N183" s="717"/>
      <c r="O183" s="717"/>
      <c r="P183" s="717"/>
    </row>
    <row r="184" spans="2:16" s="581" customFormat="1">
      <c r="B184" s="717"/>
      <c r="C184" s="717"/>
      <c r="D184" s="717"/>
      <c r="E184" s="717"/>
      <c r="F184" s="717"/>
      <c r="G184" s="717"/>
      <c r="H184" s="717"/>
      <c r="I184" s="717"/>
      <c r="J184" s="717"/>
      <c r="K184" s="717"/>
      <c r="L184" s="717"/>
      <c r="M184" s="717"/>
      <c r="N184" s="717"/>
      <c r="O184" s="717"/>
      <c r="P184" s="717"/>
    </row>
    <row r="185" spans="2:16" s="581" customFormat="1">
      <c r="B185" s="717"/>
      <c r="C185" s="717"/>
      <c r="D185" s="717"/>
      <c r="E185" s="717"/>
      <c r="F185" s="717"/>
      <c r="G185" s="717"/>
      <c r="H185" s="717"/>
      <c r="I185" s="717"/>
      <c r="J185" s="717"/>
      <c r="K185" s="717"/>
      <c r="L185" s="717"/>
      <c r="M185" s="717"/>
      <c r="N185" s="717"/>
      <c r="O185" s="717"/>
      <c r="P185" s="717"/>
    </row>
    <row r="186" spans="2:16" s="581" customFormat="1">
      <c r="B186" s="717"/>
      <c r="C186" s="717"/>
      <c r="D186" s="717"/>
      <c r="E186" s="717"/>
      <c r="F186" s="717"/>
      <c r="G186" s="717"/>
      <c r="H186" s="717"/>
      <c r="I186" s="717"/>
      <c r="J186" s="717"/>
      <c r="K186" s="717"/>
      <c r="L186" s="717"/>
      <c r="M186" s="717"/>
      <c r="N186" s="717"/>
      <c r="O186" s="717"/>
      <c r="P186" s="717"/>
    </row>
    <row r="187" spans="2:16" s="581" customFormat="1">
      <c r="B187" s="717"/>
      <c r="C187" s="717"/>
      <c r="D187" s="717"/>
      <c r="E187" s="717"/>
      <c r="F187" s="717"/>
      <c r="G187" s="717"/>
      <c r="H187" s="717"/>
      <c r="I187" s="717"/>
      <c r="J187" s="717"/>
      <c r="K187" s="717"/>
      <c r="L187" s="717"/>
      <c r="M187" s="717"/>
      <c r="N187" s="717"/>
      <c r="O187" s="717"/>
      <c r="P187" s="717"/>
    </row>
    <row r="188" spans="2:16" s="581" customFormat="1">
      <c r="B188" s="717"/>
      <c r="C188" s="717"/>
      <c r="D188" s="717"/>
      <c r="E188" s="717"/>
      <c r="F188" s="717"/>
      <c r="G188" s="717"/>
      <c r="H188" s="717"/>
      <c r="I188" s="717"/>
      <c r="J188" s="717"/>
      <c r="K188" s="717"/>
      <c r="L188" s="717"/>
      <c r="M188" s="717"/>
      <c r="N188" s="717"/>
      <c r="O188" s="717"/>
      <c r="P188" s="717"/>
    </row>
    <row r="189" spans="2:16" s="581" customFormat="1">
      <c r="B189" s="735"/>
      <c r="C189" s="717"/>
      <c r="D189" s="717"/>
      <c r="E189" s="717"/>
      <c r="F189" s="717"/>
      <c r="G189" s="717"/>
      <c r="H189" s="717"/>
      <c r="I189" s="717"/>
      <c r="J189" s="717"/>
      <c r="K189" s="717"/>
      <c r="L189" s="717"/>
      <c r="M189" s="717"/>
      <c r="N189" s="717"/>
      <c r="O189" s="717"/>
      <c r="P189" s="717"/>
    </row>
    <row r="190" spans="2:16" s="581" customFormat="1">
      <c r="B190" s="735"/>
      <c r="C190" s="717"/>
      <c r="D190" s="717"/>
      <c r="E190" s="717"/>
      <c r="F190" s="717"/>
      <c r="G190" s="717"/>
      <c r="H190" s="717"/>
      <c r="I190" s="717"/>
      <c r="J190" s="717"/>
      <c r="K190" s="717"/>
      <c r="L190" s="717"/>
      <c r="M190" s="717"/>
      <c r="N190" s="717"/>
      <c r="O190" s="717"/>
      <c r="P190" s="717"/>
    </row>
    <row r="191" spans="2:16">
      <c r="B191" s="714"/>
      <c r="C191" s="713"/>
      <c r="D191" s="713"/>
      <c r="E191" s="713"/>
      <c r="F191" s="713"/>
      <c r="G191" s="713"/>
      <c r="H191" s="713"/>
      <c r="I191" s="713"/>
      <c r="J191" s="713"/>
      <c r="K191" s="713"/>
      <c r="L191" s="713"/>
      <c r="M191" s="713"/>
      <c r="N191" s="713"/>
      <c r="O191" s="713"/>
      <c r="P191" s="713"/>
    </row>
  </sheetData>
  <mergeCells count="21">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 ref="B70:P70"/>
    <mergeCell ref="D6:J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2021-09-17T14:29:14Z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