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72BDEF85-AD79-4C71-AB7C-2050E2C605BC}" xr6:coauthVersionLast="47" xr6:coauthVersionMax="47" xr10:uidLastSave="{00000000-0000-0000-0000-000000000000}"/>
  <bookViews>
    <workbookView xWindow="-108" yWindow="-108" windowWidth="23256" windowHeight="12576" firstSheet="15"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 i="49" l="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3" i="21"/>
  <c r="T3" i="21"/>
  <c r="H3" i="21"/>
  <c r="E1" i="21"/>
  <c r="D1" i="21"/>
  <c r="C19" i="6"/>
  <c r="B19" i="6"/>
  <c r="Q17" i="6"/>
  <c r="U16" i="6"/>
  <c r="T16" i="6"/>
  <c r="T17" i="6" s="1"/>
  <c r="S16" i="6"/>
  <c r="R16" i="6"/>
  <c r="U49" i="21" s="1"/>
  <c r="Q16" i="6"/>
  <c r="T49" i="21" s="1"/>
  <c r="P16" i="6"/>
  <c r="S49" i="21" s="1"/>
  <c r="O16" i="6"/>
  <c r="R49" i="21" s="1"/>
  <c r="N16" i="6"/>
  <c r="C9" i="6"/>
  <c r="U6" i="6"/>
  <c r="V3" i="21" s="1"/>
  <c r="T6" i="6"/>
  <c r="S6" i="6"/>
  <c r="R6" i="6"/>
  <c r="Q6" i="6"/>
  <c r="R3" i="21" s="1"/>
  <c r="P6" i="6"/>
  <c r="O6" i="6"/>
  <c r="P3" i="21" s="1"/>
  <c r="N6" i="6"/>
  <c r="O3" i="21" s="1"/>
  <c r="M6" i="6"/>
  <c r="N3" i="21" s="1"/>
  <c r="L6" i="6"/>
  <c r="M3" i="21" s="1"/>
  <c r="K6" i="6"/>
  <c r="L3" i="21" s="1"/>
  <c r="J6" i="6"/>
  <c r="K3" i="21" s="1"/>
  <c r="I6" i="6"/>
  <c r="J3" i="21" s="1"/>
  <c r="H6" i="6"/>
  <c r="G6" i="6"/>
  <c r="F6" i="6"/>
  <c r="G3" i="21" s="1"/>
  <c r="E6" i="6"/>
  <c r="F3" i="21" s="1"/>
  <c r="D6" i="6"/>
  <c r="E3" i="21" s="1"/>
  <c r="C6" i="6"/>
  <c r="D3" i="21" s="1"/>
  <c r="B6" i="6"/>
  <c r="C3" i="21" s="1"/>
  <c r="BJ16" i="5"/>
  <c r="BI16" i="5"/>
  <c r="BH16" i="5"/>
  <c r="BG16" i="5"/>
  <c r="BF16" i="5"/>
  <c r="BE16" i="5"/>
  <c r="BD16" i="5"/>
  <c r="BC16" i="5"/>
  <c r="G16" i="5" s="1"/>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F14" i="5"/>
  <c r="D14" i="5"/>
  <c r="C14" i="5"/>
  <c r="B14" i="5"/>
  <c r="E14" i="5" s="1"/>
  <c r="N13" i="5"/>
  <c r="M13" i="5"/>
  <c r="K13" i="5"/>
  <c r="J13" i="5"/>
  <c r="I13" i="5"/>
  <c r="H13" i="5"/>
  <c r="G13" i="5"/>
  <c r="F13" i="5"/>
  <c r="E13" i="5"/>
  <c r="D13" i="5"/>
  <c r="C13" i="5"/>
  <c r="B13" i="5"/>
  <c r="N12" i="5"/>
  <c r="M12" i="5"/>
  <c r="K12" i="5"/>
  <c r="J12" i="5"/>
  <c r="I12" i="5"/>
  <c r="H12" i="5"/>
  <c r="G12" i="5"/>
  <c r="F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F10" i="5"/>
  <c r="V5" i="21" s="1"/>
  <c r="D10" i="5"/>
  <c r="C10" i="5"/>
  <c r="B10" i="5"/>
  <c r="E10" i="5" s="1"/>
  <c r="V4" i="21" s="1"/>
  <c r="N9" i="5"/>
  <c r="M9" i="5"/>
  <c r="K9" i="5"/>
  <c r="R10" i="21" s="1"/>
  <c r="J9" i="5"/>
  <c r="I9" i="5"/>
  <c r="H9" i="5"/>
  <c r="G9" i="5"/>
  <c r="F9" i="5"/>
  <c r="E9" i="5"/>
  <c r="D9" i="5"/>
  <c r="C9" i="5"/>
  <c r="B9" i="5"/>
  <c r="N8" i="5"/>
  <c r="M8" i="5"/>
  <c r="K8" i="5"/>
  <c r="J8" i="5"/>
  <c r="I8" i="5"/>
  <c r="H8" i="5"/>
  <c r="P7" i="21" s="1"/>
  <c r="G8" i="5"/>
  <c r="F8" i="5"/>
  <c r="D8" i="5"/>
  <c r="C8" i="5"/>
  <c r="B8" i="5"/>
  <c r="N7" i="5"/>
  <c r="M7" i="5"/>
  <c r="K7" i="5"/>
  <c r="J10" i="21" s="1"/>
  <c r="J7" i="5"/>
  <c r="I7" i="5"/>
  <c r="H7" i="5"/>
  <c r="G7" i="5"/>
  <c r="M6" i="21" s="1"/>
  <c r="F7" i="5"/>
  <c r="E7" i="5"/>
  <c r="D7" i="5"/>
  <c r="C7" i="5"/>
  <c r="B7" i="5"/>
  <c r="N6" i="5"/>
  <c r="M6" i="5"/>
  <c r="K6" i="5"/>
  <c r="J6" i="5"/>
  <c r="I6" i="5"/>
  <c r="I16" i="5" s="1"/>
  <c r="H6" i="5"/>
  <c r="H7" i="21" s="1"/>
  <c r="G6" i="5"/>
  <c r="F6" i="5"/>
  <c r="D6" i="5"/>
  <c r="C6" i="5"/>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X112" i="48"/>
  <c r="Y112" i="48" s="1"/>
  <c r="Z112" i="48" s="1"/>
  <c r="AA112" i="48" s="1"/>
  <c r="AB112" i="48" s="1"/>
  <c r="AC112" i="48" s="1"/>
  <c r="W112" i="48"/>
  <c r="V112" i="48"/>
  <c r="U112" i="48"/>
  <c r="S112" i="48"/>
  <c r="N112" i="48"/>
  <c r="M112" i="48"/>
  <c r="F112" i="48"/>
  <c r="N111" i="48"/>
  <c r="M111" i="48"/>
  <c r="V110" i="48"/>
  <c r="M110" i="48"/>
  <c r="F110" i="48"/>
  <c r="N109"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F111" i="48" s="1"/>
  <c r="L105" i="48"/>
  <c r="K105" i="48"/>
  <c r="R104" i="48"/>
  <c r="Q104" i="48"/>
  <c r="Q100" i="48" s="1"/>
  <c r="P104" i="48"/>
  <c r="O104" i="48"/>
  <c r="N104" i="48"/>
  <c r="M104" i="48"/>
  <c r="L104" i="48"/>
  <c r="K104" i="48"/>
  <c r="J104" i="48"/>
  <c r="I104" i="48"/>
  <c r="I100" i="48" s="1"/>
  <c r="H104" i="48"/>
  <c r="G104" i="48"/>
  <c r="F104" i="48"/>
  <c r="R103" i="48"/>
  <c r="Q103" i="48"/>
  <c r="P103" i="48"/>
  <c r="O103" i="48"/>
  <c r="N103" i="48"/>
  <c r="N100" i="48" s="1"/>
  <c r="M103" i="48"/>
  <c r="M100" i="48" s="1"/>
  <c r="M109" i="48" s="1"/>
  <c r="L103" i="48"/>
  <c r="K103" i="48"/>
  <c r="J103" i="48"/>
  <c r="I103" i="48"/>
  <c r="H103" i="48"/>
  <c r="G103" i="48"/>
  <c r="F103" i="48"/>
  <c r="F100" i="48" s="1"/>
  <c r="F109" i="48" s="1"/>
  <c r="R102" i="48"/>
  <c r="R100" i="48" s="1"/>
  <c r="R95" i="48" s="1"/>
  <c r="Q102" i="48"/>
  <c r="P102" i="48"/>
  <c r="O102" i="48"/>
  <c r="N102" i="48"/>
  <c r="M102" i="48"/>
  <c r="L102" i="48"/>
  <c r="K102" i="48"/>
  <c r="K100" i="48" s="1"/>
  <c r="J102" i="48"/>
  <c r="J100" i="48" s="1"/>
  <c r="J95" i="48" s="1"/>
  <c r="I102" i="48"/>
  <c r="H102" i="48"/>
  <c r="G102" i="48"/>
  <c r="F102" i="48"/>
  <c r="R101" i="48"/>
  <c r="R105" i="48" s="1"/>
  <c r="Q101" i="48"/>
  <c r="Q105" i="48" s="1"/>
  <c r="P101" i="48"/>
  <c r="O101" i="48"/>
  <c r="N101" i="48"/>
  <c r="N105" i="48" s="1"/>
  <c r="N110" i="48" s="1"/>
  <c r="M101" i="48"/>
  <c r="M105" i="48" s="1"/>
  <c r="L101" i="48"/>
  <c r="K101" i="48"/>
  <c r="J101" i="48"/>
  <c r="J105" i="48" s="1"/>
  <c r="I101" i="48"/>
  <c r="I105" i="48" s="1"/>
  <c r="H101" i="48"/>
  <c r="G101" i="48"/>
  <c r="F101" i="48"/>
  <c r="F105" i="48" s="1"/>
  <c r="L100" i="48"/>
  <c r="Q98" i="48"/>
  <c r="P98" i="48"/>
  <c r="I98" i="48"/>
  <c r="H98" i="48"/>
  <c r="L97" i="48"/>
  <c r="N96" i="48"/>
  <c r="H78" i="48" s="1"/>
  <c r="I78" i="48" s="1"/>
  <c r="J78" i="48" s="1"/>
  <c r="K78" i="48" s="1"/>
  <c r="L78" i="48" s="1"/>
  <c r="I95"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F80" i="48" s="1"/>
  <c r="E72" i="48"/>
  <c r="E80" i="48" s="1"/>
  <c r="G71" i="48"/>
  <c r="F71" i="48"/>
  <c r="L70" i="48"/>
  <c r="K70" i="48"/>
  <c r="J70" i="48"/>
  <c r="I70" i="48"/>
  <c r="H70" i="48"/>
  <c r="G70" i="48"/>
  <c r="F70" i="48"/>
  <c r="F78" i="48" s="1"/>
  <c r="E70" i="48"/>
  <c r="E78" i="48" s="1"/>
  <c r="L69" i="48"/>
  <c r="K69" i="48"/>
  <c r="J69" i="48"/>
  <c r="I69" i="48"/>
  <c r="H69" i="48"/>
  <c r="G69" i="48"/>
  <c r="F69" i="48"/>
  <c r="F77" i="48" s="1"/>
  <c r="E69" i="48"/>
  <c r="E77" i="48" s="1"/>
  <c r="F57" i="48"/>
  <c r="E57" i="48"/>
  <c r="E56" i="48"/>
  <c r="H55" i="48"/>
  <c r="F55" i="48"/>
  <c r="E55" i="48"/>
  <c r="F54" i="48"/>
  <c r="E54" i="48"/>
  <c r="H50" i="48"/>
  <c r="H57" i="48" s="1"/>
  <c r="I49" i="48"/>
  <c r="I56" i="48" s="1"/>
  <c r="H49" i="48"/>
  <c r="H56" i="48" s="1"/>
  <c r="H48" i="48"/>
  <c r="I47" i="48"/>
  <c r="I54" i="48" s="1"/>
  <c r="H47" i="48"/>
  <c r="H54" i="48" s="1"/>
  <c r="L41" i="48"/>
  <c r="L71" i="48" s="1"/>
  <c r="K41" i="48"/>
  <c r="J41" i="48"/>
  <c r="J71" i="48" s="1"/>
  <c r="I41" i="48"/>
  <c r="I71" i="48" s="1"/>
  <c r="H41" i="48"/>
  <c r="H71" i="48" s="1"/>
  <c r="G41" i="48"/>
  <c r="F41" i="48"/>
  <c r="F56" i="48" s="1"/>
  <c r="F79" i="48" s="1"/>
  <c r="E41" i="48"/>
  <c r="E71" i="48" s="1"/>
  <c r="J30" i="48"/>
  <c r="I30" i="48"/>
  <c r="S10" i="48" s="1"/>
  <c r="T10" i="48" s="1"/>
  <c r="I29" i="48"/>
  <c r="I50" i="48" s="1"/>
  <c r="I57" i="48" s="1"/>
  <c r="I28" i="48"/>
  <c r="J28" i="48" s="1"/>
  <c r="I27" i="48"/>
  <c r="J26" i="48"/>
  <c r="J47" i="48" s="1"/>
  <c r="J54" i="48" s="1"/>
  <c r="I26" i="48"/>
  <c r="AB21" i="48"/>
  <c r="AA21" i="48"/>
  <c r="T21" i="48"/>
  <c r="S21" i="48"/>
  <c r="Q21" i="48"/>
  <c r="Q112" i="48" s="1"/>
  <c r="P21" i="48"/>
  <c r="P112" i="48" s="1"/>
  <c r="O21" i="48"/>
  <c r="O112" i="48" s="1"/>
  <c r="N21" i="48"/>
  <c r="M21" i="48"/>
  <c r="L21" i="48"/>
  <c r="L112" i="48" s="1"/>
  <c r="K21" i="48"/>
  <c r="K112" i="48" s="1"/>
  <c r="J21" i="48"/>
  <c r="J112" i="48" s="1"/>
  <c r="I21" i="48"/>
  <c r="I112" i="48" s="1"/>
  <c r="H21" i="48"/>
  <c r="H112" i="48" s="1"/>
  <c r="G21" i="48"/>
  <c r="G112" i="48" s="1"/>
  <c r="F21" i="48"/>
  <c r="T20" i="48"/>
  <c r="S20" i="48"/>
  <c r="R20" i="48"/>
  <c r="R111" i="48" s="1"/>
  <c r="S111" i="48" s="1"/>
  <c r="T111" i="48" s="1"/>
  <c r="U111" i="48" s="1"/>
  <c r="Q20" i="48"/>
  <c r="Q111" i="48" s="1"/>
  <c r="P20" i="48"/>
  <c r="P111" i="48" s="1"/>
  <c r="O20" i="48"/>
  <c r="O111" i="48" s="1"/>
  <c r="N20" i="48"/>
  <c r="M20" i="48"/>
  <c r="L20" i="48"/>
  <c r="L111" i="48" s="1"/>
  <c r="K20" i="48"/>
  <c r="J20" i="48"/>
  <c r="J111" i="48" s="1"/>
  <c r="I20" i="48"/>
  <c r="I111" i="48" s="1"/>
  <c r="H20" i="48"/>
  <c r="H111" i="48" s="1"/>
  <c r="G20" i="48"/>
  <c r="G111" i="48" s="1"/>
  <c r="F20" i="48"/>
  <c r="T19" i="48"/>
  <c r="S19" i="48"/>
  <c r="R19" i="48"/>
  <c r="R110" i="48" s="1"/>
  <c r="S110" i="48" s="1"/>
  <c r="T110" i="48" s="1"/>
  <c r="U110" i="48" s="1"/>
  <c r="U19" i="48" s="1"/>
  <c r="Q19" i="48"/>
  <c r="Q110" i="48" s="1"/>
  <c r="P19" i="48"/>
  <c r="O19" i="48"/>
  <c r="N19" i="48"/>
  <c r="M19" i="48"/>
  <c r="L19" i="48"/>
  <c r="L110" i="48" s="1"/>
  <c r="K19" i="48"/>
  <c r="K110" i="48" s="1"/>
  <c r="J19" i="48"/>
  <c r="J110" i="48" s="1"/>
  <c r="I19" i="48"/>
  <c r="I110" i="48" s="1"/>
  <c r="H19" i="48"/>
  <c r="G19" i="48"/>
  <c r="F19" i="48"/>
  <c r="R18" i="48"/>
  <c r="Q18" i="48"/>
  <c r="P18" i="48"/>
  <c r="O18" i="48"/>
  <c r="N18" i="48"/>
  <c r="M18" i="48"/>
  <c r="L18" i="48"/>
  <c r="L109" i="48" s="1"/>
  <c r="K18" i="48"/>
  <c r="J18" i="48"/>
  <c r="I18" i="48"/>
  <c r="H18" i="48"/>
  <c r="G18" i="48"/>
  <c r="F18" i="48"/>
  <c r="R16" i="48"/>
  <c r="Q16" i="48"/>
  <c r="P16" i="48"/>
  <c r="O16" i="48"/>
  <c r="N16" i="48"/>
  <c r="M16" i="48"/>
  <c r="J16" i="48"/>
  <c r="I16" i="48"/>
  <c r="H16" i="48"/>
  <c r="G16" i="48"/>
  <c r="F16" i="48"/>
  <c r="Q13" i="48"/>
  <c r="P13" i="48"/>
  <c r="O13" i="48"/>
  <c r="O98" i="48" s="1"/>
  <c r="N13" i="48"/>
  <c r="N98" i="48" s="1"/>
  <c r="I80" i="48" s="1"/>
  <c r="J80" i="48" s="1"/>
  <c r="K80" i="48" s="1"/>
  <c r="L80" i="48" s="1"/>
  <c r="M13" i="48"/>
  <c r="M98" i="48" s="1"/>
  <c r="H80" i="48" s="1"/>
  <c r="L13" i="48"/>
  <c r="L98" i="48" s="1"/>
  <c r="K13" i="48"/>
  <c r="K98" i="48" s="1"/>
  <c r="J13" i="48"/>
  <c r="J98" i="48" s="1"/>
  <c r="I13" i="48"/>
  <c r="H13" i="48"/>
  <c r="G13" i="48"/>
  <c r="F13" i="48"/>
  <c r="R12" i="48"/>
  <c r="R97" i="48" s="1"/>
  <c r="Q12" i="48"/>
  <c r="Q97" i="48" s="1"/>
  <c r="P12" i="48"/>
  <c r="P97" i="48" s="1"/>
  <c r="O12" i="48"/>
  <c r="O97" i="48" s="1"/>
  <c r="N12" i="48"/>
  <c r="N97" i="48" s="1"/>
  <c r="H79" i="48" s="1"/>
  <c r="M12" i="48"/>
  <c r="M97" i="48" s="1"/>
  <c r="L12" i="48"/>
  <c r="K12" i="48"/>
  <c r="K97" i="48" s="1"/>
  <c r="J12" i="48"/>
  <c r="J97" i="48" s="1"/>
  <c r="I12" i="48"/>
  <c r="I97" i="48" s="1"/>
  <c r="H12" i="48"/>
  <c r="H97" i="48" s="1"/>
  <c r="G12" i="48"/>
  <c r="F12" i="48"/>
  <c r="R11" i="48"/>
  <c r="R96" i="48" s="1"/>
  <c r="Q11" i="48"/>
  <c r="Q96" i="48" s="1"/>
  <c r="P11" i="48"/>
  <c r="O11" i="48"/>
  <c r="N11" i="48"/>
  <c r="M11" i="48"/>
  <c r="M96" i="48" s="1"/>
  <c r="L11" i="48"/>
  <c r="L96" i="48" s="1"/>
  <c r="K11" i="48"/>
  <c r="K96" i="48" s="1"/>
  <c r="J11" i="48"/>
  <c r="J96" i="48" s="1"/>
  <c r="I11" i="48"/>
  <c r="I96" i="48" s="1"/>
  <c r="H11" i="48"/>
  <c r="G11" i="48"/>
  <c r="F11" i="48"/>
  <c r="R10" i="48"/>
  <c r="Q10" i="48"/>
  <c r="P10" i="48"/>
  <c r="O10" i="48"/>
  <c r="N10" i="48"/>
  <c r="M10" i="48"/>
  <c r="L10" i="48"/>
  <c r="L95" i="48" s="1"/>
  <c r="K10" i="48"/>
  <c r="J10" i="48"/>
  <c r="I10" i="48"/>
  <c r="H10" i="48"/>
  <c r="G10" i="48"/>
  <c r="F10" i="48"/>
  <c r="R9" i="48"/>
  <c r="Q9" i="48"/>
  <c r="P9" i="48"/>
  <c r="O9" i="48"/>
  <c r="N9" i="48"/>
  <c r="M9" i="48"/>
  <c r="K9" i="48"/>
  <c r="J9" i="48"/>
  <c r="I9" i="48"/>
  <c r="H9" i="48"/>
  <c r="G9" i="48"/>
  <c r="F9" i="48"/>
  <c r="AA76" i="59"/>
  <c r="AB76" i="59" s="1"/>
  <c r="AC76" i="59" s="1"/>
  <c r="Z76" i="59"/>
  <c r="S76" i="59"/>
  <c r="T76" i="59" s="1"/>
  <c r="U76" i="59" s="1"/>
  <c r="V76" i="59" s="1"/>
  <c r="W76" i="59" s="1"/>
  <c r="X76" i="59" s="1"/>
  <c r="Y76" i="59" s="1"/>
  <c r="R76" i="59"/>
  <c r="Q76" i="59"/>
  <c r="P76" i="59"/>
  <c r="O76" i="59"/>
  <c r="N76" i="59"/>
  <c r="M76" i="59"/>
  <c r="L76" i="59"/>
  <c r="K76" i="59"/>
  <c r="J76" i="59"/>
  <c r="I76" i="59"/>
  <c r="H76" i="59"/>
  <c r="G76" i="59"/>
  <c r="F76" i="59"/>
  <c r="E76" i="59"/>
  <c r="D76" i="59"/>
  <c r="R72" i="59"/>
  <c r="Q72" i="59"/>
  <c r="P72" i="59"/>
  <c r="O72" i="59"/>
  <c r="N72" i="59"/>
  <c r="M72" i="59"/>
  <c r="L72" i="59"/>
  <c r="K72" i="59"/>
  <c r="J72" i="59"/>
  <c r="I72" i="59"/>
  <c r="H72" i="59"/>
  <c r="G72" i="59"/>
  <c r="F72" i="59"/>
  <c r="E72" i="59"/>
  <c r="D72" i="59"/>
  <c r="Q66" i="59"/>
  <c r="P66" i="59"/>
  <c r="L66" i="59"/>
  <c r="R65" i="59"/>
  <c r="Q65" i="59"/>
  <c r="Q64" i="59" s="1"/>
  <c r="Q20" i="59" s="1"/>
  <c r="P65" i="59"/>
  <c r="O65" i="59"/>
  <c r="N65" i="59"/>
  <c r="N66" i="59" s="1"/>
  <c r="M65" i="59"/>
  <c r="M66" i="59" s="1"/>
  <c r="L65" i="59"/>
  <c r="K65" i="59"/>
  <c r="K66" i="59" s="1"/>
  <c r="J65" i="59"/>
  <c r="I65" i="59"/>
  <c r="I64" i="59" s="1"/>
  <c r="I20" i="59" s="1"/>
  <c r="H65" i="59"/>
  <c r="O66" i="59" s="1"/>
  <c r="G65" i="59"/>
  <c r="F65" i="59"/>
  <c r="E65" i="59"/>
  <c r="O64" i="59" s="1"/>
  <c r="O20" i="59" s="1"/>
  <c r="D65" i="59"/>
  <c r="P64" i="59"/>
  <c r="P20" i="59" s="1"/>
  <c r="L64" i="59"/>
  <c r="L20" i="59" s="1"/>
  <c r="R29" i="59"/>
  <c r="Q29" i="59"/>
  <c r="P29" i="59"/>
  <c r="O29" i="59"/>
  <c r="N29" i="59"/>
  <c r="M29" i="59"/>
  <c r="L29" i="59"/>
  <c r="K29" i="59"/>
  <c r="J29" i="59"/>
  <c r="I29" i="59"/>
  <c r="H29" i="59"/>
  <c r="G29" i="59"/>
  <c r="F29" i="59"/>
  <c r="E29" i="59"/>
  <c r="D29" i="59"/>
  <c r="F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E19" i="59"/>
  <c r="E24" i="59" s="1"/>
  <c r="D19" i="59"/>
  <c r="D24" i="59" s="1"/>
  <c r="M18" i="59"/>
  <c r="AC16" i="59"/>
  <c r="AB16" i="59"/>
  <c r="AA16" i="59"/>
  <c r="Z16" i="59"/>
  <c r="Y16" i="59"/>
  <c r="X16" i="59"/>
  <c r="W16" i="59"/>
  <c r="V16" i="59"/>
  <c r="U16" i="59"/>
  <c r="T16" i="59"/>
  <c r="S16" i="59"/>
  <c r="Q16" i="59"/>
  <c r="I16" i="59"/>
  <c r="H16" i="59"/>
  <c r="O15" i="59"/>
  <c r="N15" i="59"/>
  <c r="G15" i="59"/>
  <c r="F15" i="59"/>
  <c r="R12" i="59"/>
  <c r="Q12" i="59"/>
  <c r="P12" i="59"/>
  <c r="O12" i="59"/>
  <c r="N12" i="59"/>
  <c r="M12" i="59"/>
  <c r="L12" i="59"/>
  <c r="K12" i="59"/>
  <c r="J12" i="59"/>
  <c r="I12" i="59"/>
  <c r="H12" i="59"/>
  <c r="G12" i="59"/>
  <c r="F12" i="59"/>
  <c r="E12" i="59"/>
  <c r="D12" i="59"/>
  <c r="M11" i="29"/>
  <c r="M10" i="29" s="1"/>
  <c r="M16" i="59" s="1"/>
  <c r="L11" i="29"/>
  <c r="L16" i="59" s="1"/>
  <c r="Q10" i="29"/>
  <c r="R16" i="59" s="1"/>
  <c r="N10" i="29"/>
  <c r="N16" i="59" s="1"/>
  <c r="R9" i="29"/>
  <c r="R10" i="29" s="1"/>
  <c r="Q9" i="29"/>
  <c r="P9" i="29"/>
  <c r="P10" i="29" s="1"/>
  <c r="P16" i="59" s="1"/>
  <c r="O9" i="29"/>
  <c r="O10" i="29" s="1"/>
  <c r="O16" i="59" s="1"/>
  <c r="N9" i="29"/>
  <c r="M9" i="29"/>
  <c r="L9" i="29"/>
  <c r="K9" i="29"/>
  <c r="K11" i="29" s="1"/>
  <c r="K16" i="59" s="1"/>
  <c r="J9" i="29"/>
  <c r="J11" i="29" s="1"/>
  <c r="J16" i="59" s="1"/>
  <c r="C28" i="33"/>
  <c r="I27" i="33"/>
  <c r="J29" i="33" s="1"/>
  <c r="H27" i="33"/>
  <c r="G27" i="33"/>
  <c r="F27" i="33"/>
  <c r="G29" i="33" s="1"/>
  <c r="E27" i="33"/>
  <c r="J26" i="33"/>
  <c r="AC12" i="33"/>
  <c r="AB12" i="33"/>
  <c r="AA12" i="33"/>
  <c r="Z12" i="33"/>
  <c r="Y12" i="33"/>
  <c r="X12" i="33"/>
  <c r="O12" i="33"/>
  <c r="N12" i="33"/>
  <c r="R11" i="33"/>
  <c r="Q11" i="33"/>
  <c r="P11" i="33"/>
  <c r="O11" i="33"/>
  <c r="N11" i="33"/>
  <c r="M11" i="33"/>
  <c r="L11" i="33"/>
  <c r="K11" i="33"/>
  <c r="J11" i="33"/>
  <c r="R10" i="33"/>
  <c r="R15" i="59" s="1"/>
  <c r="Q10" i="33"/>
  <c r="Q15" i="59" s="1"/>
  <c r="P10" i="33"/>
  <c r="P15" i="59" s="1"/>
  <c r="O10" i="33"/>
  <c r="N10" i="33"/>
  <c r="M10" i="33"/>
  <c r="M15" i="59" s="1"/>
  <c r="L10" i="33"/>
  <c r="K10" i="33"/>
  <c r="K15" i="59" s="1"/>
  <c r="J10" i="33"/>
  <c r="J15" i="59" s="1"/>
  <c r="I10" i="33"/>
  <c r="I15" i="59" s="1"/>
  <c r="H10" i="33"/>
  <c r="H15" i="59" s="1"/>
  <c r="G10" i="33"/>
  <c r="F10" i="33"/>
  <c r="E10" i="33"/>
  <c r="E15" i="59" s="1"/>
  <c r="D10" i="33"/>
  <c r="D15" i="59" s="1"/>
  <c r="L52" i="49"/>
  <c r="K52" i="49"/>
  <c r="J52" i="49"/>
  <c r="P51" i="49"/>
  <c r="O51" i="49"/>
  <c r="N51" i="49"/>
  <c r="M51" i="49"/>
  <c r="L51" i="49"/>
  <c r="K51" i="49"/>
  <c r="J51" i="49"/>
  <c r="I51" i="49"/>
  <c r="H51" i="49"/>
  <c r="G51" i="49"/>
  <c r="F51" i="49"/>
  <c r="P50" i="49"/>
  <c r="O50" i="49"/>
  <c r="N50" i="49"/>
  <c r="M50" i="49"/>
  <c r="L50" i="49"/>
  <c r="K50" i="49"/>
  <c r="J50" i="49"/>
  <c r="I50" i="49"/>
  <c r="H50" i="49"/>
  <c r="G50" i="49"/>
  <c r="F50" i="49"/>
  <c r="J27" i="49"/>
  <c r="I27" i="49"/>
  <c r="E27" i="49"/>
  <c r="E30" i="59" s="1"/>
  <c r="Q12" i="49"/>
  <c r="P12" i="49"/>
  <c r="M12" i="49"/>
  <c r="I12" i="49"/>
  <c r="H12" i="49"/>
  <c r="C19" i="49" s="1"/>
  <c r="C20" i="49" s="1"/>
  <c r="E12" i="49"/>
  <c r="R11" i="49"/>
  <c r="Q11" i="49"/>
  <c r="P11" i="49"/>
  <c r="O11" i="49"/>
  <c r="O12" i="49" s="1"/>
  <c r="N11" i="49"/>
  <c r="M11" i="49"/>
  <c r="L11" i="49"/>
  <c r="L12" i="49" s="1"/>
  <c r="K11" i="49"/>
  <c r="K12" i="49" s="1"/>
  <c r="J11" i="49"/>
  <c r="I11" i="49"/>
  <c r="H11" i="49"/>
  <c r="G11" i="49"/>
  <c r="G12" i="49" s="1"/>
  <c r="F11" i="49"/>
  <c r="E11" i="49"/>
  <c r="D11" i="49"/>
  <c r="D12" i="49" s="1"/>
  <c r="R10" i="49"/>
  <c r="R27" i="49" s="1"/>
  <c r="Q10" i="49"/>
  <c r="P10" i="49"/>
  <c r="P27" i="49" s="1"/>
  <c r="O10" i="49"/>
  <c r="N10" i="49"/>
  <c r="M10" i="49"/>
  <c r="M27" i="49" s="1"/>
  <c r="M30" i="59" s="1"/>
  <c r="L10" i="49"/>
  <c r="K10" i="49"/>
  <c r="K27" i="49" s="1"/>
  <c r="J10" i="49"/>
  <c r="J12" i="49" s="1"/>
  <c r="I10" i="49"/>
  <c r="H10" i="49"/>
  <c r="H27" i="49" s="1"/>
  <c r="G10" i="49"/>
  <c r="F10" i="49"/>
  <c r="E10" i="49"/>
  <c r="E28" i="49" s="1"/>
  <c r="D10" i="49"/>
  <c r="D27" i="49" s="1"/>
  <c r="G44" i="30"/>
  <c r="F44" i="30"/>
  <c r="W43" i="30"/>
  <c r="AC41" i="30"/>
  <c r="AB41" i="30"/>
  <c r="AC39" i="30"/>
  <c r="AB39" i="30"/>
  <c r="AC38" i="30"/>
  <c r="AB38" i="30"/>
  <c r="AA38" i="30"/>
  <c r="Z38" i="30"/>
  <c r="Y38" i="30"/>
  <c r="X38" i="30"/>
  <c r="M38" i="30"/>
  <c r="AC37" i="30"/>
  <c r="AB37" i="30"/>
  <c r="AA37" i="30"/>
  <c r="Z37" i="30"/>
  <c r="Y37" i="30"/>
  <c r="X37" i="30"/>
  <c r="AC36" i="30"/>
  <c r="AB36" i="30"/>
  <c r="AA36" i="30"/>
  <c r="Z36" i="30"/>
  <c r="Y36" i="30"/>
  <c r="X36" i="30"/>
  <c r="AC35" i="30"/>
  <c r="AB35" i="30"/>
  <c r="AA35" i="30"/>
  <c r="Z35" i="30"/>
  <c r="Z20" i="30" s="1"/>
  <c r="Y35" i="30"/>
  <c r="Y20" i="30" s="1"/>
  <c r="AC34" i="30"/>
  <c r="AB34" i="30"/>
  <c r="AA34" i="30"/>
  <c r="Z34" i="30"/>
  <c r="Y34" i="30"/>
  <c r="X34" i="30"/>
  <c r="O32" i="30"/>
  <c r="N32" i="30"/>
  <c r="O31" i="30"/>
  <c r="AC25" i="30"/>
  <c r="AB25" i="30"/>
  <c r="AA25" i="30"/>
  <c r="Z25" i="30"/>
  <c r="Y25" i="30"/>
  <c r="X25" i="30"/>
  <c r="W25" i="30"/>
  <c r="V25" i="30"/>
  <c r="U25" i="30"/>
  <c r="T25" i="30"/>
  <c r="O25" i="30"/>
  <c r="AC24" i="30"/>
  <c r="AB24" i="30"/>
  <c r="AB23" i="30"/>
  <c r="AC23" i="30" s="1"/>
  <c r="T23" i="30"/>
  <c r="U23" i="30" s="1"/>
  <c r="V23" i="30" s="1"/>
  <c r="W23" i="30" s="1"/>
  <c r="X23" i="30" s="1"/>
  <c r="Y23" i="30" s="1"/>
  <c r="Z23" i="30" s="1"/>
  <c r="AA23" i="30" s="1"/>
  <c r="R23" i="30"/>
  <c r="S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N13" i="30" s="1"/>
  <c r="M21" i="30"/>
  <c r="L21" i="30"/>
  <c r="K21" i="30"/>
  <c r="J21" i="30"/>
  <c r="J15" i="30" s="1"/>
  <c r="I21" i="30"/>
  <c r="H21" i="30"/>
  <c r="AC20" i="30"/>
  <c r="AB20" i="30"/>
  <c r="AA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L18" i="30"/>
  <c r="K18" i="30"/>
  <c r="J18" i="30"/>
  <c r="J13" i="30" s="1"/>
  <c r="I18" i="30"/>
  <c r="H18" i="30"/>
  <c r="S17" i="30"/>
  <c r="T17" i="30" s="1"/>
  <c r="R17" i="30"/>
  <c r="Q17" i="30"/>
  <c r="P17" i="30"/>
  <c r="O17" i="30"/>
  <c r="N17" i="30"/>
  <c r="M17" i="30"/>
  <c r="L17" i="30"/>
  <c r="K17" i="30"/>
  <c r="J17" i="30"/>
  <c r="I17" i="30"/>
  <c r="H17" i="30"/>
  <c r="R16" i="30"/>
  <c r="Q16" i="30"/>
  <c r="P16" i="30"/>
  <c r="O16" i="30"/>
  <c r="N16" i="30"/>
  <c r="M16" i="30"/>
  <c r="L16" i="30"/>
  <c r="L15" i="30" s="1"/>
  <c r="K16" i="30"/>
  <c r="J16" i="30"/>
  <c r="I16" i="30"/>
  <c r="H16" i="30"/>
  <c r="N15" i="30"/>
  <c r="R14" i="30"/>
  <c r="Q14" i="30"/>
  <c r="P14" i="30"/>
  <c r="O14" i="30"/>
  <c r="N14" i="30"/>
  <c r="M14" i="30"/>
  <c r="L14" i="30"/>
  <c r="K14" i="30"/>
  <c r="J14" i="30"/>
  <c r="I14" i="30"/>
  <c r="H14" i="30"/>
  <c r="G12" i="30"/>
  <c r="F12" i="30"/>
  <c r="R11" i="30"/>
  <c r="Q11" i="30"/>
  <c r="P11" i="30"/>
  <c r="O11" i="30"/>
  <c r="N11" i="30"/>
  <c r="M11" i="30"/>
  <c r="L11" i="30"/>
  <c r="L44" i="30" s="1"/>
  <c r="K11" i="30"/>
  <c r="K44" i="30" s="1"/>
  <c r="J11" i="30"/>
  <c r="J44" i="30" s="1"/>
  <c r="I11" i="30"/>
  <c r="H11" i="30"/>
  <c r="BB71" i="20"/>
  <c r="BA71" i="20"/>
  <c r="AZ71" i="20"/>
  <c r="AY71" i="20"/>
  <c r="AW71" i="20"/>
  <c r="AV71" i="20"/>
  <c r="AU71" i="20"/>
  <c r="AT71" i="20"/>
  <c r="AS71" i="20"/>
  <c r="AR71" i="20"/>
  <c r="AQ71" i="20"/>
  <c r="AP71" i="20"/>
  <c r="AO71" i="20"/>
  <c r="U51" i="20"/>
  <c r="T51" i="20"/>
  <c r="S51" i="20"/>
  <c r="R51" i="20"/>
  <c r="Q51" i="20"/>
  <c r="P51" i="20"/>
  <c r="O51" i="20"/>
  <c r="N51" i="20"/>
  <c r="M51" i="20"/>
  <c r="L51" i="20"/>
  <c r="K51" i="20"/>
  <c r="J51" i="20"/>
  <c r="I51" i="20"/>
  <c r="H51" i="20"/>
  <c r="G51" i="20"/>
  <c r="F51" i="20"/>
  <c r="E51" i="20"/>
  <c r="D51" i="20"/>
  <c r="U50" i="20"/>
  <c r="T50" i="20"/>
  <c r="S50" i="20"/>
  <c r="R50" i="20"/>
  <c r="Q50" i="20"/>
  <c r="P50" i="20"/>
  <c r="O50" i="20"/>
  <c r="N50" i="20"/>
  <c r="M50" i="20"/>
  <c r="L50" i="20"/>
  <c r="K50" i="20"/>
  <c r="J50" i="20"/>
  <c r="I50" i="20"/>
  <c r="H50" i="20"/>
  <c r="G50" i="20"/>
  <c r="F50" i="20"/>
  <c r="E50" i="20"/>
  <c r="D50" i="20"/>
  <c r="U49" i="20"/>
  <c r="T49" i="20"/>
  <c r="S49" i="20"/>
  <c r="R49" i="20"/>
  <c r="Q49" i="20"/>
  <c r="P49" i="20"/>
  <c r="O49" i="20"/>
  <c r="N49" i="20"/>
  <c r="M49" i="20"/>
  <c r="L49" i="20"/>
  <c r="K49" i="20"/>
  <c r="J49" i="20"/>
  <c r="I49" i="20"/>
  <c r="H49" i="20"/>
  <c r="G49" i="20"/>
  <c r="F49" i="20"/>
  <c r="E49" i="20"/>
  <c r="D49" i="20"/>
  <c r="Q33" i="20"/>
  <c r="L33" i="20"/>
  <c r="I33" i="20"/>
  <c r="R30" i="20"/>
  <c r="R33" i="20" s="1"/>
  <c r="Q30" i="20"/>
  <c r="P30" i="20"/>
  <c r="O30" i="20"/>
  <c r="O33" i="20" s="1"/>
  <c r="N30" i="20"/>
  <c r="N33" i="20" s="1"/>
  <c r="M30" i="20"/>
  <c r="L30" i="20"/>
  <c r="K30" i="20"/>
  <c r="K33" i="20" s="1"/>
  <c r="J30" i="20"/>
  <c r="J33" i="20" s="1"/>
  <c r="I30" i="20"/>
  <c r="H30" i="20"/>
  <c r="AC11" i="20"/>
  <c r="AB11" i="20"/>
  <c r="AA11" i="20"/>
  <c r="Z11" i="20"/>
  <c r="Y11" i="20"/>
  <c r="X11" i="20"/>
  <c r="W11" i="20"/>
  <c r="V11" i="20"/>
  <c r="U11" i="20"/>
  <c r="T11" i="20"/>
  <c r="S11" i="20"/>
  <c r="R11" i="20"/>
  <c r="Q11" i="20"/>
  <c r="P11" i="20"/>
  <c r="O11" i="20"/>
  <c r="N11" i="20"/>
  <c r="M11" i="20"/>
  <c r="L11" i="20"/>
  <c r="K11" i="20"/>
  <c r="J11" i="20"/>
  <c r="I11" i="20"/>
  <c r="H11" i="20"/>
  <c r="Q106" i="26"/>
  <c r="Q63" i="20" s="1"/>
  <c r="P106" i="26"/>
  <c r="P63" i="20" s="1"/>
  <c r="O106" i="26"/>
  <c r="O63" i="20" s="1"/>
  <c r="N106" i="26"/>
  <c r="N63" i="20" s="1"/>
  <c r="M106" i="26"/>
  <c r="M63" i="20" s="1"/>
  <c r="L106" i="26"/>
  <c r="L63" i="20" s="1"/>
  <c r="K106" i="26"/>
  <c r="K63" i="20" s="1"/>
  <c r="J106" i="26"/>
  <c r="J63" i="20" s="1"/>
  <c r="I106" i="26"/>
  <c r="H106" i="26"/>
  <c r="AD83" i="26"/>
  <c r="P82" i="26"/>
  <c r="AA79" i="26"/>
  <c r="Z79" i="26"/>
  <c r="AC78" i="26"/>
  <c r="AB78" i="26"/>
  <c r="AA78" i="26"/>
  <c r="Z78" i="26"/>
  <c r="Y78" i="26"/>
  <c r="AB77" i="26"/>
  <c r="T77" i="26"/>
  <c r="L77" i="26"/>
  <c r="C69" i="26"/>
  <c r="C68" i="26"/>
  <c r="C67" i="26"/>
  <c r="C66" i="26"/>
  <c r="C65" i="26"/>
  <c r="C50" i="26" s="1"/>
  <c r="C64" i="26"/>
  <c r="C63" i="26"/>
  <c r="X34" i="26" s="1"/>
  <c r="C62" i="26"/>
  <c r="C61" i="26"/>
  <c r="C60" i="26"/>
  <c r="C59" i="26"/>
  <c r="C54" i="26"/>
  <c r="E50" i="26"/>
  <c r="C49" i="26"/>
  <c r="C48" i="26"/>
  <c r="C47" i="26"/>
  <c r="C46" i="26"/>
  <c r="AB39" i="26"/>
  <c r="T39" i="26"/>
  <c r="Q36" i="26"/>
  <c r="N36" i="26"/>
  <c r="AD36" i="26" s="1"/>
  <c r="AE19" i="26" s="1"/>
  <c r="R34" i="26"/>
  <c r="Q34" i="26"/>
  <c r="V33" i="26"/>
  <c r="N33" i="26"/>
  <c r="X32" i="26"/>
  <c r="W32" i="26"/>
  <c r="V32" i="26"/>
  <c r="U32" i="26"/>
  <c r="T32" i="26"/>
  <c r="S32" i="26"/>
  <c r="R32" i="26"/>
  <c r="Q32" i="26"/>
  <c r="P32" i="26"/>
  <c r="O32" i="26"/>
  <c r="N32" i="26"/>
  <c r="M32" i="26"/>
  <c r="AD32" i="26" s="1"/>
  <c r="N31" i="26"/>
  <c r="AD31" i="26" s="1"/>
  <c r="M31" i="26"/>
  <c r="M30" i="26"/>
  <c r="AC29" i="26"/>
  <c r="AB29" i="26"/>
  <c r="AA29" i="26"/>
  <c r="Z29" i="26"/>
  <c r="Y29" i="26"/>
  <c r="AD28" i="26"/>
  <c r="AD27" i="26"/>
  <c r="AD26" i="26"/>
  <c r="J26" i="26"/>
  <c r="P25" i="26"/>
  <c r="O25" i="26"/>
  <c r="N25" i="26"/>
  <c r="AD25" i="26" s="1"/>
  <c r="M25" i="26"/>
  <c r="L25" i="26"/>
  <c r="K25" i="26"/>
  <c r="J25" i="26"/>
  <c r="AC19" i="26"/>
  <c r="AB19" i="26"/>
  <c r="AA19" i="26"/>
  <c r="Z19" i="26"/>
  <c r="Y19" i="26"/>
  <c r="X19" i="26"/>
  <c r="W19" i="26"/>
  <c r="V19" i="26"/>
  <c r="U19" i="26"/>
  <c r="T19" i="26"/>
  <c r="S19" i="26"/>
  <c r="R19" i="26"/>
  <c r="Q19" i="26"/>
  <c r="P19" i="26"/>
  <c r="O19" i="26"/>
  <c r="N19" i="26"/>
  <c r="AD19" i="26" s="1"/>
  <c r="M19" i="26"/>
  <c r="L19" i="26"/>
  <c r="K19" i="26"/>
  <c r="S18" i="26"/>
  <c r="Q18" i="26"/>
  <c r="P18" i="26"/>
  <c r="AB17" i="26"/>
  <c r="T17" i="26"/>
  <c r="AC16" i="26"/>
  <c r="AC79" i="26" s="1"/>
  <c r="AB16" i="26"/>
  <c r="AB79" i="26" s="1"/>
  <c r="AA16" i="26"/>
  <c r="Z16" i="26"/>
  <c r="Y16" i="26"/>
  <c r="Y79" i="26" s="1"/>
  <c r="AC15" i="26"/>
  <c r="AB15" i="26"/>
  <c r="AA15" i="26"/>
  <c r="Z15" i="26"/>
  <c r="Y15" i="26"/>
  <c r="M15" i="26"/>
  <c r="D49" i="26" s="1"/>
  <c r="E49" i="26" s="1"/>
  <c r="AC14" i="26"/>
  <c r="AC77" i="26" s="1"/>
  <c r="AB14" i="26"/>
  <c r="AA14" i="26"/>
  <c r="AA77" i="26" s="1"/>
  <c r="Z14" i="26"/>
  <c r="Z77" i="26" s="1"/>
  <c r="Y14" i="26"/>
  <c r="Y77" i="26" s="1"/>
  <c r="X14" i="26"/>
  <c r="X77" i="26" s="1"/>
  <c r="W14" i="26"/>
  <c r="W77" i="26" s="1"/>
  <c r="V14" i="26"/>
  <c r="V77" i="26" s="1"/>
  <c r="U14" i="26"/>
  <c r="U77" i="26" s="1"/>
  <c r="T14" i="26"/>
  <c r="R14" i="26"/>
  <c r="R77" i="26" s="1"/>
  <c r="Q14" i="26"/>
  <c r="Q77" i="26" s="1"/>
  <c r="P14" i="26"/>
  <c r="P77" i="26" s="1"/>
  <c r="O14" i="26"/>
  <c r="O77" i="26" s="1"/>
  <c r="N14" i="26"/>
  <c r="N77" i="26" s="1"/>
  <c r="M14" i="26"/>
  <c r="M77" i="26" s="1"/>
  <c r="L14" i="26"/>
  <c r="K14" i="26"/>
  <c r="K77" i="26" s="1"/>
  <c r="J14" i="26"/>
  <c r="J77" i="26" s="1"/>
  <c r="R13" i="26"/>
  <c r="R82" i="26" s="1"/>
  <c r="Q13" i="26"/>
  <c r="Q82" i="26" s="1"/>
  <c r="P13" i="26"/>
  <c r="O13" i="26"/>
  <c r="O82" i="26" s="1"/>
  <c r="N13" i="26"/>
  <c r="N82" i="26" s="1"/>
  <c r="M13" i="26"/>
  <c r="M82" i="26" s="1"/>
  <c r="L13" i="26"/>
  <c r="L82" i="26" s="1"/>
  <c r="K13" i="26"/>
  <c r="J13" i="26"/>
  <c r="AE12" i="26"/>
  <c r="AD12" i="26"/>
  <c r="J12" i="26"/>
  <c r="D46" i="26" s="1"/>
  <c r="R11" i="26"/>
  <c r="K11" i="26"/>
  <c r="K20" i="26" s="1"/>
  <c r="K80" i="26" s="1"/>
  <c r="J11" i="26"/>
  <c r="J20" i="26" s="1"/>
  <c r="J80" i="26" s="1"/>
  <c r="R10" i="26"/>
  <c r="Q10" i="26"/>
  <c r="P10" i="26"/>
  <c r="O10" i="26"/>
  <c r="N10" i="26"/>
  <c r="M10" i="26"/>
  <c r="L10" i="26"/>
  <c r="K10" i="26"/>
  <c r="J10" i="26"/>
  <c r="I10" i="26"/>
  <c r="H10" i="26"/>
  <c r="G10" i="26"/>
  <c r="F10" i="26"/>
  <c r="E10" i="26"/>
  <c r="D10" i="26"/>
  <c r="R9" i="26"/>
  <c r="Q9" i="26"/>
  <c r="Q11" i="26" s="1"/>
  <c r="P9" i="26"/>
  <c r="P11" i="26" s="1"/>
  <c r="O9" i="26"/>
  <c r="O11" i="26" s="1"/>
  <c r="N9" i="26"/>
  <c r="N11" i="26" s="1"/>
  <c r="M9" i="26"/>
  <c r="M11" i="26" s="1"/>
  <c r="L9" i="26"/>
  <c r="K9" i="26"/>
  <c r="J9" i="26"/>
  <c r="I9" i="26"/>
  <c r="I11" i="26" s="1"/>
  <c r="I20" i="26" s="1"/>
  <c r="I80" i="26" s="1"/>
  <c r="I75" i="26" s="1"/>
  <c r="I64" i="20" s="1"/>
  <c r="H9" i="26"/>
  <c r="H11" i="26" s="1"/>
  <c r="H20" i="26" s="1"/>
  <c r="H80" i="26" s="1"/>
  <c r="H75" i="26" s="1"/>
  <c r="H64" i="20" s="1"/>
  <c r="G9" i="26"/>
  <c r="G11" i="26" s="1"/>
  <c r="G20" i="26" s="1"/>
  <c r="F9" i="26"/>
  <c r="F11" i="26" s="1"/>
  <c r="F20" i="26" s="1"/>
  <c r="E9" i="26"/>
  <c r="E11" i="26" s="1"/>
  <c r="E20" i="26" s="1"/>
  <c r="D9" i="26"/>
  <c r="D49" i="25"/>
  <c r="D46" i="25"/>
  <c r="D43" i="25"/>
  <c r="D40" i="25"/>
  <c r="D37" i="25"/>
  <c r="P22" i="25" s="1"/>
  <c r="D34" i="25"/>
  <c r="O22" i="25" s="1"/>
  <c r="D31" i="25"/>
  <c r="D28" i="25"/>
  <c r="R22" i="25"/>
  <c r="Q22" i="25"/>
  <c r="N22" i="25"/>
  <c r="M22" i="25"/>
  <c r="R18"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N13" i="25" s="1"/>
  <c r="M17" i="25"/>
  <c r="M13" i="25" s="1"/>
  <c r="L17" i="25"/>
  <c r="K17" i="25"/>
  <c r="J17" i="25"/>
  <c r="I17" i="25"/>
  <c r="H17" i="25"/>
  <c r="G17" i="25"/>
  <c r="F17" i="25"/>
  <c r="E17" i="25"/>
  <c r="D17" i="25"/>
  <c r="S16" i="25"/>
  <c r="T16" i="25" s="1"/>
  <c r="U16" i="25" s="1"/>
  <c r="V16" i="25" s="1"/>
  <c r="W16" i="25" s="1"/>
  <c r="X16" i="25" s="1"/>
  <c r="Y16" i="25" s="1"/>
  <c r="Z16" i="25" s="1"/>
  <c r="AA16" i="25" s="1"/>
  <c r="AB16" i="25" s="1"/>
  <c r="AC16" i="25" s="1"/>
  <c r="R16" i="25"/>
  <c r="Q16" i="25"/>
  <c r="P16" i="25"/>
  <c r="P13" i="25" s="1"/>
  <c r="O16" i="25"/>
  <c r="O13" i="25" s="1"/>
  <c r="O20" i="25" s="1"/>
  <c r="N16" i="25"/>
  <c r="M16" i="25"/>
  <c r="L16" i="25"/>
  <c r="K16" i="25"/>
  <c r="J16" i="25"/>
  <c r="I16" i="25"/>
  <c r="H16" i="25"/>
  <c r="H13" i="25" s="1"/>
  <c r="G16" i="25"/>
  <c r="F16" i="25"/>
  <c r="E16" i="25"/>
  <c r="D16" i="25"/>
  <c r="R15" i="25"/>
  <c r="R13" i="25" s="1"/>
  <c r="Q15" i="25"/>
  <c r="P15" i="25"/>
  <c r="O15" i="25"/>
  <c r="N15" i="25"/>
  <c r="M15" i="25"/>
  <c r="L15" i="25"/>
  <c r="K15" i="25"/>
  <c r="J15" i="25"/>
  <c r="J13" i="25" s="1"/>
  <c r="I15" i="25"/>
  <c r="I13" i="25" s="1"/>
  <c r="H15" i="25"/>
  <c r="G15" i="25"/>
  <c r="F15" i="25"/>
  <c r="E15" i="25"/>
  <c r="D15" i="25"/>
  <c r="S14" i="25"/>
  <c r="R14" i="25"/>
  <c r="Q14" i="25"/>
  <c r="P14" i="25"/>
  <c r="O14" i="25"/>
  <c r="N14" i="25"/>
  <c r="M14" i="25"/>
  <c r="L14" i="25"/>
  <c r="K14" i="25"/>
  <c r="K13" i="25" s="1"/>
  <c r="J14" i="25"/>
  <c r="I14" i="25"/>
  <c r="H14" i="25"/>
  <c r="G14" i="25"/>
  <c r="F14" i="25"/>
  <c r="E14" i="25"/>
  <c r="D14" i="25"/>
  <c r="L13" i="25"/>
  <c r="R12" i="25"/>
  <c r="S12" i="25" s="1"/>
  <c r="Q12" i="25"/>
  <c r="P12" i="25"/>
  <c r="O12" i="25"/>
  <c r="N12" i="25"/>
  <c r="M12" i="25"/>
  <c r="L12" i="25"/>
  <c r="K12" i="25"/>
  <c r="J12" i="25"/>
  <c r="I12" i="25"/>
  <c r="H12" i="25"/>
  <c r="G12" i="25"/>
  <c r="F12" i="25"/>
  <c r="E12" i="25"/>
  <c r="D12" i="25"/>
  <c r="R11" i="25"/>
  <c r="Q11" i="25"/>
  <c r="P11" i="25"/>
  <c r="O11" i="25"/>
  <c r="N11" i="25"/>
  <c r="M11" i="25"/>
  <c r="L11" i="25"/>
  <c r="K11" i="25"/>
  <c r="J11" i="25"/>
  <c r="I11" i="25"/>
  <c r="H11" i="25"/>
  <c r="G11" i="25"/>
  <c r="F11" i="25"/>
  <c r="F20" i="25" s="1"/>
  <c r="E11" i="25"/>
  <c r="E20" i="25" s="1"/>
  <c r="D11" i="25"/>
  <c r="O14" i="56"/>
  <c r="O13" i="56"/>
  <c r="O12" i="56"/>
  <c r="O11" i="56"/>
  <c r="O10" i="56"/>
  <c r="O9" i="56"/>
  <c r="O8" i="56"/>
  <c r="O7" i="56"/>
  <c r="O6" i="56"/>
  <c r="O5" i="56"/>
  <c r="O4" i="56"/>
  <c r="D2" i="56"/>
  <c r="E2" i="56" s="1"/>
  <c r="F2" i="56" s="1"/>
  <c r="G2" i="56" s="1"/>
  <c r="H2" i="56" s="1"/>
  <c r="I2" i="56" s="1"/>
  <c r="J2" i="56" s="1"/>
  <c r="K2" i="56" s="1"/>
  <c r="L2" i="56" s="1"/>
  <c r="M2" i="56" s="1"/>
  <c r="N2" i="56" s="1"/>
  <c r="Q14" i="40"/>
  <c r="R13" i="40"/>
  <c r="R14" i="40" s="1"/>
  <c r="Q13" i="40"/>
  <c r="P13" i="40"/>
  <c r="O13" i="40"/>
  <c r="O14" i="40" s="1"/>
  <c r="N13" i="40"/>
  <c r="N14" i="40" s="1"/>
  <c r="N15" i="40" s="1"/>
  <c r="M13" i="40"/>
  <c r="M14" i="40" s="1"/>
  <c r="M16" i="40" s="1"/>
  <c r="L13" i="40"/>
  <c r="K13" i="40"/>
  <c r="K14" i="40" s="1"/>
  <c r="J13" i="40"/>
  <c r="J14" i="40" s="1"/>
  <c r="R12" i="40"/>
  <c r="R16" i="40" s="1"/>
  <c r="S16" i="40" s="1"/>
  <c r="S12" i="40" s="1"/>
  <c r="S14" i="26" s="1"/>
  <c r="S77" i="26" s="1"/>
  <c r="Q12" i="40"/>
  <c r="P12" i="40"/>
  <c r="O12" i="40"/>
  <c r="O16" i="40" s="1"/>
  <c r="N12" i="40"/>
  <c r="N16" i="40" s="1"/>
  <c r="M12" i="40"/>
  <c r="L12" i="40"/>
  <c r="K12" i="40"/>
  <c r="K16" i="40" s="1"/>
  <c r="J12" i="40"/>
  <c r="J16" i="40" s="1"/>
  <c r="T11" i="40"/>
  <c r="T19" i="59" s="1"/>
  <c r="R11" i="40"/>
  <c r="R19" i="59" s="1"/>
  <c r="Q11" i="40"/>
  <c r="Q19" i="59" s="1"/>
  <c r="P11" i="40"/>
  <c r="O11" i="40"/>
  <c r="O19" i="59" s="1"/>
  <c r="N11" i="40"/>
  <c r="N19" i="59" s="1"/>
  <c r="M11" i="40"/>
  <c r="M19" i="59" s="1"/>
  <c r="L11" i="40"/>
  <c r="L19" i="59" s="1"/>
  <c r="L24" i="59" s="1"/>
  <c r="K11" i="40"/>
  <c r="K19" i="59" s="1"/>
  <c r="K24" i="59" s="1"/>
  <c r="J11" i="40"/>
  <c r="J19" i="59" s="1"/>
  <c r="J24" i="59" s="1"/>
  <c r="L65" i="38"/>
  <c r="J65" i="38"/>
  <c r="I65" i="38"/>
  <c r="L64" i="38"/>
  <c r="L55" i="38"/>
  <c r="J55" i="38"/>
  <c r="J56" i="38" s="1"/>
  <c r="P54" i="38"/>
  <c r="O54" i="38"/>
  <c r="O55" i="38" s="1"/>
  <c r="K67" i="38" s="1"/>
  <c r="N54" i="38"/>
  <c r="N55" i="38" s="1"/>
  <c r="P48" i="38" s="1"/>
  <c r="M54" i="38"/>
  <c r="M55" i="38" s="1"/>
  <c r="O48" i="38" s="1"/>
  <c r="L54" i="38"/>
  <c r="K54" i="38"/>
  <c r="K55" i="38" s="1"/>
  <c r="M48" i="38" s="1"/>
  <c r="J54" i="38"/>
  <c r="P53" i="38"/>
  <c r="O53" i="38"/>
  <c r="N53" i="38"/>
  <c r="N22" i="59" s="1"/>
  <c r="M53" i="38"/>
  <c r="M22" i="59" s="1"/>
  <c r="L53" i="38"/>
  <c r="L22" i="59" s="1"/>
  <c r="K53" i="38"/>
  <c r="K22" i="59" s="1"/>
  <c r="J53" i="38"/>
  <c r="J22" i="59" s="1"/>
  <c r="N48" i="38"/>
  <c r="J45" i="38"/>
  <c r="Q44" i="38"/>
  <c r="J44" i="38"/>
  <c r="Q43" i="38"/>
  <c r="J43" i="38"/>
  <c r="J42" i="38"/>
  <c r="J41" i="38"/>
  <c r="Q40" i="38"/>
  <c r="J40" i="38"/>
  <c r="Q39" i="38"/>
  <c r="J39" i="38"/>
  <c r="T38" i="38"/>
  <c r="T39" i="38" s="1"/>
  <c r="T40" i="38" s="1"/>
  <c r="P40" i="38" s="1"/>
  <c r="R40" i="38" s="1"/>
  <c r="S38" i="38"/>
  <c r="S39" i="38" s="1"/>
  <c r="S40" i="38" s="1"/>
  <c r="S41" i="38" s="1"/>
  <c r="S42" i="38" s="1"/>
  <c r="S43" i="38" s="1"/>
  <c r="S44" i="38" s="1"/>
  <c r="S45" i="38" s="1"/>
  <c r="J38" i="38"/>
  <c r="Q37" i="38"/>
  <c r="J37" i="38"/>
  <c r="P37" i="38" s="1"/>
  <c r="R37" i="38" s="1"/>
  <c r="P36" i="38"/>
  <c r="J36" i="38"/>
  <c r="J35" i="38"/>
  <c r="J34" i="38"/>
  <c r="P33" i="38"/>
  <c r="J33" i="38"/>
  <c r="P32" i="38"/>
  <c r="J32" i="38"/>
  <c r="J31" i="38"/>
  <c r="T30" i="38"/>
  <c r="T31" i="38" s="1"/>
  <c r="T32" i="38" s="1"/>
  <c r="T33" i="38" s="1"/>
  <c r="T34" i="38" s="1"/>
  <c r="T35" i="38" s="1"/>
  <c r="T36" i="38" s="1"/>
  <c r="J30" i="38"/>
  <c r="S29" i="38"/>
  <c r="P29" i="38"/>
  <c r="J29" i="38"/>
  <c r="T28" i="38"/>
  <c r="T29" i="38" s="1"/>
  <c r="S28" i="38"/>
  <c r="P28" i="38"/>
  <c r="O28" i="38"/>
  <c r="J28" i="38"/>
  <c r="J27" i="38"/>
  <c r="N26" i="38"/>
  <c r="J26" i="38"/>
  <c r="J25" i="38"/>
  <c r="S24" i="38"/>
  <c r="N24" i="38"/>
  <c r="J24" i="38"/>
  <c r="S23" i="38"/>
  <c r="N23" i="38"/>
  <c r="M23" i="38"/>
  <c r="J23" i="38"/>
  <c r="M22" i="38"/>
  <c r="N22" i="38" s="1"/>
  <c r="J22" i="38"/>
  <c r="J21" i="38"/>
  <c r="M20" i="38"/>
  <c r="J20" i="38"/>
  <c r="M19" i="38"/>
  <c r="J19" i="38"/>
  <c r="M18" i="38"/>
  <c r="J18" i="38"/>
  <c r="M17" i="38"/>
  <c r="J17" i="38"/>
  <c r="J16" i="38"/>
  <c r="S15" i="38"/>
  <c r="S16" i="38" s="1"/>
  <c r="S17" i="38" s="1"/>
  <c r="J15" i="38"/>
  <c r="S14" i="38"/>
  <c r="M14" i="38"/>
  <c r="N14" i="38" s="1"/>
  <c r="L14" i="38"/>
  <c r="J14" i="38"/>
  <c r="L13" i="38"/>
  <c r="J13" i="38"/>
  <c r="M13" i="38" s="1"/>
  <c r="N12" i="38"/>
  <c r="M12" i="38"/>
  <c r="L12" i="38"/>
  <c r="J12" i="38"/>
  <c r="L11" i="38"/>
  <c r="J11" i="38"/>
  <c r="M11" i="38" s="1"/>
  <c r="J9" i="50"/>
  <c r="I9" i="50"/>
  <c r="H9" i="50"/>
  <c r="G9" i="50"/>
  <c r="F9" i="50"/>
  <c r="E9" i="50"/>
  <c r="D9" i="50"/>
  <c r="C9" i="50"/>
  <c r="E6" i="50"/>
  <c r="D6" i="50"/>
  <c r="C6" i="50"/>
  <c r="E5" i="50"/>
  <c r="D5" i="50"/>
  <c r="C5" i="50"/>
  <c r="E4" i="50"/>
  <c r="D4" i="50"/>
  <c r="C4" i="50"/>
  <c r="I42" i="62"/>
  <c r="M22" i="35"/>
  <c r="L22" i="35"/>
  <c r="E22" i="35"/>
  <c r="D22" i="35"/>
  <c r="C20" i="35"/>
  <c r="D22" i="55" s="1"/>
  <c r="C19" i="35"/>
  <c r="N14" i="35"/>
  <c r="M14" i="35"/>
  <c r="L14" i="35"/>
  <c r="K14" i="35"/>
  <c r="J14" i="35"/>
  <c r="I14" i="35"/>
  <c r="H14" i="35"/>
  <c r="G14" i="35"/>
  <c r="F14" i="35"/>
  <c r="E14" i="35"/>
  <c r="D14" i="35"/>
  <c r="C14" i="35"/>
  <c r="N13" i="35"/>
  <c r="M13" i="35"/>
  <c r="L13" i="35"/>
  <c r="K13" i="35"/>
  <c r="J13" i="35"/>
  <c r="I13" i="35"/>
  <c r="H13" i="35"/>
  <c r="G13" i="35"/>
  <c r="F13" i="35"/>
  <c r="E13" i="35"/>
  <c r="D13" i="35"/>
  <c r="C13" i="35"/>
  <c r="C12" i="35"/>
  <c r="C11" i="35"/>
  <c r="N8" i="35"/>
  <c r="M8" i="35"/>
  <c r="L8" i="35"/>
  <c r="K8" i="35"/>
  <c r="J8" i="35"/>
  <c r="I8" i="35"/>
  <c r="H8" i="35"/>
  <c r="G8" i="35"/>
  <c r="F8" i="35"/>
  <c r="E8" i="35"/>
  <c r="D8" i="35"/>
  <c r="H7" i="35"/>
  <c r="I9" i="55" s="1"/>
  <c r="I84" i="55" s="1"/>
  <c r="C5" i="35"/>
  <c r="N4" i="35"/>
  <c r="M4" i="35"/>
  <c r="L4" i="35"/>
  <c r="K4" i="35"/>
  <c r="J4" i="35"/>
  <c r="I4" i="35"/>
  <c r="H4" i="35"/>
  <c r="G4" i="35"/>
  <c r="F4" i="35"/>
  <c r="E4" i="35"/>
  <c r="D4" i="35"/>
  <c r="C4" i="35"/>
  <c r="I91" i="55"/>
  <c r="N90" i="55"/>
  <c r="M90" i="55"/>
  <c r="F90" i="55"/>
  <c r="E90" i="55"/>
  <c r="J85" i="55"/>
  <c r="I85" i="55"/>
  <c r="J81" i="55"/>
  <c r="I81" i="55"/>
  <c r="N74" i="55"/>
  <c r="M74" i="55"/>
  <c r="F74" i="55"/>
  <c r="E74" i="55"/>
  <c r="N66" i="55"/>
  <c r="M66" i="55"/>
  <c r="F66" i="55"/>
  <c r="E66" i="55"/>
  <c r="M65" i="55"/>
  <c r="J65" i="55"/>
  <c r="I65" i="55"/>
  <c r="E65" i="55"/>
  <c r="M60" i="55"/>
  <c r="E60" i="55"/>
  <c r="I59" i="55"/>
  <c r="M56" i="55"/>
  <c r="N24" i="55"/>
  <c r="N99" i="55" s="1"/>
  <c r="M24" i="55"/>
  <c r="M99" i="55" s="1"/>
  <c r="F24" i="55"/>
  <c r="F99" i="55" s="1"/>
  <c r="E24" i="55"/>
  <c r="E99" i="55" s="1"/>
  <c r="C24" i="55"/>
  <c r="B24" i="55"/>
  <c r="C23" i="55"/>
  <c r="B23" i="55"/>
  <c r="C22" i="55"/>
  <c r="B22" i="55"/>
  <c r="D21" i="55"/>
  <c r="D96" i="55" s="1"/>
  <c r="C21" i="55"/>
  <c r="B21" i="55"/>
  <c r="C20" i="55"/>
  <c r="B20" i="55"/>
  <c r="C19" i="55"/>
  <c r="B19" i="55"/>
  <c r="C18" i="55"/>
  <c r="B18" i="55"/>
  <c r="C17" i="55"/>
  <c r="B17" i="55"/>
  <c r="O16" i="55"/>
  <c r="O91" i="55" s="1"/>
  <c r="N16" i="55"/>
  <c r="N91" i="55" s="1"/>
  <c r="M16" i="55"/>
  <c r="M91" i="55" s="1"/>
  <c r="L16" i="55"/>
  <c r="L66" i="55" s="1"/>
  <c r="K16" i="55"/>
  <c r="K66" i="55" s="1"/>
  <c r="J16" i="55"/>
  <c r="J66" i="55" s="1"/>
  <c r="I16" i="55"/>
  <c r="I66" i="55" s="1"/>
  <c r="H16" i="55"/>
  <c r="H91" i="55" s="1"/>
  <c r="G16" i="55"/>
  <c r="G91" i="55" s="1"/>
  <c r="F16" i="55"/>
  <c r="F91" i="55" s="1"/>
  <c r="E16" i="55"/>
  <c r="E91" i="55" s="1"/>
  <c r="D16" i="55"/>
  <c r="D66" i="55" s="1"/>
  <c r="C16" i="55"/>
  <c r="B16" i="55"/>
  <c r="O15" i="55"/>
  <c r="N15" i="55"/>
  <c r="N65" i="55" s="1"/>
  <c r="M15" i="55"/>
  <c r="L15" i="55"/>
  <c r="L90" i="55" s="1"/>
  <c r="K15" i="55"/>
  <c r="K90" i="55" s="1"/>
  <c r="J15" i="55"/>
  <c r="J90" i="55" s="1"/>
  <c r="I15" i="55"/>
  <c r="I90" i="55" s="1"/>
  <c r="H15" i="55"/>
  <c r="H65" i="55" s="1"/>
  <c r="G15" i="55"/>
  <c r="F15" i="55"/>
  <c r="F65" i="55" s="1"/>
  <c r="E15" i="55"/>
  <c r="D15" i="55"/>
  <c r="D90" i="55" s="1"/>
  <c r="C15" i="55"/>
  <c r="B15" i="55"/>
  <c r="D14" i="55"/>
  <c r="D64" i="55" s="1"/>
  <c r="C14" i="55"/>
  <c r="B14" i="55"/>
  <c r="D13" i="55"/>
  <c r="D88" i="55" s="1"/>
  <c r="C13" i="55"/>
  <c r="B13" i="55"/>
  <c r="C12" i="55"/>
  <c r="B12" i="55"/>
  <c r="C11" i="55"/>
  <c r="B11" i="55"/>
  <c r="O10" i="55"/>
  <c r="O85" i="55" s="1"/>
  <c r="N10" i="55"/>
  <c r="N85" i="55" s="1"/>
  <c r="M10" i="55"/>
  <c r="M85" i="55" s="1"/>
  <c r="L10" i="55"/>
  <c r="L60" i="55" s="1"/>
  <c r="K10" i="55"/>
  <c r="K60" i="55" s="1"/>
  <c r="J10" i="55"/>
  <c r="J60" i="55" s="1"/>
  <c r="I10" i="55"/>
  <c r="I60" i="55" s="1"/>
  <c r="H10" i="55"/>
  <c r="H85" i="55" s="1"/>
  <c r="G10" i="55"/>
  <c r="G85" i="55" s="1"/>
  <c r="F10" i="55"/>
  <c r="F85" i="55" s="1"/>
  <c r="E10" i="55"/>
  <c r="E85" i="55" s="1"/>
  <c r="C10" i="55"/>
  <c r="B10" i="55"/>
  <c r="C9" i="55"/>
  <c r="B9" i="55"/>
  <c r="C8" i="55"/>
  <c r="B8" i="55"/>
  <c r="D7" i="55"/>
  <c r="D82" i="55" s="1"/>
  <c r="C7" i="55"/>
  <c r="B7" i="55"/>
  <c r="O6" i="55"/>
  <c r="O81" i="55" s="1"/>
  <c r="N6" i="55"/>
  <c r="N81" i="55" s="1"/>
  <c r="M6" i="55"/>
  <c r="M81" i="55" s="1"/>
  <c r="L6" i="55"/>
  <c r="L56" i="55" s="1"/>
  <c r="K6" i="55"/>
  <c r="K56" i="55" s="1"/>
  <c r="J6" i="55"/>
  <c r="J56" i="55" s="1"/>
  <c r="I6" i="55"/>
  <c r="I56" i="55" s="1"/>
  <c r="H6" i="55"/>
  <c r="H81" i="55" s="1"/>
  <c r="G6" i="55"/>
  <c r="G81" i="55" s="1"/>
  <c r="F6" i="55"/>
  <c r="F81" i="55" s="1"/>
  <c r="E6" i="55"/>
  <c r="E81" i="55" s="1"/>
  <c r="D6" i="55"/>
  <c r="D56" i="55" s="1"/>
  <c r="C6" i="55"/>
  <c r="B6" i="55"/>
  <c r="C5" i="55"/>
  <c r="B5" i="55"/>
  <c r="C4" i="55"/>
  <c r="B4"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G29" i="46"/>
  <c r="F29" i="46"/>
  <c r="E29" i="46"/>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D72" i="55" l="1"/>
  <c r="D97" i="55"/>
  <c r="G65" i="55"/>
  <c r="G90" i="55"/>
  <c r="O65" i="55"/>
  <c r="O90" i="55"/>
  <c r="E56" i="55"/>
  <c r="S18" i="38"/>
  <c r="L17" i="38"/>
  <c r="N17" i="38" s="1"/>
  <c r="N21" i="38"/>
  <c r="M21" i="38"/>
  <c r="N56" i="55"/>
  <c r="N60" i="55"/>
  <c r="J91" i="55"/>
  <c r="S25" i="38"/>
  <c r="M24" i="38"/>
  <c r="O24" i="38" s="1"/>
  <c r="F56" i="55"/>
  <c r="F60" i="55"/>
  <c r="G56" i="55"/>
  <c r="O56" i="55"/>
  <c r="G60" i="55"/>
  <c r="O60" i="55"/>
  <c r="K65" i="55"/>
  <c r="G66" i="55"/>
  <c r="O66" i="55"/>
  <c r="K81" i="55"/>
  <c r="K85" i="55"/>
  <c r="K91" i="55"/>
  <c r="N13" i="38"/>
  <c r="N16" i="38"/>
  <c r="M16" i="38"/>
  <c r="N25" i="38"/>
  <c r="P31" i="38"/>
  <c r="K69" i="38"/>
  <c r="K66" i="38"/>
  <c r="P16" i="40"/>
  <c r="O15" i="40"/>
  <c r="H56" i="55"/>
  <c r="D57" i="55"/>
  <c r="H60" i="55"/>
  <c r="D63" i="55"/>
  <c r="D65" i="55"/>
  <c r="L65" i="55"/>
  <c r="H66" i="55"/>
  <c r="D71" i="55"/>
  <c r="D81" i="55"/>
  <c r="L81" i="55"/>
  <c r="L85" i="55"/>
  <c r="D89" i="55"/>
  <c r="H90" i="55"/>
  <c r="D91" i="55"/>
  <c r="L91" i="55"/>
  <c r="N11" i="38"/>
  <c r="L16" i="38"/>
  <c r="O23" i="38"/>
  <c r="R38" i="38"/>
  <c r="Q38" i="38"/>
  <c r="O22" i="59"/>
  <c r="O56" i="38"/>
  <c r="K65" i="38"/>
  <c r="K70" i="38" s="1"/>
  <c r="P55" i="38"/>
  <c r="L70" i="38"/>
  <c r="Q16" i="40"/>
  <c r="P17" i="40"/>
  <c r="P35" i="38"/>
  <c r="P22" i="59"/>
  <c r="P56" i="38"/>
  <c r="I67" i="38"/>
  <c r="Q17" i="40"/>
  <c r="T12" i="25"/>
  <c r="J67" i="38"/>
  <c r="J70" i="38" s="1"/>
  <c r="J17" i="40"/>
  <c r="D19" i="25"/>
  <c r="D20" i="25"/>
  <c r="L20" i="25"/>
  <c r="T41" i="38"/>
  <c r="K17" i="40"/>
  <c r="P19" i="59"/>
  <c r="Q28" i="38"/>
  <c r="S30" i="38"/>
  <c r="O29" i="38"/>
  <c r="Q29" i="38" s="1"/>
  <c r="P39" i="38"/>
  <c r="R39" i="38" s="1"/>
  <c r="Q42" i="38"/>
  <c r="K56" i="38"/>
  <c r="L14" i="40"/>
  <c r="V14" i="40" s="1"/>
  <c r="P14" i="40"/>
  <c r="P15" i="40" s="1"/>
  <c r="R17" i="40"/>
  <c r="S17" i="40" s="1"/>
  <c r="S13" i="40" s="1"/>
  <c r="S19" i="30" s="1"/>
  <c r="F14" i="59"/>
  <c r="F73" i="59" s="1"/>
  <c r="N20" i="25"/>
  <c r="E14" i="59"/>
  <c r="M20" i="25"/>
  <c r="E19" i="25"/>
  <c r="J75" i="26"/>
  <c r="P38" i="38"/>
  <c r="L56" i="38"/>
  <c r="L17" i="40"/>
  <c r="S15" i="25"/>
  <c r="T15" i="25" s="1"/>
  <c r="U15" i="25" s="1"/>
  <c r="V15" i="25" s="1"/>
  <c r="W15" i="25" s="1"/>
  <c r="X15" i="25" s="1"/>
  <c r="Y15" i="25" s="1"/>
  <c r="Z15" i="25" s="1"/>
  <c r="AA15" i="25" s="1"/>
  <c r="AB15" i="25" s="1"/>
  <c r="AC15" i="25" s="1"/>
  <c r="F19" i="25"/>
  <c r="M33" i="20"/>
  <c r="M56" i="38"/>
  <c r="L67" i="38"/>
  <c r="L69" i="38" s="1"/>
  <c r="Q15" i="40"/>
  <c r="M17" i="40"/>
  <c r="G19" i="25"/>
  <c r="O19" i="25"/>
  <c r="O14" i="59" s="1"/>
  <c r="O73" i="59" s="1"/>
  <c r="O74" i="59" s="1"/>
  <c r="M19" i="25"/>
  <c r="E46" i="26"/>
  <c r="C58" i="26"/>
  <c r="C53" i="26" s="1"/>
  <c r="K13" i="30"/>
  <c r="L15" i="38"/>
  <c r="N15" i="38" s="1"/>
  <c r="O27" i="38"/>
  <c r="N56" i="38"/>
  <c r="J15" i="40"/>
  <c r="R15" i="40"/>
  <c r="S15" i="40" s="1"/>
  <c r="S11" i="40" s="1"/>
  <c r="N17" i="40"/>
  <c r="H19" i="25"/>
  <c r="H20" i="25"/>
  <c r="P20" i="25"/>
  <c r="N19" i="25"/>
  <c r="D47" i="26"/>
  <c r="E47" i="26" s="1"/>
  <c r="AD14" i="26"/>
  <c r="R16" i="26"/>
  <c r="R79" i="26" s="1"/>
  <c r="I13" i="30"/>
  <c r="I12" i="30" s="1"/>
  <c r="I15" i="30"/>
  <c r="M15" i="38"/>
  <c r="P27" i="38"/>
  <c r="Q27" i="38" s="1"/>
  <c r="P30" i="38"/>
  <c r="P34" i="38"/>
  <c r="Q41" i="38"/>
  <c r="Q45" i="38"/>
  <c r="K15" i="40"/>
  <c r="O17" i="40"/>
  <c r="I19" i="25"/>
  <c r="I20" i="25"/>
  <c r="Q20" i="25"/>
  <c r="K82" i="26"/>
  <c r="K75" i="26" s="1"/>
  <c r="U33" i="26"/>
  <c r="M33" i="26"/>
  <c r="T33" i="26"/>
  <c r="S33" i="26"/>
  <c r="R33" i="26"/>
  <c r="Q33" i="26"/>
  <c r="Q16" i="26" s="1"/>
  <c r="Q79" i="26" s="1"/>
  <c r="X33" i="26"/>
  <c r="X16" i="26" s="1"/>
  <c r="X79" i="26" s="1"/>
  <c r="P33" i="26"/>
  <c r="C51" i="26"/>
  <c r="C45" i="26" s="1"/>
  <c r="W33" i="26"/>
  <c r="O33" i="26"/>
  <c r="I63" i="20"/>
  <c r="I65" i="20" s="1"/>
  <c r="AA106" i="26"/>
  <c r="Z106" i="26"/>
  <c r="W106" i="26"/>
  <c r="S106" i="26"/>
  <c r="R106" i="26"/>
  <c r="I44" i="30"/>
  <c r="X12" i="30"/>
  <c r="L15" i="40"/>
  <c r="J19" i="25"/>
  <c r="J20" i="25"/>
  <c r="R20" i="25"/>
  <c r="G20" i="25"/>
  <c r="E48" i="26"/>
  <c r="L66" i="38"/>
  <c r="L71" i="38" s="1"/>
  <c r="M15" i="40"/>
  <c r="K19" i="25"/>
  <c r="K20" i="25"/>
  <c r="D11" i="26"/>
  <c r="D20" i="26" s="1"/>
  <c r="L11" i="26"/>
  <c r="L20" i="26" s="1"/>
  <c r="L80" i="26" s="1"/>
  <c r="L75" i="26" s="1"/>
  <c r="K30" i="59"/>
  <c r="K31" i="59" s="1"/>
  <c r="AA33" i="20"/>
  <c r="S33" i="20"/>
  <c r="Z33" i="20"/>
  <c r="X33" i="20"/>
  <c r="W33" i="20"/>
  <c r="V33" i="20"/>
  <c r="D30" i="59"/>
  <c r="D31" i="59" s="1"/>
  <c r="D29" i="49"/>
  <c r="L28" i="49"/>
  <c r="V19" i="48"/>
  <c r="W110" i="48"/>
  <c r="S34" i="26"/>
  <c r="S16" i="26" s="1"/>
  <c r="S79" i="26" s="1"/>
  <c r="D48" i="26"/>
  <c r="M78" i="26"/>
  <c r="J82" i="26"/>
  <c r="T33" i="20"/>
  <c r="U17" i="30"/>
  <c r="T13" i="30"/>
  <c r="O27" i="30"/>
  <c r="N30" i="26"/>
  <c r="T34" i="26"/>
  <c r="T16" i="26" s="1"/>
  <c r="T79" i="26" s="1"/>
  <c r="H33" i="20"/>
  <c r="P33" i="20"/>
  <c r="Q32" i="20" s="1"/>
  <c r="AX71" i="20" s="1"/>
  <c r="U33" i="20"/>
  <c r="Y12" i="30"/>
  <c r="H44" i="30"/>
  <c r="F28" i="49"/>
  <c r="F12" i="49"/>
  <c r="F27" i="49"/>
  <c r="N12" i="49"/>
  <c r="D19" i="49" s="1"/>
  <c r="D20" i="49" s="1"/>
  <c r="D21" i="49" s="1"/>
  <c r="N27" i="49"/>
  <c r="I31" i="59"/>
  <c r="M34" i="26"/>
  <c r="U34" i="26"/>
  <c r="U16" i="26" s="1"/>
  <c r="U79" i="26" s="1"/>
  <c r="I34" i="20"/>
  <c r="Y33" i="20"/>
  <c r="H15" i="30"/>
  <c r="M15" i="30"/>
  <c r="G28" i="49"/>
  <c r="G27" i="49"/>
  <c r="O28" i="49"/>
  <c r="O27" i="49"/>
  <c r="I30" i="59"/>
  <c r="N34" i="26"/>
  <c r="N16" i="26" s="1"/>
  <c r="N79" i="26" s="1"/>
  <c r="V34" i="26"/>
  <c r="V16" i="26" s="1"/>
  <c r="V79" i="26" s="1"/>
  <c r="AB33" i="20"/>
  <c r="H30" i="59"/>
  <c r="H31" i="59" s="1"/>
  <c r="J30" i="59"/>
  <c r="J29" i="49"/>
  <c r="K71" i="48"/>
  <c r="K28" i="48"/>
  <c r="O34" i="26"/>
  <c r="O16" i="26" s="1"/>
  <c r="O79" i="26" s="1"/>
  <c r="W34" i="26"/>
  <c r="W16" i="26" s="1"/>
  <c r="W79" i="26" s="1"/>
  <c r="AC33" i="20"/>
  <c r="L13" i="30"/>
  <c r="P34" i="26"/>
  <c r="Y106" i="26"/>
  <c r="I12" i="20"/>
  <c r="W12" i="30"/>
  <c r="V12" i="30"/>
  <c r="AC12" i="30"/>
  <c r="U12" i="30"/>
  <c r="AB12" i="30"/>
  <c r="T12" i="30"/>
  <c r="AA12" i="30"/>
  <c r="S12" i="30"/>
  <c r="Z12" i="30"/>
  <c r="M13" i="30"/>
  <c r="K15" i="30"/>
  <c r="R28" i="49"/>
  <c r="C10" i="35" s="1"/>
  <c r="D12" i="55" s="1"/>
  <c r="R30" i="59"/>
  <c r="R31" i="59" s="1"/>
  <c r="T106" i="26"/>
  <c r="AB106" i="26"/>
  <c r="J12" i="30"/>
  <c r="P30" i="59"/>
  <c r="P31" i="59" s="1"/>
  <c r="R12" i="49"/>
  <c r="S12" i="49" s="1"/>
  <c r="D28" i="49"/>
  <c r="J31" i="59"/>
  <c r="U106" i="26"/>
  <c r="AC106" i="26"/>
  <c r="K12" i="30"/>
  <c r="I28" i="49"/>
  <c r="I29" i="49" s="1"/>
  <c r="Q28" i="49"/>
  <c r="Q27" i="49"/>
  <c r="L27" i="49"/>
  <c r="D28" i="33"/>
  <c r="M24" i="59"/>
  <c r="F5" i="50" s="1"/>
  <c r="V106" i="26"/>
  <c r="L12" i="30"/>
  <c r="J28" i="49"/>
  <c r="E29" i="49"/>
  <c r="H28" i="49"/>
  <c r="H29" i="49" s="1"/>
  <c r="J32" i="48"/>
  <c r="J49" i="48"/>
  <c r="J56" i="48" s="1"/>
  <c r="M4" i="21"/>
  <c r="W18" i="59" s="1"/>
  <c r="W24" i="59" s="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N9" i="21"/>
  <c r="Q9" i="21"/>
  <c r="P9" i="21"/>
  <c r="O9" i="21"/>
  <c r="U5" i="21"/>
  <c r="T5" i="21"/>
  <c r="S5" i="21"/>
  <c r="AC17" i="59" s="1"/>
  <c r="N15" i="35" s="1"/>
  <c r="O17" i="55" s="1"/>
  <c r="R5" i="21"/>
  <c r="M12" i="30"/>
  <c r="K28" i="49"/>
  <c r="K29" i="49" s="1"/>
  <c r="E31" i="59"/>
  <c r="M31" i="59"/>
  <c r="C5" i="21"/>
  <c r="F16" i="5"/>
  <c r="E13" i="21"/>
  <c r="E14" i="21" s="1"/>
  <c r="D13" i="21"/>
  <c r="D14" i="21" s="1"/>
  <c r="C13" i="21"/>
  <c r="F9" i="21"/>
  <c r="I9" i="21"/>
  <c r="H9" i="21"/>
  <c r="G9" i="21"/>
  <c r="J16" i="5"/>
  <c r="M5" i="21"/>
  <c r="W17" i="59" s="1"/>
  <c r="H15" i="35" s="1"/>
  <c r="I17" i="55" s="1"/>
  <c r="L5" i="21"/>
  <c r="V17" i="59" s="1"/>
  <c r="G15" i="35" s="1"/>
  <c r="H17" i="55" s="1"/>
  <c r="K5" i="21"/>
  <c r="U17" i="59" s="1"/>
  <c r="F15" i="35" s="1"/>
  <c r="G17" i="55" s="1"/>
  <c r="J5" i="21"/>
  <c r="E8" i="5"/>
  <c r="X106" i="26"/>
  <c r="H63" i="20"/>
  <c r="H65" i="20" s="1"/>
  <c r="N12" i="30"/>
  <c r="H13" i="30"/>
  <c r="H12" i="30" s="1"/>
  <c r="N28" i="30"/>
  <c r="N27" i="30" s="1"/>
  <c r="M28" i="49"/>
  <c r="W12" i="33"/>
  <c r="V12" i="33"/>
  <c r="U12" i="33"/>
  <c r="T12" i="33"/>
  <c r="J66" i="59"/>
  <c r="J64" i="59"/>
  <c r="J20" i="59" s="1"/>
  <c r="R66" i="59"/>
  <c r="R64" i="59"/>
  <c r="R20" i="59" s="1"/>
  <c r="U20" i="48"/>
  <c r="V111" i="48"/>
  <c r="G105" i="48"/>
  <c r="G110" i="48" s="1"/>
  <c r="G100" i="48"/>
  <c r="G109" i="48" s="1"/>
  <c r="O105" i="48"/>
  <c r="O96" i="48" s="1"/>
  <c r="O100" i="48"/>
  <c r="M29" i="49"/>
  <c r="P28" i="49"/>
  <c r="P29" i="49" s="1"/>
  <c r="F52" i="49"/>
  <c r="G52" i="49" s="1"/>
  <c r="H52" i="49" s="1"/>
  <c r="I52" i="49" s="1"/>
  <c r="K111" i="48"/>
  <c r="K16" i="48"/>
  <c r="U10" i="48"/>
  <c r="H105" i="48"/>
  <c r="H96" i="48" s="1"/>
  <c r="H100" i="48"/>
  <c r="H109" i="48" s="1"/>
  <c r="P105" i="48"/>
  <c r="P96" i="48" s="1"/>
  <c r="P100" i="48"/>
  <c r="V18" i="48"/>
  <c r="U18" i="48"/>
  <c r="U16" i="48" s="1"/>
  <c r="F20" i="35" s="1"/>
  <c r="G22" i="55" s="1"/>
  <c r="Q95" i="48"/>
  <c r="K13" i="21"/>
  <c r="K14" i="21" s="1"/>
  <c r="D84" i="59"/>
  <c r="D81" i="59"/>
  <c r="D82" i="59" s="1"/>
  <c r="E28" i="33"/>
  <c r="D83" i="59"/>
  <c r="D87" i="59" s="1"/>
  <c r="L9" i="48"/>
  <c r="K95" i="48"/>
  <c r="G29" i="48"/>
  <c r="O109" i="48"/>
  <c r="E79" i="48"/>
  <c r="E24" i="21"/>
  <c r="O40" i="30" s="1"/>
  <c r="D23" i="21"/>
  <c r="N39" i="30" s="1"/>
  <c r="C6" i="21"/>
  <c r="C20" i="21" s="1"/>
  <c r="M36" i="30" s="1"/>
  <c r="E19" i="21"/>
  <c r="O35" i="30" s="1"/>
  <c r="E20" i="21"/>
  <c r="O36" i="30" s="1"/>
  <c r="F4" i="21"/>
  <c r="I4" i="21"/>
  <c r="S18" i="59" s="1"/>
  <c r="H4" i="21"/>
  <c r="R18" i="59" s="1"/>
  <c r="R24" i="59" s="1"/>
  <c r="G4" i="21"/>
  <c r="Q18" i="59" s="1"/>
  <c r="Q24" i="59" s="1"/>
  <c r="J5" i="50" s="1"/>
  <c r="M21" i="21"/>
  <c r="V49" i="21"/>
  <c r="S17" i="6"/>
  <c r="F29" i="33"/>
  <c r="K64" i="59"/>
  <c r="K20" i="59" s="1"/>
  <c r="P109" i="48"/>
  <c r="O110" i="48"/>
  <c r="K16" i="5"/>
  <c r="M16" i="5"/>
  <c r="F75" i="59"/>
  <c r="F25" i="59" s="1"/>
  <c r="F27" i="59" s="1"/>
  <c r="M95" i="48"/>
  <c r="I109" i="48"/>
  <c r="Q109" i="48"/>
  <c r="H110" i="48"/>
  <c r="C78" i="21"/>
  <c r="D6" i="21"/>
  <c r="D24" i="21" s="1"/>
  <c r="N40" i="30" s="1"/>
  <c r="D9" i="6"/>
  <c r="E6" i="21" s="1"/>
  <c r="E23" i="21" s="1"/>
  <c r="O39" i="30" s="1"/>
  <c r="O24" i="30" s="1"/>
  <c r="E25" i="33"/>
  <c r="I29" i="33"/>
  <c r="M64" i="59"/>
  <c r="M20" i="59" s="1"/>
  <c r="F74" i="59"/>
  <c r="F77" i="59" s="1"/>
  <c r="F23" i="59" s="1"/>
  <c r="N95" i="48"/>
  <c r="H77" i="48" s="1"/>
  <c r="I77" i="48" s="1"/>
  <c r="J77" i="48" s="1"/>
  <c r="K77" i="48" s="1"/>
  <c r="L77" i="48" s="1"/>
  <c r="J109" i="48"/>
  <c r="R109" i="48"/>
  <c r="S109" i="48" s="1"/>
  <c r="T109" i="48" s="1"/>
  <c r="U109" i="48" s="1"/>
  <c r="V109" i="48" s="1"/>
  <c r="W109" i="48" s="1"/>
  <c r="X109" i="48" s="1"/>
  <c r="Y109" i="48" s="1"/>
  <c r="Z109" i="48" s="1"/>
  <c r="AA109" i="48" s="1"/>
  <c r="Z21" i="48"/>
  <c r="K22" i="35" s="1"/>
  <c r="L24" i="55" s="1"/>
  <c r="R21" i="48"/>
  <c r="C22" i="35" s="1"/>
  <c r="Y21" i="48"/>
  <c r="J22" i="35" s="1"/>
  <c r="K24" i="55" s="1"/>
  <c r="X21" i="48"/>
  <c r="I22" i="35" s="1"/>
  <c r="J24" i="55" s="1"/>
  <c r="W21" i="48"/>
  <c r="H22" i="35" s="1"/>
  <c r="I24" i="55" s="1"/>
  <c r="V21" i="48"/>
  <c r="G22" i="35" s="1"/>
  <c r="H24" i="55" s="1"/>
  <c r="AC21" i="48"/>
  <c r="N22" i="35" s="1"/>
  <c r="O24" i="55" s="1"/>
  <c r="U21" i="48"/>
  <c r="F22" i="35" s="1"/>
  <c r="G24" i="55" s="1"/>
  <c r="N24" i="21"/>
  <c r="B16" i="5"/>
  <c r="L15" i="59"/>
  <c r="N64" i="59"/>
  <c r="N20" i="59" s="1"/>
  <c r="O95" i="48"/>
  <c r="L16" i="48"/>
  <c r="K109" i="48"/>
  <c r="G27" i="48"/>
  <c r="P95" i="48"/>
  <c r="I31" i="48"/>
  <c r="S11" i="48" s="1"/>
  <c r="I48" i="48"/>
  <c r="I55" i="48" s="1"/>
  <c r="J27" i="48"/>
  <c r="U4" i="21"/>
  <c r="T4" i="21"/>
  <c r="S4" i="21"/>
  <c r="AC18" i="59" s="1"/>
  <c r="AC24" i="59" s="1"/>
  <c r="R4" i="21"/>
  <c r="I32" i="48"/>
  <c r="S12" i="48" s="1"/>
  <c r="T12" i="48" s="1"/>
  <c r="U12" i="48" s="1"/>
  <c r="V12" i="48" s="1"/>
  <c r="W12" i="48" s="1"/>
  <c r="I10" i="21"/>
  <c r="S39" i="26" s="1"/>
  <c r="S17" i="26" s="1"/>
  <c r="H10" i="21"/>
  <c r="R39" i="26" s="1"/>
  <c r="R17" i="26" s="1"/>
  <c r="G10" i="21"/>
  <c r="Q39" i="26" s="1"/>
  <c r="Q17" i="26" s="1"/>
  <c r="F10" i="21"/>
  <c r="M24" i="21"/>
  <c r="K18" i="21"/>
  <c r="L6" i="21"/>
  <c r="K23" i="21"/>
  <c r="U39" i="30" s="1"/>
  <c r="U24" i="30" s="1"/>
  <c r="K6" i="21"/>
  <c r="K24" i="21"/>
  <c r="J23" i="21"/>
  <c r="T39" i="30" s="1"/>
  <c r="T24" i="30" s="1"/>
  <c r="J20" i="21"/>
  <c r="T36" i="30" s="1"/>
  <c r="J6" i="21"/>
  <c r="J18" i="21" s="1"/>
  <c r="J24" i="21"/>
  <c r="M18" i="21"/>
  <c r="Q10" i="21"/>
  <c r="AA39" i="26" s="1"/>
  <c r="AA17" i="26" s="1"/>
  <c r="P10" i="21"/>
  <c r="Z39" i="26" s="1"/>
  <c r="Z17" i="26" s="1"/>
  <c r="O10" i="21"/>
  <c r="Y39" i="26" s="1"/>
  <c r="Y17" i="26" s="1"/>
  <c r="N10" i="21"/>
  <c r="T6" i="21"/>
  <c r="S6" i="21"/>
  <c r="AC43" i="30" s="1"/>
  <c r="N7" i="35" s="1"/>
  <c r="O9" i="55" s="1"/>
  <c r="R6" i="21"/>
  <c r="D11" i="21"/>
  <c r="U6" i="21"/>
  <c r="G26" i="48"/>
  <c r="G12" i="21"/>
  <c r="F12" i="21"/>
  <c r="I12" i="21"/>
  <c r="M7" i="21"/>
  <c r="L7" i="21"/>
  <c r="K7" i="21"/>
  <c r="J7" i="21"/>
  <c r="O12" i="21"/>
  <c r="N12" i="21"/>
  <c r="Q12" i="21"/>
  <c r="U7" i="21"/>
  <c r="T7" i="21"/>
  <c r="S7" i="21"/>
  <c r="R7" i="21"/>
  <c r="L16" i="5"/>
  <c r="I3" i="21"/>
  <c r="W3" i="21" s="1"/>
  <c r="Q3" i="21"/>
  <c r="V16" i="6"/>
  <c r="Q49" i="21"/>
  <c r="T51" i="21"/>
  <c r="T50" i="21"/>
  <c r="E9" i="21"/>
  <c r="E4" i="21"/>
  <c r="O18" i="59" s="1"/>
  <c r="O24" i="59" s="1"/>
  <c r="H5" i="50" s="1"/>
  <c r="E12" i="21"/>
  <c r="E7" i="21"/>
  <c r="E10" i="21"/>
  <c r="O39" i="26" s="1"/>
  <c r="O17" i="26" s="1"/>
  <c r="E5" i="21"/>
  <c r="O17" i="59" s="1"/>
  <c r="H4" i="50" s="1"/>
  <c r="E11" i="21"/>
  <c r="M20" i="21"/>
  <c r="W36" i="30" s="1"/>
  <c r="J29" i="48"/>
  <c r="D8" i="21"/>
  <c r="I13" i="21"/>
  <c r="I14" i="21" s="1"/>
  <c r="H13" i="21"/>
  <c r="H14" i="21" s="1"/>
  <c r="G13" i="21"/>
  <c r="G14" i="21" s="1"/>
  <c r="F13" i="21"/>
  <c r="E16" i="5"/>
  <c r="R17" i="6"/>
  <c r="G28" i="48"/>
  <c r="I5" i="21"/>
  <c r="S17" i="59" s="1"/>
  <c r="D15" i="35" s="1"/>
  <c r="E17" i="55" s="1"/>
  <c r="H5" i="21"/>
  <c r="R17" i="59" s="1"/>
  <c r="G5" i="21"/>
  <c r="Q17" i="59" s="1"/>
  <c r="J4" i="50" s="1"/>
  <c r="F5" i="21"/>
  <c r="M19" i="21"/>
  <c r="W35" i="30" s="1"/>
  <c r="W20" i="30" s="1"/>
  <c r="K19" i="21"/>
  <c r="U35" i="30" s="1"/>
  <c r="U20" i="30" s="1"/>
  <c r="J19" i="21"/>
  <c r="T35" i="30" s="1"/>
  <c r="T20" i="30" s="1"/>
  <c r="T15" i="30" s="1"/>
  <c r="M9" i="21"/>
  <c r="L9" i="21"/>
  <c r="K9" i="21"/>
  <c r="J9" i="21"/>
  <c r="Q5" i="21"/>
  <c r="AA17" i="59" s="1"/>
  <c r="L15" i="35" s="1"/>
  <c r="M17" i="55" s="1"/>
  <c r="P5" i="21"/>
  <c r="Z17" i="59" s="1"/>
  <c r="K15" i="35" s="1"/>
  <c r="L17" i="55" s="1"/>
  <c r="O5" i="21"/>
  <c r="Y17" i="59" s="1"/>
  <c r="J15" i="35" s="1"/>
  <c r="K17" i="55" s="1"/>
  <c r="N5" i="21"/>
  <c r="U9" i="21"/>
  <c r="T9" i="21"/>
  <c r="S9" i="21"/>
  <c r="R9" i="21"/>
  <c r="S3" i="21"/>
  <c r="H12" i="21"/>
  <c r="K26" i="48"/>
  <c r="C81" i="21"/>
  <c r="W11" i="21"/>
  <c r="H19" i="21"/>
  <c r="R35" i="30" s="1"/>
  <c r="F19" i="21"/>
  <c r="P35" i="30" s="1"/>
  <c r="H18" i="21"/>
  <c r="I6" i="21"/>
  <c r="I24" i="21" s="1"/>
  <c r="H23" i="21"/>
  <c r="R39" i="30" s="1"/>
  <c r="R24" i="30" s="1"/>
  <c r="R15" i="30" s="1"/>
  <c r="H20" i="21"/>
  <c r="R36" i="30" s="1"/>
  <c r="H6" i="21"/>
  <c r="H24" i="21" s="1"/>
  <c r="F18" i="21"/>
  <c r="G6" i="21"/>
  <c r="G23" i="21" s="1"/>
  <c r="Q39" i="30" s="1"/>
  <c r="Q24" i="30" s="1"/>
  <c r="F23" i="21"/>
  <c r="P39" i="30" s="1"/>
  <c r="P24" i="30" s="1"/>
  <c r="P13" i="30" s="1"/>
  <c r="P12" i="30" s="1"/>
  <c r="F6" i="21"/>
  <c r="M10" i="21"/>
  <c r="W39" i="26" s="1"/>
  <c r="W17" i="26" s="1"/>
  <c r="L10" i="21"/>
  <c r="V39" i="26" s="1"/>
  <c r="V17" i="26" s="1"/>
  <c r="K10" i="21"/>
  <c r="U39" i="26" s="1"/>
  <c r="U17" i="26" s="1"/>
  <c r="Q23" i="21"/>
  <c r="Q6" i="21"/>
  <c r="AA43" i="30" s="1"/>
  <c r="L7" i="35" s="1"/>
  <c r="M9" i="55" s="1"/>
  <c r="P6" i="21"/>
  <c r="Z43" i="30" s="1"/>
  <c r="K7" i="35" s="1"/>
  <c r="L9" i="55" s="1"/>
  <c r="P24" i="21"/>
  <c r="O23" i="21"/>
  <c r="O6" i="21"/>
  <c r="Y43" i="30" s="1"/>
  <c r="J7" i="35" s="1"/>
  <c r="K9" i="55" s="1"/>
  <c r="O24" i="21"/>
  <c r="N23" i="21"/>
  <c r="X39" i="30" s="1"/>
  <c r="X24" i="30" s="1"/>
  <c r="N6" i="21"/>
  <c r="N19" i="21" s="1"/>
  <c r="U10" i="21"/>
  <c r="T10" i="21"/>
  <c r="S10" i="21"/>
  <c r="AC39" i="26" s="1"/>
  <c r="AC17" i="26" s="1"/>
  <c r="P12" i="21"/>
  <c r="I33" i="48"/>
  <c r="R13" i="48" s="1"/>
  <c r="G7" i="21"/>
  <c r="F7" i="21"/>
  <c r="I7" i="21"/>
  <c r="M12" i="21"/>
  <c r="L12" i="21"/>
  <c r="K12" i="21"/>
  <c r="J12" i="21"/>
  <c r="O7" i="21"/>
  <c r="N7" i="21"/>
  <c r="Q7" i="21"/>
  <c r="U12" i="21"/>
  <c r="T12" i="21"/>
  <c r="S12" i="21"/>
  <c r="R12" i="21"/>
  <c r="G82" i="21" s="1"/>
  <c r="H16" i="5"/>
  <c r="M23" i="21"/>
  <c r="W39" i="30" s="1"/>
  <c r="W24" i="30" s="1"/>
  <c r="D5" i="21"/>
  <c r="N17" i="59" s="1"/>
  <c r="G4" i="50" s="1"/>
  <c r="D10" i="21"/>
  <c r="N39" i="26" s="1"/>
  <c r="D7" i="21"/>
  <c r="W7" i="21" s="1"/>
  <c r="D12" i="21"/>
  <c r="C82" i="21" s="1"/>
  <c r="D4" i="21"/>
  <c r="N18" i="59" s="1"/>
  <c r="N24" i="59" s="1"/>
  <c r="G5" i="50" s="1"/>
  <c r="D9" i="21"/>
  <c r="C79" i="21" s="1"/>
  <c r="K64" i="20" l="1"/>
  <c r="K65" i="20" s="1"/>
  <c r="D2" i="50"/>
  <c r="Q15" i="30"/>
  <c r="Q13" i="30"/>
  <c r="Q12" i="30" s="1"/>
  <c r="M46" i="38"/>
  <c r="M47" i="38" s="1"/>
  <c r="O15" i="30"/>
  <c r="O13" i="30"/>
  <c r="O12" i="30" s="1"/>
  <c r="L64" i="20"/>
  <c r="L65" i="20" s="1"/>
  <c r="E2" i="50"/>
  <c r="N25" i="21"/>
  <c r="X41" i="30" s="1"/>
  <c r="X35" i="30"/>
  <c r="X20" i="30" s="1"/>
  <c r="T34" i="30"/>
  <c r="C18" i="35"/>
  <c r="D20" i="55" s="1"/>
  <c r="S13" i="48"/>
  <c r="C21" i="35"/>
  <c r="K84" i="55"/>
  <c r="K59" i="55"/>
  <c r="P34" i="30"/>
  <c r="O37" i="21"/>
  <c r="V37" i="21"/>
  <c r="N37" i="21"/>
  <c r="U37" i="21"/>
  <c r="M37" i="21"/>
  <c r="T37" i="21"/>
  <c r="L37" i="21"/>
  <c r="S37" i="21"/>
  <c r="R37" i="21"/>
  <c r="Q37" i="21"/>
  <c r="P37" i="21"/>
  <c r="V37" i="26"/>
  <c r="C15" i="35"/>
  <c r="D17" i="55" s="1"/>
  <c r="K4" i="50"/>
  <c r="G15" i="21"/>
  <c r="Q38" i="26"/>
  <c r="D82" i="21"/>
  <c r="F80" i="21"/>
  <c r="X39" i="26"/>
  <c r="X17" i="26" s="1"/>
  <c r="U34" i="30"/>
  <c r="C77" i="21"/>
  <c r="J31" i="48"/>
  <c r="J48" i="48"/>
  <c r="J55" i="48" s="1"/>
  <c r="K27" i="48"/>
  <c r="E80" i="21"/>
  <c r="G80" i="21"/>
  <c r="K74" i="55"/>
  <c r="K99" i="55"/>
  <c r="P110" i="48"/>
  <c r="P12" i="33"/>
  <c r="S12" i="33"/>
  <c r="R12" i="33"/>
  <c r="S10" i="33" s="1"/>
  <c r="Q12" i="33"/>
  <c r="D74" i="21"/>
  <c r="P18" i="59"/>
  <c r="P24" i="59" s="1"/>
  <c r="I5" i="50" s="1"/>
  <c r="C24" i="21"/>
  <c r="M40" i="30" s="1"/>
  <c r="V20" i="48"/>
  <c r="W111" i="48"/>
  <c r="I92" i="55"/>
  <c r="I67" i="55"/>
  <c r="E15" i="21"/>
  <c r="O38" i="26"/>
  <c r="G75" i="21"/>
  <c r="AB17" i="59"/>
  <c r="M15" i="35" s="1"/>
  <c r="N17" i="55" s="1"/>
  <c r="S15" i="21"/>
  <c r="AC38" i="26"/>
  <c r="P15" i="21"/>
  <c r="Z38" i="26"/>
  <c r="V63" i="20"/>
  <c r="G3" i="35"/>
  <c r="H5" i="55" s="1"/>
  <c r="L30" i="59"/>
  <c r="L31" i="59" s="1"/>
  <c r="L32" i="59" s="1"/>
  <c r="L29" i="49"/>
  <c r="D62" i="55"/>
  <c r="D87" i="55"/>
  <c r="N30" i="59"/>
  <c r="N31" i="59" s="1"/>
  <c r="N32" i="59" s="1"/>
  <c r="K5" i="35"/>
  <c r="L7" i="55" s="1"/>
  <c r="W63" i="20"/>
  <c r="H3" i="35"/>
  <c r="I5" i="55" s="1"/>
  <c r="D45" i="26"/>
  <c r="I69" i="38"/>
  <c r="I66" i="38"/>
  <c r="K71" i="38"/>
  <c r="K73" i="38"/>
  <c r="S26" i="38"/>
  <c r="M26" i="38" s="1"/>
  <c r="O26" i="38" s="1"/>
  <c r="M25" i="38"/>
  <c r="O25" i="38" s="1"/>
  <c r="C74" i="21"/>
  <c r="AA39" i="30"/>
  <c r="AA24" i="30" s="1"/>
  <c r="V44" i="21"/>
  <c r="U44" i="21"/>
  <c r="T44" i="21"/>
  <c r="S44" i="21"/>
  <c r="AC37" i="26"/>
  <c r="L21" i="21"/>
  <c r="L18" i="21"/>
  <c r="V43" i="30"/>
  <c r="G7" i="35" s="1"/>
  <c r="H9" i="55" s="1"/>
  <c r="H67" i="55"/>
  <c r="H92" i="55"/>
  <c r="H16" i="35"/>
  <c r="I18" i="55" s="1"/>
  <c r="K32" i="48"/>
  <c r="K49" i="48"/>
  <c r="K56" i="48" s="1"/>
  <c r="L28" i="48"/>
  <c r="I5" i="35"/>
  <c r="J7" i="55" s="1"/>
  <c r="J64" i="20"/>
  <c r="J65" i="20" s="1"/>
  <c r="C2" i="50"/>
  <c r="I21" i="21"/>
  <c r="S43" i="30"/>
  <c r="D7" i="35" s="1"/>
  <c r="E9" i="55" s="1"/>
  <c r="E67" i="55"/>
  <c r="E92" i="55"/>
  <c r="V51" i="21"/>
  <c r="V50" i="21"/>
  <c r="L15" i="21"/>
  <c r="V38" i="26"/>
  <c r="D5" i="35"/>
  <c r="E7" i="55" s="1"/>
  <c r="L14" i="59"/>
  <c r="L73" i="59" s="1"/>
  <c r="L74" i="59" s="1"/>
  <c r="AD39" i="26"/>
  <c r="AE16" i="26" s="1"/>
  <c r="N17" i="26"/>
  <c r="R34" i="30"/>
  <c r="F75" i="21"/>
  <c r="X17" i="59"/>
  <c r="I15" i="35" s="1"/>
  <c r="J17" i="55" s="1"/>
  <c r="W10" i="21"/>
  <c r="I15" i="21"/>
  <c r="S38" i="26"/>
  <c r="H30" i="48"/>
  <c r="G47" i="48"/>
  <c r="G54" i="48" s="1"/>
  <c r="G77" i="48" s="1"/>
  <c r="K21" i="21"/>
  <c r="U43" i="30"/>
  <c r="F7" i="35" s="1"/>
  <c r="G9" i="55" s="1"/>
  <c r="L23" i="21"/>
  <c r="V39" i="30" s="1"/>
  <c r="V24" i="30" s="1"/>
  <c r="X12" i="48"/>
  <c r="Y12" i="48" s="1"/>
  <c r="Z12" i="48" s="1"/>
  <c r="AA12" i="48" s="1"/>
  <c r="T11" i="48"/>
  <c r="L74" i="55"/>
  <c r="L99" i="55"/>
  <c r="W18" i="48"/>
  <c r="X63" i="20"/>
  <c r="I3" i="35"/>
  <c r="J5" i="55" s="1"/>
  <c r="P32" i="21"/>
  <c r="H32" i="21"/>
  <c r="O32" i="21"/>
  <c r="G32" i="21"/>
  <c r="V32" i="21"/>
  <c r="N32" i="21"/>
  <c r="U32" i="21"/>
  <c r="M32" i="21"/>
  <c r="T32" i="21"/>
  <c r="L32" i="21"/>
  <c r="S32" i="21"/>
  <c r="K32" i="21"/>
  <c r="R32" i="21"/>
  <c r="J32" i="21"/>
  <c r="Q32" i="21"/>
  <c r="I32" i="21"/>
  <c r="Q37" i="26"/>
  <c r="Q35" i="26" s="1"/>
  <c r="W5" i="21"/>
  <c r="C75" i="21"/>
  <c r="M17" i="59"/>
  <c r="F4" i="50" s="1"/>
  <c r="E83" i="21"/>
  <c r="J14" i="21"/>
  <c r="P16" i="26"/>
  <c r="P79" i="26" s="1"/>
  <c r="M16" i="26"/>
  <c r="AD34" i="26"/>
  <c r="N28" i="49"/>
  <c r="N29" i="49" s="1"/>
  <c r="L5" i="35"/>
  <c r="M7" i="55" s="1"/>
  <c r="K14" i="59"/>
  <c r="K73" i="59" s="1"/>
  <c r="K74" i="59" s="1"/>
  <c r="G14" i="59"/>
  <c r="AA63" i="20"/>
  <c r="L3" i="35"/>
  <c r="M5" i="55" s="1"/>
  <c r="T42" i="38"/>
  <c r="P41" i="38"/>
  <c r="R41" i="38" s="1"/>
  <c r="L19" i="25"/>
  <c r="W6" i="21"/>
  <c r="C76" i="21"/>
  <c r="C21" i="21"/>
  <c r="M37" i="30" s="1"/>
  <c r="M43" i="30"/>
  <c r="O67" i="55"/>
  <c r="O92" i="55"/>
  <c r="N5" i="35"/>
  <c r="O7" i="55" s="1"/>
  <c r="S19" i="59"/>
  <c r="S24" i="59" s="1"/>
  <c r="I46" i="62"/>
  <c r="D77" i="21"/>
  <c r="L84" i="55"/>
  <c r="L59" i="55"/>
  <c r="F21" i="21"/>
  <c r="D76" i="21"/>
  <c r="F24" i="21"/>
  <c r="P43" i="30"/>
  <c r="I20" i="21"/>
  <c r="S36" i="30" s="1"/>
  <c r="K47" i="48"/>
  <c r="K54" i="48" s="1"/>
  <c r="L26" i="48"/>
  <c r="K30" i="48"/>
  <c r="K92" i="55"/>
  <c r="K67" i="55"/>
  <c r="C80" i="21"/>
  <c r="O48" i="21"/>
  <c r="G48" i="21"/>
  <c r="G47" i="21" s="1"/>
  <c r="V48" i="21"/>
  <c r="N48" i="21"/>
  <c r="F48" i="21"/>
  <c r="F47" i="21" s="1"/>
  <c r="P84" i="26" s="1"/>
  <c r="U48" i="21"/>
  <c r="M48" i="21"/>
  <c r="E48" i="21"/>
  <c r="E47" i="21" s="1"/>
  <c r="O84" i="26" s="1"/>
  <c r="T48" i="21"/>
  <c r="L48" i="21"/>
  <c r="D48" i="21"/>
  <c r="D47" i="21" s="1"/>
  <c r="N84" i="26" s="1"/>
  <c r="S48" i="21"/>
  <c r="K48" i="21"/>
  <c r="R48" i="21"/>
  <c r="J48" i="21"/>
  <c r="H8" i="21"/>
  <c r="Q48" i="21"/>
  <c r="I48" i="21"/>
  <c r="P48" i="21"/>
  <c r="H48" i="21"/>
  <c r="E77" i="21"/>
  <c r="G74" i="21"/>
  <c r="AB18" i="59"/>
  <c r="AB24" i="59" s="1"/>
  <c r="H31" i="48"/>
  <c r="G48" i="48"/>
  <c r="G55" i="48" s="1"/>
  <c r="G78" i="48" s="1"/>
  <c r="G99" i="55"/>
  <c r="G74" i="55"/>
  <c r="AB109" i="48"/>
  <c r="AA18" i="48"/>
  <c r="M22" i="21"/>
  <c r="W38" i="30" s="1"/>
  <c r="W37" i="30"/>
  <c r="D18" i="21"/>
  <c r="C23" i="21"/>
  <c r="M39" i="30" s="1"/>
  <c r="K15" i="21"/>
  <c r="U38" i="26"/>
  <c r="X18" i="48"/>
  <c r="V10" i="48"/>
  <c r="N4" i="21"/>
  <c r="W4" i="21" s="1"/>
  <c r="Q4" i="21"/>
  <c r="AA18" i="59" s="1"/>
  <c r="AA24" i="59" s="1"/>
  <c r="P4" i="21"/>
  <c r="Z18" i="59" s="1"/>
  <c r="Z24" i="59" s="1"/>
  <c r="O4" i="21"/>
  <c r="Y18" i="59" s="1"/>
  <c r="Y24" i="59" s="1"/>
  <c r="Q33" i="21"/>
  <c r="I33" i="21"/>
  <c r="P33" i="21"/>
  <c r="H33" i="21"/>
  <c r="O33" i="21"/>
  <c r="V33" i="21"/>
  <c r="N33" i="21"/>
  <c r="U33" i="21"/>
  <c r="M33" i="21"/>
  <c r="T33" i="21"/>
  <c r="L33" i="21"/>
  <c r="S33" i="21"/>
  <c r="K33" i="21"/>
  <c r="R33" i="21"/>
  <c r="J33" i="21"/>
  <c r="R37" i="26"/>
  <c r="M15" i="21"/>
  <c r="W38" i="26"/>
  <c r="R14" i="21"/>
  <c r="G83" i="21"/>
  <c r="J32" i="59"/>
  <c r="AB63" i="20"/>
  <c r="M3" i="35"/>
  <c r="N5" i="55" s="1"/>
  <c r="P15" i="30"/>
  <c r="F29" i="49"/>
  <c r="F30" i="59"/>
  <c r="F31" i="59" s="1"/>
  <c r="F32" i="59" s="1"/>
  <c r="O30" i="26"/>
  <c r="N15" i="26"/>
  <c r="N78" i="26"/>
  <c r="N29" i="26"/>
  <c r="V17" i="30"/>
  <c r="U15" i="30"/>
  <c r="U13" i="30"/>
  <c r="U11" i="30" s="1"/>
  <c r="U44" i="30" s="1"/>
  <c r="F6" i="35" s="1"/>
  <c r="G8" i="55" s="1"/>
  <c r="G5" i="35"/>
  <c r="H7" i="55" s="1"/>
  <c r="R14" i="59"/>
  <c r="R73" i="59" s="1"/>
  <c r="R74" i="59" s="1"/>
  <c r="S20" i="25"/>
  <c r="C9" i="35"/>
  <c r="D11" i="55" s="1"/>
  <c r="AP77" i="20"/>
  <c r="AP79" i="20"/>
  <c r="AP78" i="20"/>
  <c r="M14" i="59"/>
  <c r="M73" i="59" s="1"/>
  <c r="M74" i="59" s="1"/>
  <c r="D14" i="59"/>
  <c r="D24" i="55"/>
  <c r="K8" i="50"/>
  <c r="AO77" i="20"/>
  <c r="AO78" i="20"/>
  <c r="AO79" i="20"/>
  <c r="Q15" i="21"/>
  <c r="AA38" i="26"/>
  <c r="Q29" i="49"/>
  <c r="Q30" i="59"/>
  <c r="Q31" i="59" s="1"/>
  <c r="Q32" i="59" s="1"/>
  <c r="F5" i="35"/>
  <c r="G7" i="55" s="1"/>
  <c r="Z63" i="20"/>
  <c r="K3" i="35"/>
  <c r="L5" i="55" s="1"/>
  <c r="S31" i="38"/>
  <c r="O30" i="38"/>
  <c r="Q30" i="38" s="1"/>
  <c r="S19" i="38"/>
  <c r="L18" i="38"/>
  <c r="N18" i="38" s="1"/>
  <c r="F77" i="21"/>
  <c r="P23" i="21"/>
  <c r="F20" i="21"/>
  <c r="P36" i="30" s="1"/>
  <c r="H21" i="21"/>
  <c r="R43" i="30"/>
  <c r="I23" i="21"/>
  <c r="S39" i="30" s="1"/>
  <c r="S24" i="30" s="1"/>
  <c r="L92" i="55"/>
  <c r="L67" i="55"/>
  <c r="L19" i="21"/>
  <c r="V35" i="30" s="1"/>
  <c r="V20" i="30" s="1"/>
  <c r="G49" i="48"/>
  <c r="G56" i="48" s="1"/>
  <c r="H32" i="48"/>
  <c r="K29" i="48"/>
  <c r="J50" i="48"/>
  <c r="J57" i="48" s="1"/>
  <c r="J33" i="48"/>
  <c r="Q30" i="21"/>
  <c r="I30" i="21"/>
  <c r="P30" i="21"/>
  <c r="H30" i="21"/>
  <c r="O30" i="21"/>
  <c r="G30" i="21"/>
  <c r="V30" i="21"/>
  <c r="N30" i="21"/>
  <c r="F30" i="21"/>
  <c r="U30" i="21"/>
  <c r="M30" i="21"/>
  <c r="E30" i="21"/>
  <c r="T30" i="21"/>
  <c r="L30" i="21"/>
  <c r="S30" i="21"/>
  <c r="K30" i="21"/>
  <c r="R30" i="21"/>
  <c r="J30" i="21"/>
  <c r="O37" i="26"/>
  <c r="G77" i="21"/>
  <c r="M25" i="21"/>
  <c r="W34" i="30"/>
  <c r="K20" i="21"/>
  <c r="U36" i="30" s="1"/>
  <c r="D80" i="21"/>
  <c r="P39" i="26"/>
  <c r="P17" i="26" s="1"/>
  <c r="N16" i="35"/>
  <c r="O18" i="55" s="1"/>
  <c r="H95" i="48"/>
  <c r="O99" i="55"/>
  <c r="O74" i="55"/>
  <c r="E21" i="21"/>
  <c r="O43" i="30"/>
  <c r="E18" i="21"/>
  <c r="H33" i="48"/>
  <c r="G50" i="48"/>
  <c r="G57" i="48" s="1"/>
  <c r="G80" i="48" s="1"/>
  <c r="Y18" i="48"/>
  <c r="S34" i="21"/>
  <c r="K34" i="21"/>
  <c r="R34" i="21"/>
  <c r="J34" i="21"/>
  <c r="Q34" i="21"/>
  <c r="I34" i="21"/>
  <c r="P34" i="21"/>
  <c r="O34" i="21"/>
  <c r="V34" i="21"/>
  <c r="N34" i="21"/>
  <c r="U34" i="21"/>
  <c r="M34" i="21"/>
  <c r="T34" i="21"/>
  <c r="L34" i="21"/>
  <c r="S37" i="26"/>
  <c r="T40" i="21"/>
  <c r="S40" i="21"/>
  <c r="R40" i="21"/>
  <c r="Q40" i="21"/>
  <c r="P40" i="21"/>
  <c r="O40" i="21"/>
  <c r="V40" i="21"/>
  <c r="U40" i="21"/>
  <c r="Y37" i="26"/>
  <c r="E74" i="21"/>
  <c r="T18" i="59"/>
  <c r="T24" i="59" s="1"/>
  <c r="T63" i="20"/>
  <c r="E3" i="35"/>
  <c r="F5" i="55" s="1"/>
  <c r="H12" i="20"/>
  <c r="H34" i="20"/>
  <c r="E5" i="35"/>
  <c r="F7" i="55" s="1"/>
  <c r="W19" i="48"/>
  <c r="X110" i="48"/>
  <c r="R19" i="25"/>
  <c r="C8" i="35" s="1"/>
  <c r="D10" i="55" s="1"/>
  <c r="P14" i="59"/>
  <c r="E73" i="59"/>
  <c r="E74" i="59" s="1"/>
  <c r="E77" i="59" s="1"/>
  <c r="E23" i="59" s="1"/>
  <c r="E75" i="59"/>
  <c r="E25" i="59" s="1"/>
  <c r="U12" i="25"/>
  <c r="T14" i="25"/>
  <c r="T13" i="25" s="1"/>
  <c r="L16" i="40"/>
  <c r="G21" i="21"/>
  <c r="Q43" i="30"/>
  <c r="G19" i="21"/>
  <c r="Q35" i="30" s="1"/>
  <c r="R36" i="21"/>
  <c r="Q36" i="21"/>
  <c r="P36" i="21"/>
  <c r="O36" i="21"/>
  <c r="V36" i="21"/>
  <c r="N36" i="21"/>
  <c r="U36" i="21"/>
  <c r="M36" i="21"/>
  <c r="T36" i="21"/>
  <c r="L36" i="21"/>
  <c r="S36" i="21"/>
  <c r="K36" i="21"/>
  <c r="U37" i="26"/>
  <c r="D83" i="21"/>
  <c r="F14" i="21"/>
  <c r="D15" i="21"/>
  <c r="N38" i="26"/>
  <c r="O15" i="21"/>
  <c r="Y38" i="26"/>
  <c r="I32" i="59"/>
  <c r="S63" i="20"/>
  <c r="D3" i="35"/>
  <c r="E5" i="55" s="1"/>
  <c r="J69" i="38"/>
  <c r="J66" i="38"/>
  <c r="U38" i="21"/>
  <c r="M38" i="21"/>
  <c r="T38" i="21"/>
  <c r="S38" i="21"/>
  <c r="R38" i="21"/>
  <c r="Q38" i="21"/>
  <c r="P38" i="21"/>
  <c r="O38" i="21"/>
  <c r="V38" i="21"/>
  <c r="N38" i="21"/>
  <c r="W37" i="26"/>
  <c r="L20" i="21"/>
  <c r="V36" i="30" s="1"/>
  <c r="I19" i="21"/>
  <c r="S35" i="30" s="1"/>
  <c r="S20" i="30" s="1"/>
  <c r="S15" i="30" s="1"/>
  <c r="V16" i="48"/>
  <c r="G20" i="35" s="1"/>
  <c r="H22" i="55" s="1"/>
  <c r="E45" i="26"/>
  <c r="V17" i="6"/>
  <c r="W12" i="21"/>
  <c r="F76" i="21"/>
  <c r="X43" i="30"/>
  <c r="I7" i="35" s="1"/>
  <c r="J9" i="55" s="1"/>
  <c r="Q24" i="21"/>
  <c r="Q25" i="21" s="1"/>
  <c r="AA41" i="30" s="1"/>
  <c r="G18" i="21"/>
  <c r="I18" i="21"/>
  <c r="M67" i="55"/>
  <c r="M92" i="55"/>
  <c r="U50" i="21"/>
  <c r="U51" i="21"/>
  <c r="G76" i="21"/>
  <c r="AB43" i="30"/>
  <c r="M7" i="35" s="1"/>
  <c r="N9" i="55" s="1"/>
  <c r="H99" i="55"/>
  <c r="H74" i="55"/>
  <c r="D21" i="21"/>
  <c r="N43" i="30"/>
  <c r="C19" i="21"/>
  <c r="M35" i="30" s="1"/>
  <c r="C18" i="21"/>
  <c r="S18" i="48"/>
  <c r="S16" i="48" s="1"/>
  <c r="D20" i="35" s="1"/>
  <c r="E22" i="55" s="1"/>
  <c r="Z18" i="48"/>
  <c r="E75" i="21"/>
  <c r="T17" i="59"/>
  <c r="E15" i="35" s="1"/>
  <c r="F17" i="55" s="1"/>
  <c r="P31" i="21"/>
  <c r="H31" i="21"/>
  <c r="O31" i="21"/>
  <c r="G31" i="21"/>
  <c r="V31" i="21"/>
  <c r="N31" i="21"/>
  <c r="F31" i="21"/>
  <c r="U31" i="21"/>
  <c r="M31" i="21"/>
  <c r="T31" i="21"/>
  <c r="L31" i="21"/>
  <c r="S31" i="21"/>
  <c r="K31" i="21"/>
  <c r="D79" i="21"/>
  <c r="R31" i="21"/>
  <c r="J31" i="21"/>
  <c r="Q31" i="21"/>
  <c r="I31" i="21"/>
  <c r="P37" i="26"/>
  <c r="E32" i="59"/>
  <c r="U41" i="21"/>
  <c r="T41" i="21"/>
  <c r="S41" i="21"/>
  <c r="R41" i="21"/>
  <c r="Q41" i="21"/>
  <c r="P41" i="21"/>
  <c r="V41" i="21"/>
  <c r="Z37" i="26"/>
  <c r="F83" i="21"/>
  <c r="N14" i="21"/>
  <c r="F16" i="35"/>
  <c r="G18" i="55" s="1"/>
  <c r="S9" i="48"/>
  <c r="D19" i="35" s="1"/>
  <c r="E21" i="55" s="1"/>
  <c r="AC63" i="20"/>
  <c r="N3" i="35"/>
  <c r="O5" i="55" s="1"/>
  <c r="R29" i="49"/>
  <c r="O29" i="49"/>
  <c r="O30" i="59"/>
  <c r="O31" i="59" s="1"/>
  <c r="H5" i="35"/>
  <c r="I7" i="55" s="1"/>
  <c r="K32" i="59"/>
  <c r="J14" i="59"/>
  <c r="J73" i="59" s="1"/>
  <c r="J74" i="59" s="1"/>
  <c r="AD33" i="26"/>
  <c r="M29" i="26"/>
  <c r="Q19" i="25"/>
  <c r="Q14" i="59" s="1"/>
  <c r="Q73" i="59" s="1"/>
  <c r="Q74" i="59" s="1"/>
  <c r="P19" i="25"/>
  <c r="E19" i="49"/>
  <c r="E20" i="49" s="1"/>
  <c r="E21" i="49" s="1"/>
  <c r="S27" i="49" s="1"/>
  <c r="S13" i="25"/>
  <c r="S11" i="25" s="1"/>
  <c r="I70" i="38"/>
  <c r="J74" i="55"/>
  <c r="J99" i="55"/>
  <c r="G97" i="55"/>
  <c r="G72" i="55"/>
  <c r="T39" i="21"/>
  <c r="S39" i="21"/>
  <c r="R39" i="21"/>
  <c r="Q39" i="21"/>
  <c r="F79" i="21"/>
  <c r="P39" i="21"/>
  <c r="O39" i="21"/>
  <c r="V39" i="21"/>
  <c r="N39" i="21"/>
  <c r="U39" i="21"/>
  <c r="X37" i="26"/>
  <c r="R13" i="30"/>
  <c r="R12" i="30" s="1"/>
  <c r="G29" i="49"/>
  <c r="G30" i="59"/>
  <c r="G31" i="59" s="1"/>
  <c r="G32" i="59" s="1"/>
  <c r="O25" i="21"/>
  <c r="Y41" i="30" s="1"/>
  <c r="Y39" i="30"/>
  <c r="Y24" i="30" s="1"/>
  <c r="G20" i="21"/>
  <c r="Q36" i="30" s="1"/>
  <c r="H15" i="21"/>
  <c r="R38" i="26"/>
  <c r="F82" i="21"/>
  <c r="Y63" i="20"/>
  <c r="J3" i="35"/>
  <c r="K5" i="55" s="1"/>
  <c r="S29" i="21"/>
  <c r="K29" i="21"/>
  <c r="R29" i="21"/>
  <c r="J29" i="21"/>
  <c r="Q29" i="21"/>
  <c r="I29" i="21"/>
  <c r="P29" i="21"/>
  <c r="H29" i="21"/>
  <c r="H28" i="21" s="1"/>
  <c r="O29" i="21"/>
  <c r="G29" i="21"/>
  <c r="V29" i="21"/>
  <c r="N29" i="21"/>
  <c r="F29" i="21"/>
  <c r="U29" i="21"/>
  <c r="M29" i="21"/>
  <c r="E29" i="21"/>
  <c r="E28" i="21" s="1"/>
  <c r="D29" i="21"/>
  <c r="D28" i="21" s="1"/>
  <c r="T29" i="21"/>
  <c r="W9" i="21"/>
  <c r="L29" i="21"/>
  <c r="N37" i="26"/>
  <c r="E82" i="21"/>
  <c r="M59" i="55"/>
  <c r="M84" i="55"/>
  <c r="G24" i="21"/>
  <c r="R43" i="21"/>
  <c r="G79" i="21"/>
  <c r="V43" i="21"/>
  <c r="U43" i="21"/>
  <c r="T43" i="21"/>
  <c r="S43" i="21"/>
  <c r="AB37" i="26"/>
  <c r="V35" i="21"/>
  <c r="N35" i="21"/>
  <c r="U35" i="21"/>
  <c r="M35" i="21"/>
  <c r="T35" i="21"/>
  <c r="L35" i="21"/>
  <c r="S35" i="21"/>
  <c r="K35" i="21"/>
  <c r="R35" i="21"/>
  <c r="J35" i="21"/>
  <c r="E79" i="21"/>
  <c r="Q35" i="21"/>
  <c r="P35" i="21"/>
  <c r="O35" i="21"/>
  <c r="T37" i="26"/>
  <c r="D75" i="21"/>
  <c r="P17" i="59"/>
  <c r="I4" i="50" s="1"/>
  <c r="O59" i="55"/>
  <c r="O84" i="55"/>
  <c r="E76" i="21"/>
  <c r="J21" i="21"/>
  <c r="T43" i="30"/>
  <c r="E7" i="35" s="1"/>
  <c r="F9" i="55" s="1"/>
  <c r="L24" i="21"/>
  <c r="I74" i="55"/>
  <c r="I99" i="55"/>
  <c r="W8" i="21"/>
  <c r="K5" i="50"/>
  <c r="C16" i="35"/>
  <c r="D18" i="55" s="1"/>
  <c r="D19" i="21"/>
  <c r="N35" i="30" s="1"/>
  <c r="D20" i="21"/>
  <c r="N36" i="30" s="1"/>
  <c r="T18" i="48"/>
  <c r="T16" i="48" s="1"/>
  <c r="E20" i="35" s="1"/>
  <c r="F22" i="55" s="1"/>
  <c r="G67" i="55"/>
  <c r="G92" i="55"/>
  <c r="C14" i="21"/>
  <c r="C83" i="21"/>
  <c r="W13" i="21"/>
  <c r="V42" i="21"/>
  <c r="U42" i="21"/>
  <c r="T42" i="21"/>
  <c r="S42" i="21"/>
  <c r="R42" i="21"/>
  <c r="Q42" i="21"/>
  <c r="AA37" i="26"/>
  <c r="G16" i="35"/>
  <c r="H18" i="55" s="1"/>
  <c r="U63" i="20"/>
  <c r="F3" i="35"/>
  <c r="G5" i="55" s="1"/>
  <c r="T12" i="49"/>
  <c r="T11" i="30"/>
  <c r="M5" i="35"/>
  <c r="N7" i="55" s="1"/>
  <c r="J5" i="35"/>
  <c r="K7" i="55" s="1"/>
  <c r="R63" i="20"/>
  <c r="C3" i="35"/>
  <c r="D5" i="55" s="1"/>
  <c r="K9" i="50"/>
  <c r="I14" i="59"/>
  <c r="H14" i="59"/>
  <c r="N14" i="59"/>
  <c r="N73" i="59" s="1"/>
  <c r="N74" i="59" s="1"/>
  <c r="G83" i="55" l="1"/>
  <c r="G58" i="55"/>
  <c r="T11" i="25"/>
  <c r="K80" i="55"/>
  <c r="K55" i="55"/>
  <c r="E97" i="55"/>
  <c r="E72" i="55"/>
  <c r="E55" i="55"/>
  <c r="E80" i="55"/>
  <c r="Y13" i="26"/>
  <c r="Y35" i="26"/>
  <c r="W10" i="48"/>
  <c r="T13" i="26"/>
  <c r="M28" i="21"/>
  <c r="W82" i="26" s="1"/>
  <c r="Z13" i="26"/>
  <c r="Z35" i="26"/>
  <c r="U13" i="26"/>
  <c r="U35" i="26"/>
  <c r="M32" i="59"/>
  <c r="L80" i="55"/>
  <c r="L55" i="55"/>
  <c r="L30" i="48"/>
  <c r="L47" i="48"/>
  <c r="H55" i="55"/>
  <c r="H80" i="55"/>
  <c r="V13" i="26"/>
  <c r="V35" i="26"/>
  <c r="D70" i="55"/>
  <c r="D95" i="55"/>
  <c r="I28" i="21"/>
  <c r="S82" i="26" s="1"/>
  <c r="W17" i="30"/>
  <c r="V15" i="30"/>
  <c r="V13" i="30"/>
  <c r="V11" i="30" s="1"/>
  <c r="V44" i="30" s="1"/>
  <c r="G6" i="35" s="1"/>
  <c r="H8" i="55" s="1"/>
  <c r="V47" i="21"/>
  <c r="AD16" i="26"/>
  <c r="M79" i="26"/>
  <c r="M20" i="26"/>
  <c r="M80" i="26" s="1"/>
  <c r="E59" i="55"/>
  <c r="E84" i="55"/>
  <c r="I71" i="38"/>
  <c r="I73" i="38"/>
  <c r="R32" i="59"/>
  <c r="D68" i="55"/>
  <c r="D93" i="55"/>
  <c r="AD37" i="26"/>
  <c r="AE13" i="26" s="1"/>
  <c r="N35" i="26"/>
  <c r="F28" i="21"/>
  <c r="Q28" i="21"/>
  <c r="AA82" i="26" s="1"/>
  <c r="X13" i="26"/>
  <c r="G6" i="50"/>
  <c r="N44" i="30"/>
  <c r="W13" i="26"/>
  <c r="W35" i="26"/>
  <c r="O93" i="55"/>
  <c r="O68" i="55"/>
  <c r="O35" i="26"/>
  <c r="P25" i="21"/>
  <c r="Z41" i="30" s="1"/>
  <c r="Z39" i="30"/>
  <c r="Z24" i="30" s="1"/>
  <c r="G57" i="55"/>
  <c r="G82" i="55"/>
  <c r="D86" i="55"/>
  <c r="D61" i="55"/>
  <c r="R35" i="26"/>
  <c r="J16" i="35"/>
  <c r="K18" i="55" s="1"/>
  <c r="Q84" i="26"/>
  <c r="J55" i="55"/>
  <c r="J80" i="55"/>
  <c r="G59" i="55"/>
  <c r="G84" i="55"/>
  <c r="J92" i="55"/>
  <c r="J67" i="55"/>
  <c r="V34" i="30"/>
  <c r="G55" i="55"/>
  <c r="G80" i="55"/>
  <c r="H22" i="21"/>
  <c r="R38" i="30" s="1"/>
  <c r="R37" i="30"/>
  <c r="T43" i="38"/>
  <c r="P42" i="38"/>
  <c r="D92" i="55"/>
  <c r="D67" i="55"/>
  <c r="F59" i="55"/>
  <c r="F84" i="55"/>
  <c r="C25" i="21"/>
  <c r="M41" i="30" s="1"/>
  <c r="M34" i="30"/>
  <c r="W41" i="30"/>
  <c r="M26" i="21"/>
  <c r="AC109" i="48"/>
  <c r="AC18" i="48" s="1"/>
  <c r="AB18" i="48"/>
  <c r="U28" i="21"/>
  <c r="S35" i="26"/>
  <c r="S13" i="26"/>
  <c r="F6" i="50"/>
  <c r="M44" i="30"/>
  <c r="E57" i="55"/>
  <c r="E82" i="55"/>
  <c r="H59" i="55"/>
  <c r="H84" i="55"/>
  <c r="H73" i="59"/>
  <c r="H74" i="59" s="1"/>
  <c r="H77" i="59" s="1"/>
  <c r="H23" i="59" s="1"/>
  <c r="H75" i="59"/>
  <c r="H25" i="59" s="1"/>
  <c r="H27" i="59" s="1"/>
  <c r="N57" i="55"/>
  <c r="N82" i="55"/>
  <c r="AA35" i="26"/>
  <c r="AA13" i="26"/>
  <c r="L28" i="21"/>
  <c r="V82" i="26" s="1"/>
  <c r="N28" i="21"/>
  <c r="X82" i="26" s="1"/>
  <c r="J28" i="21"/>
  <c r="T82" i="26" s="1"/>
  <c r="S28" i="49"/>
  <c r="S30" i="59"/>
  <c r="T27" i="49"/>
  <c r="D11" i="35"/>
  <c r="I82" i="55"/>
  <c r="I57" i="55"/>
  <c r="E71" i="55"/>
  <c r="E96" i="55"/>
  <c r="D22" i="21"/>
  <c r="N38" i="30" s="1"/>
  <c r="N37" i="30"/>
  <c r="D60" i="55"/>
  <c r="D85" i="55"/>
  <c r="F55" i="55"/>
  <c r="F80" i="55"/>
  <c r="E25" i="21"/>
  <c r="O34" i="30"/>
  <c r="S14" i="59"/>
  <c r="T20" i="25"/>
  <c r="D9" i="35"/>
  <c r="N55" i="55"/>
  <c r="N80" i="55"/>
  <c r="K16" i="35"/>
  <c r="L18" i="55" s="1"/>
  <c r="I6" i="50"/>
  <c r="P44" i="30"/>
  <c r="G73" i="59"/>
  <c r="G74" i="59" s="1"/>
  <c r="G75" i="59"/>
  <c r="G25" i="59" s="1"/>
  <c r="K22" i="21"/>
  <c r="U37" i="30"/>
  <c r="I22" i="21"/>
  <c r="S38" i="30" s="1"/>
  <c r="S37" i="30"/>
  <c r="L22" i="21"/>
  <c r="V38" i="30" s="1"/>
  <c r="V37" i="30"/>
  <c r="S15" i="59"/>
  <c r="T10" i="33"/>
  <c r="D12" i="35"/>
  <c r="E81" i="59"/>
  <c r="E82" i="59" s="1"/>
  <c r="F25" i="33"/>
  <c r="E84" i="59"/>
  <c r="K31" i="48"/>
  <c r="K48" i="48"/>
  <c r="K55" i="48" s="1"/>
  <c r="L27" i="48"/>
  <c r="K7" i="50"/>
  <c r="D23" i="55"/>
  <c r="C15" i="21"/>
  <c r="C84" i="21"/>
  <c r="W14" i="21"/>
  <c r="R28" i="21"/>
  <c r="AB82" i="26" s="1"/>
  <c r="H6" i="50"/>
  <c r="O44" i="30"/>
  <c r="D74" i="55"/>
  <c r="D99" i="55"/>
  <c r="N20" i="26"/>
  <c r="N80" i="26" s="1"/>
  <c r="N75" i="26" s="1"/>
  <c r="E84" i="21"/>
  <c r="E87" i="21" s="1"/>
  <c r="J15" i="21"/>
  <c r="E85" i="21" s="1"/>
  <c r="T38" i="26"/>
  <c r="AD38" i="26" s="1"/>
  <c r="AE14" i="26" s="1"/>
  <c r="I68" i="55"/>
  <c r="I93" i="55"/>
  <c r="I80" i="55"/>
  <c r="I55" i="55"/>
  <c r="T13" i="48"/>
  <c r="D21" i="35"/>
  <c r="E23" i="55" s="1"/>
  <c r="AS79" i="20"/>
  <c r="AS77" i="20"/>
  <c r="AS78" i="20"/>
  <c r="L12" i="20"/>
  <c r="L34" i="20"/>
  <c r="F97" i="55"/>
  <c r="F72" i="55"/>
  <c r="AB35" i="26"/>
  <c r="AB13" i="26"/>
  <c r="N59" i="55"/>
  <c r="N84" i="55"/>
  <c r="L29" i="48"/>
  <c r="K50" i="48"/>
  <c r="K57" i="48" s="1"/>
  <c r="K33" i="48"/>
  <c r="S32" i="38"/>
  <c r="O31" i="38"/>
  <c r="Q31" i="38" s="1"/>
  <c r="G84" i="21"/>
  <c r="G87" i="21" s="1"/>
  <c r="R15" i="21"/>
  <c r="G85" i="21" s="1"/>
  <c r="AB38" i="26"/>
  <c r="U11" i="48"/>
  <c r="T9" i="48"/>
  <c r="E19" i="35" s="1"/>
  <c r="F21" i="55" s="1"/>
  <c r="N67" i="55"/>
  <c r="N92" i="55"/>
  <c r="P28" i="21"/>
  <c r="Z82" i="26" s="1"/>
  <c r="J84" i="55"/>
  <c r="J59" i="55"/>
  <c r="N47" i="21"/>
  <c r="X84" i="26" s="1"/>
  <c r="M55" i="55"/>
  <c r="M80" i="55"/>
  <c r="D16" i="35"/>
  <c r="E18" i="55" s="1"/>
  <c r="H93" i="55"/>
  <c r="H68" i="55"/>
  <c r="O55" i="55"/>
  <c r="O80" i="55"/>
  <c r="J79" i="48"/>
  <c r="K79" i="48" s="1"/>
  <c r="L79" i="48" s="1"/>
  <c r="I79" i="48"/>
  <c r="G79" i="48"/>
  <c r="V28" i="21"/>
  <c r="G93" i="55"/>
  <c r="G68" i="55"/>
  <c r="F67" i="55"/>
  <c r="F92" i="55"/>
  <c r="D25" i="21"/>
  <c r="N34" i="30"/>
  <c r="U52" i="21"/>
  <c r="M52" i="21"/>
  <c r="T52" i="21"/>
  <c r="T47" i="21" s="1"/>
  <c r="L52" i="21"/>
  <c r="L47" i="21" s="1"/>
  <c r="V84" i="26" s="1"/>
  <c r="S52" i="21"/>
  <c r="S47" i="21" s="1"/>
  <c r="AC84" i="26" s="1"/>
  <c r="K52" i="21"/>
  <c r="K47" i="21" s="1"/>
  <c r="U84" i="26" s="1"/>
  <c r="D78" i="21"/>
  <c r="R52" i="21"/>
  <c r="J52" i="21"/>
  <c r="Q52" i="21"/>
  <c r="Q47" i="21" s="1"/>
  <c r="AA84" i="26" s="1"/>
  <c r="I52" i="21"/>
  <c r="I47" i="21" s="1"/>
  <c r="S84" i="26" s="1"/>
  <c r="P52" i="21"/>
  <c r="P47" i="21" s="1"/>
  <c r="Z84" i="26" s="1"/>
  <c r="H52" i="21"/>
  <c r="H47" i="21" s="1"/>
  <c r="O52" i="21"/>
  <c r="O47" i="21" s="1"/>
  <c r="Y84" i="26" s="1"/>
  <c r="V52" i="21"/>
  <c r="N52" i="21"/>
  <c r="I73" i="59"/>
  <c r="I74" i="59" s="1"/>
  <c r="I75" i="59"/>
  <c r="T44" i="30"/>
  <c r="E6" i="35" s="1"/>
  <c r="F8" i="55" s="1"/>
  <c r="T28" i="21"/>
  <c r="G28" i="21"/>
  <c r="K28" i="21"/>
  <c r="U82" i="26" s="1"/>
  <c r="O32" i="59"/>
  <c r="I25" i="21"/>
  <c r="S34" i="30"/>
  <c r="J71" i="38"/>
  <c r="J73" i="38"/>
  <c r="V12" i="25"/>
  <c r="U14" i="25"/>
  <c r="U13" i="25" s="1"/>
  <c r="E16" i="35"/>
  <c r="F18" i="55" s="1"/>
  <c r="E22" i="21"/>
  <c r="O38" i="30" s="1"/>
  <c r="O37" i="30"/>
  <c r="S20" i="38"/>
  <c r="L20" i="38" s="1"/>
  <c r="N20" i="38" s="1"/>
  <c r="L19" i="38"/>
  <c r="D73" i="59"/>
  <c r="D74" i="59" s="1"/>
  <c r="D77" i="59" s="1"/>
  <c r="D23" i="59" s="1"/>
  <c r="D75" i="59"/>
  <c r="D25" i="59" s="1"/>
  <c r="H57" i="55"/>
  <c r="H82" i="55"/>
  <c r="P30" i="26"/>
  <c r="O15" i="26"/>
  <c r="O20" i="26" s="1"/>
  <c r="O80" i="26" s="1"/>
  <c r="O78" i="26"/>
  <c r="O75" i="26" s="1"/>
  <c r="O29" i="26"/>
  <c r="F74" i="21"/>
  <c r="X18" i="59"/>
  <c r="X24" i="59" s="1"/>
  <c r="M16" i="35"/>
  <c r="N18" i="55" s="1"/>
  <c r="J47" i="21"/>
  <c r="T84" i="26" s="1"/>
  <c r="M47" i="21"/>
  <c r="W84" i="26" s="1"/>
  <c r="O57" i="55"/>
  <c r="O82" i="55"/>
  <c r="M57" i="55"/>
  <c r="M82" i="55"/>
  <c r="H25" i="21"/>
  <c r="AQ78" i="20"/>
  <c r="AQ79" i="20"/>
  <c r="AQ77" i="20"/>
  <c r="J12" i="20"/>
  <c r="J34" i="20"/>
  <c r="AC13" i="26"/>
  <c r="AC35" i="26"/>
  <c r="W20" i="48"/>
  <c r="W16" i="48" s="1"/>
  <c r="H20" i="35" s="1"/>
  <c r="I22" i="55" s="1"/>
  <c r="X111" i="48"/>
  <c r="F25" i="21"/>
  <c r="S13" i="30"/>
  <c r="S11" i="30" s="1"/>
  <c r="S44" i="30" s="1"/>
  <c r="D6" i="35" s="1"/>
  <c r="E8" i="55" s="1"/>
  <c r="P32" i="59"/>
  <c r="H32" i="59"/>
  <c r="S31" i="59" s="1"/>
  <c r="D80" i="55"/>
  <c r="D55" i="55"/>
  <c r="H97" i="55"/>
  <c r="H72" i="55"/>
  <c r="G22" i="21"/>
  <c r="Q38" i="30" s="1"/>
  <c r="Q37" i="30"/>
  <c r="L32" i="48"/>
  <c r="AB12" i="48" s="1"/>
  <c r="AC12" i="48" s="1"/>
  <c r="L49" i="48"/>
  <c r="K82" i="55"/>
  <c r="K57" i="55"/>
  <c r="J22" i="21"/>
  <c r="T37" i="30"/>
  <c r="P73" i="59"/>
  <c r="P74" i="59" s="1"/>
  <c r="X19" i="48"/>
  <c r="Y110" i="48"/>
  <c r="L16" i="35"/>
  <c r="M18" i="55" s="1"/>
  <c r="U12" i="49"/>
  <c r="V12" i="49" s="1"/>
  <c r="W12" i="49" s="1"/>
  <c r="X12" i="49" s="1"/>
  <c r="O28" i="21"/>
  <c r="Y82" i="26" s="1"/>
  <c r="S28" i="21"/>
  <c r="AC82" i="26" s="1"/>
  <c r="N15" i="21"/>
  <c r="F85" i="21" s="1"/>
  <c r="F84" i="21"/>
  <c r="F87" i="21" s="1"/>
  <c r="X38" i="26"/>
  <c r="X35" i="26" s="1"/>
  <c r="G25" i="21"/>
  <c r="Q34" i="30"/>
  <c r="F15" i="21"/>
  <c r="D85" i="21" s="1"/>
  <c r="D84" i="21"/>
  <c r="D87" i="21" s="1"/>
  <c r="P38" i="26"/>
  <c r="P35" i="26" s="1"/>
  <c r="J6" i="50"/>
  <c r="Q44" i="30"/>
  <c r="E27" i="59"/>
  <c r="F57" i="55"/>
  <c r="F82" i="55"/>
  <c r="K6" i="50"/>
  <c r="C7" i="35"/>
  <c r="D9" i="55" s="1"/>
  <c r="R44" i="30"/>
  <c r="C6" i="35" s="1"/>
  <c r="D8" i="55" s="1"/>
  <c r="R47" i="21"/>
  <c r="AB84" i="26" s="1"/>
  <c r="U47" i="21"/>
  <c r="F22" i="21"/>
  <c r="P38" i="30" s="1"/>
  <c r="P37" i="30"/>
  <c r="AD17" i="26"/>
  <c r="J82" i="55"/>
  <c r="J57" i="55"/>
  <c r="L82" i="55"/>
  <c r="L57" i="55"/>
  <c r="AR78" i="20"/>
  <c r="AR79" i="20"/>
  <c r="K34" i="20"/>
  <c r="K12" i="20"/>
  <c r="AR77" i="20"/>
  <c r="N64" i="20" l="1"/>
  <c r="N65" i="20" s="1"/>
  <c r="G2" i="50"/>
  <c r="T31" i="59"/>
  <c r="D18" i="35"/>
  <c r="E20" i="55" s="1"/>
  <c r="R84" i="26"/>
  <c r="W47" i="21"/>
  <c r="I72" i="55"/>
  <c r="I97" i="55"/>
  <c r="X16" i="48"/>
  <c r="I20" i="35" s="1"/>
  <c r="J22" i="55" s="1"/>
  <c r="S10" i="26"/>
  <c r="D10" i="35"/>
  <c r="E12" i="55" s="1"/>
  <c r="E83" i="55"/>
  <c r="E58" i="55"/>
  <c r="O41" i="30"/>
  <c r="E26" i="21"/>
  <c r="T38" i="30"/>
  <c r="J25" i="21"/>
  <c r="L68" i="55"/>
  <c r="L93" i="55"/>
  <c r="U13" i="48"/>
  <c r="E21" i="35"/>
  <c r="F23" i="55" s="1"/>
  <c r="T35" i="26"/>
  <c r="AD35" i="26" s="1"/>
  <c r="Y19" i="48"/>
  <c r="Z110" i="48"/>
  <c r="X20" i="48"/>
  <c r="Y111" i="48"/>
  <c r="J75" i="59"/>
  <c r="I25" i="59"/>
  <c r="I27" i="59" s="1"/>
  <c r="F71" i="55"/>
  <c r="F96" i="55"/>
  <c r="T44" i="38"/>
  <c r="P43" i="38"/>
  <c r="R43" i="38" s="1"/>
  <c r="L25" i="21"/>
  <c r="L48" i="48"/>
  <c r="L31" i="48"/>
  <c r="R42" i="38"/>
  <c r="D58" i="55"/>
  <c r="D83" i="55"/>
  <c r="Q30" i="26"/>
  <c r="P15" i="26"/>
  <c r="P20" i="26" s="1"/>
  <c r="P80" i="26" s="1"/>
  <c r="P78" i="26"/>
  <c r="P75" i="26" s="1"/>
  <c r="P29" i="26"/>
  <c r="I77" i="59"/>
  <c r="I23" i="59" s="1"/>
  <c r="V11" i="48"/>
  <c r="U9" i="48"/>
  <c r="F19" i="35" s="1"/>
  <c r="G21" i="55" s="1"/>
  <c r="I32" i="62"/>
  <c r="E13" i="55"/>
  <c r="H83" i="55"/>
  <c r="H58" i="55"/>
  <c r="Q41" i="30"/>
  <c r="G26" i="21"/>
  <c r="T15" i="59"/>
  <c r="U10" i="33"/>
  <c r="E12" i="35"/>
  <c r="F14" i="55" s="1"/>
  <c r="W12" i="25"/>
  <c r="V14" i="25"/>
  <c r="V13" i="25" s="1"/>
  <c r="O32" i="38"/>
  <c r="Q32" i="38" s="1"/>
  <c r="S33" i="38"/>
  <c r="G77" i="59"/>
  <c r="G23" i="59" s="1"/>
  <c r="G27" i="59" s="1"/>
  <c r="AD13" i="26"/>
  <c r="D84" i="55"/>
  <c r="D59" i="55"/>
  <c r="R41" i="30"/>
  <c r="H26" i="21"/>
  <c r="N93" i="55"/>
  <c r="N68" i="55"/>
  <c r="F93" i="55"/>
  <c r="F68" i="55"/>
  <c r="S41" i="30"/>
  <c r="I26" i="21"/>
  <c r="L50" i="48"/>
  <c r="L33" i="48"/>
  <c r="I33" i="62"/>
  <c r="E11" i="55"/>
  <c r="S29" i="49"/>
  <c r="M93" i="55"/>
  <c r="M68" i="55"/>
  <c r="N19" i="38"/>
  <c r="N46" i="38" s="1"/>
  <c r="N47" i="38" s="1"/>
  <c r="L46" i="38"/>
  <c r="L47" i="38" s="1"/>
  <c r="O64" i="20"/>
  <c r="O65" i="20" s="1"/>
  <c r="H2" i="50"/>
  <c r="N41" i="30"/>
  <c r="D26" i="21"/>
  <c r="E93" i="55"/>
  <c r="E68" i="55"/>
  <c r="C85" i="21"/>
  <c r="C87" i="21" s="1"/>
  <c r="W15" i="21"/>
  <c r="T14" i="59"/>
  <c r="U20" i="25"/>
  <c r="U11" i="25" s="1"/>
  <c r="E9" i="35"/>
  <c r="F11" i="55" s="1"/>
  <c r="T30" i="59"/>
  <c r="U27" i="49"/>
  <c r="E11" i="35"/>
  <c r="F13" i="55" s="1"/>
  <c r="T28" i="49"/>
  <c r="K68" i="55"/>
  <c r="K93" i="55"/>
  <c r="W15" i="30"/>
  <c r="W13" i="30"/>
  <c r="W11" i="30" s="1"/>
  <c r="W44" i="30" s="1"/>
  <c r="H6" i="35" s="1"/>
  <c r="I8" i="55" s="1"/>
  <c r="X17" i="30"/>
  <c r="X10" i="48"/>
  <c r="G19" i="49"/>
  <c r="G20" i="49" s="1"/>
  <c r="G21" i="49" s="1"/>
  <c r="Y12" i="49"/>
  <c r="Z12" i="49" s="1"/>
  <c r="AA12" i="49" s="1"/>
  <c r="AB12" i="49" s="1"/>
  <c r="AC12" i="49" s="1"/>
  <c r="E73" i="55"/>
  <c r="E98" i="55"/>
  <c r="P41" i="30"/>
  <c r="F26" i="21"/>
  <c r="F83" i="55"/>
  <c r="F58" i="55"/>
  <c r="F19" i="49"/>
  <c r="F20" i="49" s="1"/>
  <c r="I16" i="35"/>
  <c r="J18" i="55" s="1"/>
  <c r="D27" i="59"/>
  <c r="D98" i="55"/>
  <c r="D73" i="55"/>
  <c r="I29" i="62"/>
  <c r="E14" i="55"/>
  <c r="U38" i="30"/>
  <c r="K25" i="21"/>
  <c r="M75" i="26"/>
  <c r="T10" i="26" l="1"/>
  <c r="E10" i="35"/>
  <c r="F12" i="55" s="1"/>
  <c r="E61" i="55"/>
  <c r="E86" i="55"/>
  <c r="E87" i="55"/>
  <c r="E62" i="55"/>
  <c r="F63" i="55"/>
  <c r="F88" i="55"/>
  <c r="T29" i="49"/>
  <c r="E63" i="55"/>
  <c r="E88" i="55"/>
  <c r="P64" i="20"/>
  <c r="P65" i="20" s="1"/>
  <c r="I2" i="50"/>
  <c r="U31" i="59"/>
  <c r="E18" i="35"/>
  <c r="F20" i="55" s="1"/>
  <c r="M64" i="20"/>
  <c r="M65" i="20" s="1"/>
  <c r="F2" i="50"/>
  <c r="X15" i="30"/>
  <c r="X13" i="30"/>
  <c r="X11" i="30" s="1"/>
  <c r="X44" i="30" s="1"/>
  <c r="I6" i="35" s="1"/>
  <c r="J8" i="55" s="1"/>
  <c r="Y17" i="30"/>
  <c r="U30" i="59"/>
  <c r="V27" i="49"/>
  <c r="U28" i="49"/>
  <c r="U29" i="49" s="1"/>
  <c r="F11" i="35"/>
  <c r="G13" i="55" s="1"/>
  <c r="S34" i="38"/>
  <c r="O33" i="38"/>
  <c r="Q33" i="38" s="1"/>
  <c r="F73" i="55"/>
  <c r="F98" i="55"/>
  <c r="J72" i="55"/>
  <c r="J97" i="55"/>
  <c r="T41" i="30"/>
  <c r="J26" i="21"/>
  <c r="U41" i="30"/>
  <c r="K26" i="21"/>
  <c r="F61" i="55"/>
  <c r="F86" i="55"/>
  <c r="G71" i="55"/>
  <c r="G96" i="55"/>
  <c r="K75" i="59"/>
  <c r="J25" i="59"/>
  <c r="J77" i="59"/>
  <c r="J23" i="59" s="1"/>
  <c r="P44" i="38"/>
  <c r="R44" i="38" s="1"/>
  <c r="T45" i="38"/>
  <c r="P45" i="38" s="1"/>
  <c r="R45" i="38" s="1"/>
  <c r="R46" i="38" s="1"/>
  <c r="R47" i="38" s="1"/>
  <c r="E95" i="55"/>
  <c r="E70" i="55"/>
  <c r="U15" i="59"/>
  <c r="V10" i="33"/>
  <c r="F12" i="35"/>
  <c r="G14" i="55" s="1"/>
  <c r="J68" i="55"/>
  <c r="J93" i="55"/>
  <c r="R30" i="26"/>
  <c r="Q15" i="26"/>
  <c r="Q78" i="26"/>
  <c r="Q29" i="26"/>
  <c r="V13" i="48"/>
  <c r="F21" i="35"/>
  <c r="G23" i="55" s="1"/>
  <c r="U14" i="59"/>
  <c r="V20" i="25"/>
  <c r="F9" i="35"/>
  <c r="G11" i="55" s="1"/>
  <c r="W11" i="48"/>
  <c r="V9" i="48"/>
  <c r="G19" i="35" s="1"/>
  <c r="H21" i="55" s="1"/>
  <c r="Y20" i="48"/>
  <c r="Y16" i="48" s="1"/>
  <c r="J20" i="35" s="1"/>
  <c r="K22" i="55" s="1"/>
  <c r="Z111" i="48"/>
  <c r="F89" i="55"/>
  <c r="F64" i="55"/>
  <c r="Z19" i="48"/>
  <c r="AA110" i="48"/>
  <c r="Y10" i="48"/>
  <c r="I58" i="55"/>
  <c r="I83" i="55"/>
  <c r="AU77" i="20"/>
  <c r="AU78" i="20"/>
  <c r="AU79" i="20"/>
  <c r="N12" i="20"/>
  <c r="N34" i="20"/>
  <c r="E89" i="55"/>
  <c r="E64" i="55"/>
  <c r="AV78" i="20"/>
  <c r="AV79" i="20"/>
  <c r="O12" i="20"/>
  <c r="AV77" i="20"/>
  <c r="O34" i="20"/>
  <c r="X12" i="25"/>
  <c r="W14" i="25"/>
  <c r="W13" i="25" s="1"/>
  <c r="V41" i="30"/>
  <c r="L26" i="21"/>
  <c r="K72" i="55" l="1"/>
  <c r="K97" i="55"/>
  <c r="G61" i="55"/>
  <c r="G86" i="55"/>
  <c r="P46" i="38"/>
  <c r="P47" i="38" s="1"/>
  <c r="G73" i="55"/>
  <c r="G98" i="55"/>
  <c r="S35" i="38"/>
  <c r="O34" i="38"/>
  <c r="Q34" i="38" s="1"/>
  <c r="Z20" i="48"/>
  <c r="AA111" i="48"/>
  <c r="W13" i="48"/>
  <c r="G21" i="35"/>
  <c r="H23" i="55" s="1"/>
  <c r="W10" i="33"/>
  <c r="V15" i="59"/>
  <c r="G12" i="35"/>
  <c r="H14" i="55" s="1"/>
  <c r="K25" i="59"/>
  <c r="L75" i="59"/>
  <c r="K77" i="59"/>
  <c r="K23" i="59" s="1"/>
  <c r="G63" i="55"/>
  <c r="G88" i="55"/>
  <c r="F87" i="55"/>
  <c r="F62" i="55"/>
  <c r="R78" i="26"/>
  <c r="R29" i="26"/>
  <c r="R15" i="26"/>
  <c r="R20" i="26" s="1"/>
  <c r="S30" i="26"/>
  <c r="V14" i="59"/>
  <c r="W20" i="25"/>
  <c r="G9" i="35"/>
  <c r="H11" i="55" s="1"/>
  <c r="V11" i="25"/>
  <c r="J27" i="59"/>
  <c r="C3" i="50" s="1"/>
  <c r="F10" i="35"/>
  <c r="G12" i="55" s="1"/>
  <c r="U10" i="26"/>
  <c r="AT79" i="20"/>
  <c r="AT77" i="20"/>
  <c r="AT78" i="20"/>
  <c r="M34" i="20"/>
  <c r="M12" i="20"/>
  <c r="AW77" i="20"/>
  <c r="AW78" i="20"/>
  <c r="AW79" i="20"/>
  <c r="P12" i="20"/>
  <c r="P34" i="20"/>
  <c r="J58" i="55"/>
  <c r="J83" i="55"/>
  <c r="G89" i="55"/>
  <c r="G64" i="55"/>
  <c r="Z10" i="48"/>
  <c r="H71" i="55"/>
  <c r="H96" i="55"/>
  <c r="Q75" i="26"/>
  <c r="V28" i="49"/>
  <c r="W27" i="49"/>
  <c r="V30" i="59"/>
  <c r="G11" i="35"/>
  <c r="H13" i="55" s="1"/>
  <c r="F95" i="55"/>
  <c r="F70" i="55"/>
  <c r="AB110" i="48"/>
  <c r="AA19" i="48"/>
  <c r="Z16" i="48"/>
  <c r="K20" i="35" s="1"/>
  <c r="L22" i="55" s="1"/>
  <c r="Y13" i="30"/>
  <c r="Y11" i="30" s="1"/>
  <c r="Y44" i="30" s="1"/>
  <c r="J6" i="35" s="1"/>
  <c r="K8" i="55" s="1"/>
  <c r="Z17" i="30"/>
  <c r="Y15" i="30"/>
  <c r="Y12" i="25"/>
  <c r="X14" i="25"/>
  <c r="X13" i="25" s="1"/>
  <c r="X11" i="48"/>
  <c r="W9" i="48"/>
  <c r="H19" i="35" s="1"/>
  <c r="I21" i="55" s="1"/>
  <c r="Q20" i="26"/>
  <c r="Q80" i="26" s="1"/>
  <c r="V31" i="59"/>
  <c r="F18" i="35"/>
  <c r="G20" i="55" s="1"/>
  <c r="F81" i="59"/>
  <c r="F82" i="59" s="1"/>
  <c r="G95" i="55" l="1"/>
  <c r="G70" i="55"/>
  <c r="S29" i="26"/>
  <c r="T30" i="26"/>
  <c r="S15" i="26"/>
  <c r="S78" i="26"/>
  <c r="X13" i="48"/>
  <c r="H21" i="35"/>
  <c r="I23" i="55" s="1"/>
  <c r="AB19" i="48"/>
  <c r="AC110" i="48"/>
  <c r="AC19" i="48" s="1"/>
  <c r="H89" i="55"/>
  <c r="H64" i="55"/>
  <c r="H73" i="55"/>
  <c r="H98" i="55"/>
  <c r="K58" i="55"/>
  <c r="K83" i="55"/>
  <c r="W28" i="49"/>
  <c r="W30" i="59"/>
  <c r="X27" i="49"/>
  <c r="H11" i="35"/>
  <c r="I13" i="55" s="1"/>
  <c r="G87" i="55"/>
  <c r="G62" i="55"/>
  <c r="R80" i="26"/>
  <c r="S20" i="26"/>
  <c r="L25" i="59"/>
  <c r="M75" i="59"/>
  <c r="L77" i="59"/>
  <c r="L23" i="59" s="1"/>
  <c r="AB111" i="48"/>
  <c r="AA20" i="48"/>
  <c r="AA16" i="48" s="1"/>
  <c r="L20" i="35" s="1"/>
  <c r="M22" i="55" s="1"/>
  <c r="H61" i="55"/>
  <c r="H86" i="55"/>
  <c r="Y14" i="25"/>
  <c r="Y13" i="25" s="1"/>
  <c r="Z12" i="25"/>
  <c r="W31" i="59"/>
  <c r="G18" i="35"/>
  <c r="H20" i="55" s="1"/>
  <c r="X10" i="33"/>
  <c r="W15" i="59"/>
  <c r="H12" i="35"/>
  <c r="I14" i="55" s="1"/>
  <c r="G25" i="33"/>
  <c r="AA17" i="30"/>
  <c r="Z15" i="30"/>
  <c r="Z13" i="30"/>
  <c r="Z11" i="30" s="1"/>
  <c r="Z44" i="30" s="1"/>
  <c r="K6" i="35" s="1"/>
  <c r="L8" i="55" s="1"/>
  <c r="L72" i="55"/>
  <c r="L97" i="55"/>
  <c r="V10" i="26"/>
  <c r="G10" i="35"/>
  <c r="H12" i="55" s="1"/>
  <c r="K27" i="59"/>
  <c r="D3" i="50" s="1"/>
  <c r="Q64" i="20"/>
  <c r="Q65" i="20" s="1"/>
  <c r="J2" i="50"/>
  <c r="S36" i="38"/>
  <c r="O36" i="38" s="1"/>
  <c r="O35" i="38"/>
  <c r="Q35" i="38" s="1"/>
  <c r="W14" i="59"/>
  <c r="X20" i="25"/>
  <c r="H9" i="35"/>
  <c r="I11" i="55" s="1"/>
  <c r="W11" i="25"/>
  <c r="H63" i="55"/>
  <c r="H88" i="55"/>
  <c r="AA10" i="48"/>
  <c r="I96" i="55"/>
  <c r="I71" i="55"/>
  <c r="Y11" i="48"/>
  <c r="X9" i="48"/>
  <c r="I19" i="35" s="1"/>
  <c r="J21" i="55" s="1"/>
  <c r="V29" i="49"/>
  <c r="R75" i="26"/>
  <c r="F84" i="59"/>
  <c r="M97" i="55" l="1"/>
  <c r="M72" i="55"/>
  <c r="AX77" i="20"/>
  <c r="AX79" i="20"/>
  <c r="AX78" i="20"/>
  <c r="Q34" i="20"/>
  <c r="Q12" i="20"/>
  <c r="T29" i="26"/>
  <c r="U30" i="26"/>
  <c r="T15" i="26"/>
  <c r="T78" i="26"/>
  <c r="AB17" i="30"/>
  <c r="AA15" i="30"/>
  <c r="AA13" i="30"/>
  <c r="AA11" i="30" s="1"/>
  <c r="AA44" i="30" s="1"/>
  <c r="L6" i="35" s="1"/>
  <c r="M8" i="55" s="1"/>
  <c r="Z14" i="25"/>
  <c r="Z13" i="25" s="1"/>
  <c r="AA12" i="25"/>
  <c r="N75" i="59"/>
  <c r="M25" i="59"/>
  <c r="M77" i="59"/>
  <c r="M23" i="59" s="1"/>
  <c r="X30" i="59"/>
  <c r="Y27" i="49"/>
  <c r="X28" i="49"/>
  <c r="I11" i="35"/>
  <c r="J13" i="55" s="1"/>
  <c r="Z11" i="48"/>
  <c r="Y9" i="48"/>
  <c r="J19" i="35" s="1"/>
  <c r="K21" i="55" s="1"/>
  <c r="H87" i="55"/>
  <c r="H62" i="55"/>
  <c r="L27" i="59"/>
  <c r="E3" i="50" s="1"/>
  <c r="W10" i="26"/>
  <c r="H10" i="35"/>
  <c r="I12" i="55" s="1"/>
  <c r="R64" i="20"/>
  <c r="R65" i="20" s="1"/>
  <c r="K2" i="50"/>
  <c r="C2" i="35"/>
  <c r="D4" i="55" s="1"/>
  <c r="S75" i="26"/>
  <c r="H95" i="55"/>
  <c r="H70" i="55"/>
  <c r="AC111" i="48"/>
  <c r="AC20" i="48" s="1"/>
  <c r="AC16" i="48" s="1"/>
  <c r="N20" i="35" s="1"/>
  <c r="O22" i="55" s="1"/>
  <c r="AB20" i="48"/>
  <c r="X31" i="59"/>
  <c r="H18" i="35"/>
  <c r="I20" i="55" s="1"/>
  <c r="J96" i="55"/>
  <c r="J71" i="55"/>
  <c r="I86" i="55"/>
  <c r="I61" i="55"/>
  <c r="Y20" i="25"/>
  <c r="X14" i="59"/>
  <c r="I9" i="35"/>
  <c r="J11" i="55" s="1"/>
  <c r="I64" i="55"/>
  <c r="I89" i="55"/>
  <c r="S80" i="26"/>
  <c r="T20" i="26"/>
  <c r="W29" i="49"/>
  <c r="AB16" i="48"/>
  <c r="M20" i="35" s="1"/>
  <c r="N22" i="55" s="1"/>
  <c r="AB10" i="48"/>
  <c r="Y10" i="33"/>
  <c r="X15" i="59"/>
  <c r="I12" i="35"/>
  <c r="J14" i="55" s="1"/>
  <c r="Y13" i="48"/>
  <c r="I21" i="35"/>
  <c r="J23" i="55" s="1"/>
  <c r="Q36" i="38"/>
  <c r="Q46" i="38" s="1"/>
  <c r="Q47" i="38" s="1"/>
  <c r="O46" i="38"/>
  <c r="O47" i="38" s="1"/>
  <c r="L58" i="55"/>
  <c r="L83" i="55"/>
  <c r="I88" i="55"/>
  <c r="I63" i="55"/>
  <c r="S11" i="26"/>
  <c r="S9" i="26" s="1"/>
  <c r="I98" i="55"/>
  <c r="I73" i="55"/>
  <c r="X11" i="25"/>
  <c r="O97" i="55" l="1"/>
  <c r="O72" i="55"/>
  <c r="X10" i="26"/>
  <c r="I10" i="35"/>
  <c r="J12" i="55" s="1"/>
  <c r="U20" i="26"/>
  <c r="T80" i="26"/>
  <c r="T75" i="26" s="1"/>
  <c r="Y15" i="59"/>
  <c r="Z10" i="33"/>
  <c r="J12" i="35"/>
  <c r="K14" i="55" s="1"/>
  <c r="Y28" i="49"/>
  <c r="Y29" i="49" s="1"/>
  <c r="Y30" i="59"/>
  <c r="Z27" i="49"/>
  <c r="J11" i="35"/>
  <c r="K13" i="55" s="1"/>
  <c r="I70" i="55"/>
  <c r="I95" i="55"/>
  <c r="AC17" i="30"/>
  <c r="AB15" i="30"/>
  <c r="AB13" i="30"/>
  <c r="AB11" i="30" s="1"/>
  <c r="AB44" i="30" s="1"/>
  <c r="M6" i="35" s="1"/>
  <c r="N8" i="55" s="1"/>
  <c r="S64" i="20"/>
  <c r="S65" i="20" s="1"/>
  <c r="D2" i="35"/>
  <c r="E4" i="55" s="1"/>
  <c r="X29" i="49"/>
  <c r="Z13" i="48"/>
  <c r="J21" i="35"/>
  <c r="K23" i="55" s="1"/>
  <c r="Y31" i="59"/>
  <c r="I18" i="35"/>
  <c r="J20" i="55" s="1"/>
  <c r="AY78" i="20"/>
  <c r="AY79" i="20"/>
  <c r="AY77" i="20"/>
  <c r="R34" i="20"/>
  <c r="R12" i="20"/>
  <c r="K96" i="55"/>
  <c r="K71" i="55"/>
  <c r="M27" i="59"/>
  <c r="F3" i="50" s="1"/>
  <c r="AC10" i="48"/>
  <c r="J64" i="55"/>
  <c r="J89" i="55"/>
  <c r="N97" i="55"/>
  <c r="N72" i="55"/>
  <c r="AA11" i="48"/>
  <c r="Z9" i="48"/>
  <c r="K19" i="35" s="1"/>
  <c r="L21" i="55" s="1"/>
  <c r="O75" i="59"/>
  <c r="N25" i="59"/>
  <c r="N77" i="59"/>
  <c r="N23" i="59" s="1"/>
  <c r="T11" i="26"/>
  <c r="T9" i="26" s="1"/>
  <c r="M83" i="55"/>
  <c r="M58" i="55"/>
  <c r="D54" i="55"/>
  <c r="D79" i="55"/>
  <c r="J98" i="55"/>
  <c r="J73" i="55"/>
  <c r="J86" i="55"/>
  <c r="J61" i="55"/>
  <c r="Z20" i="25"/>
  <c r="Y14" i="59"/>
  <c r="J9" i="35"/>
  <c r="K11" i="55" s="1"/>
  <c r="Y11" i="25"/>
  <c r="I62" i="55"/>
  <c r="I87" i="55"/>
  <c r="J88" i="55"/>
  <c r="J63" i="55"/>
  <c r="AB12" i="25"/>
  <c r="AA14" i="25"/>
  <c r="AA13" i="25" s="1"/>
  <c r="V30" i="26"/>
  <c r="U15" i="26"/>
  <c r="U78" i="26"/>
  <c r="U29" i="26"/>
  <c r="T64" i="20" l="1"/>
  <c r="T65" i="20" s="1"/>
  <c r="E2" i="35"/>
  <c r="F4" i="55" s="1"/>
  <c r="AA13" i="48"/>
  <c r="K21" i="35"/>
  <c r="L23" i="55" s="1"/>
  <c r="U11" i="26"/>
  <c r="U9" i="26" s="1"/>
  <c r="N27" i="59"/>
  <c r="G3" i="50" s="1"/>
  <c r="D85" i="59"/>
  <c r="K88" i="55"/>
  <c r="K63" i="55"/>
  <c r="P75" i="59"/>
  <c r="O25" i="59"/>
  <c r="O77" i="59"/>
  <c r="O23" i="59" s="1"/>
  <c r="Z28" i="49"/>
  <c r="Z30" i="59"/>
  <c r="AA27" i="49"/>
  <c r="K11" i="35"/>
  <c r="L13" i="55" s="1"/>
  <c r="L96" i="55"/>
  <c r="L71" i="55"/>
  <c r="N83" i="55"/>
  <c r="N58" i="55"/>
  <c r="Y10" i="26"/>
  <c r="J10" i="35"/>
  <c r="K12" i="55" s="1"/>
  <c r="J62" i="55"/>
  <c r="J87" i="55"/>
  <c r="AZ78" i="20"/>
  <c r="AZ79" i="20"/>
  <c r="S12" i="20"/>
  <c r="AZ77" i="20"/>
  <c r="S34" i="20"/>
  <c r="E79" i="55"/>
  <c r="E54" i="55"/>
  <c r="K86" i="55"/>
  <c r="K61" i="55"/>
  <c r="AB11" i="48"/>
  <c r="AA9" i="48"/>
  <c r="L19" i="35" s="1"/>
  <c r="M21" i="55" s="1"/>
  <c r="J70" i="55"/>
  <c r="J95" i="55"/>
  <c r="Z31" i="59"/>
  <c r="J18" i="35"/>
  <c r="K20" i="55" s="1"/>
  <c r="AC15" i="30"/>
  <c r="AC13" i="30"/>
  <c r="AC11" i="30" s="1"/>
  <c r="AC44" i="30" s="1"/>
  <c r="N6" i="35" s="1"/>
  <c r="O8" i="55" s="1"/>
  <c r="K64" i="55"/>
  <c r="K89" i="55"/>
  <c r="W30" i="26"/>
  <c r="V15" i="26"/>
  <c r="V78" i="26"/>
  <c r="V29" i="26"/>
  <c r="V20" i="26"/>
  <c r="U80" i="26"/>
  <c r="U75" i="26" s="1"/>
  <c r="AC12" i="25"/>
  <c r="AB14" i="25"/>
  <c r="AB13" i="25" s="1"/>
  <c r="Z14" i="59"/>
  <c r="AA20" i="25"/>
  <c r="K9" i="35"/>
  <c r="L11" i="55" s="1"/>
  <c r="Z11" i="25"/>
  <c r="K98" i="55"/>
  <c r="K73" i="55"/>
  <c r="Z15" i="59"/>
  <c r="AA10" i="33"/>
  <c r="K12" i="35"/>
  <c r="L14" i="55" s="1"/>
  <c r="G81" i="59"/>
  <c r="G82" i="59" s="1"/>
  <c r="G84" i="59"/>
  <c r="U64" i="20" l="1"/>
  <c r="U65" i="20" s="1"/>
  <c r="F2" i="35"/>
  <c r="G4" i="55" s="1"/>
  <c r="O83" i="55"/>
  <c r="O58" i="55"/>
  <c r="Z10" i="26"/>
  <c r="K10" i="35"/>
  <c r="L12" i="55" s="1"/>
  <c r="AA31" i="59"/>
  <c r="K18" i="35"/>
  <c r="L20" i="55" s="1"/>
  <c r="Q75" i="59"/>
  <c r="P25" i="59"/>
  <c r="P77" i="59"/>
  <c r="P23" i="59" s="1"/>
  <c r="AB13" i="48"/>
  <c r="L21" i="35"/>
  <c r="M23" i="55" s="1"/>
  <c r="W20" i="26"/>
  <c r="V80" i="26"/>
  <c r="V75" i="26" s="1"/>
  <c r="K70" i="55"/>
  <c r="K95" i="55"/>
  <c r="O27" i="59"/>
  <c r="H3" i="50" s="1"/>
  <c r="AA14" i="59"/>
  <c r="AB20" i="25"/>
  <c r="L9" i="35"/>
  <c r="M11" i="55" s="1"/>
  <c r="V11" i="26"/>
  <c r="V9" i="26" s="1"/>
  <c r="L88" i="55"/>
  <c r="L63" i="55"/>
  <c r="F79" i="55"/>
  <c r="F54" i="55"/>
  <c r="AC14" i="25"/>
  <c r="AC13" i="25" s="1"/>
  <c r="AA15" i="59"/>
  <c r="AB10" i="33"/>
  <c r="L12" i="35"/>
  <c r="M14" i="55" s="1"/>
  <c r="H25" i="33"/>
  <c r="X30" i="26"/>
  <c r="W15" i="26"/>
  <c r="W11" i="26" s="1"/>
  <c r="W9" i="26" s="1"/>
  <c r="W78" i="26"/>
  <c r="W29" i="26"/>
  <c r="K62" i="55"/>
  <c r="K87" i="55"/>
  <c r="Z29" i="49"/>
  <c r="BA79" i="20"/>
  <c r="BA77" i="20"/>
  <c r="BA78" i="20"/>
  <c r="T12" i="20"/>
  <c r="T34" i="20"/>
  <c r="AC11" i="48"/>
  <c r="AC9" i="48" s="1"/>
  <c r="N19" i="35" s="1"/>
  <c r="O21" i="55" s="1"/>
  <c r="AB9" i="48"/>
  <c r="M19" i="35" s="1"/>
  <c r="N21" i="55" s="1"/>
  <c r="L86" i="55"/>
  <c r="L61" i="55"/>
  <c r="L98" i="55"/>
  <c r="L73" i="55"/>
  <c r="L64" i="55"/>
  <c r="L89" i="55"/>
  <c r="M71" i="55"/>
  <c r="M96" i="55"/>
  <c r="AA28" i="49"/>
  <c r="AA29" i="49" s="1"/>
  <c r="AA30" i="59"/>
  <c r="AB27" i="49"/>
  <c r="L11" i="35"/>
  <c r="M13" i="55" s="1"/>
  <c r="AA11" i="25"/>
  <c r="V64" i="20" l="1"/>
  <c r="V65" i="20" s="1"/>
  <c r="G2" i="35"/>
  <c r="H4" i="55" s="1"/>
  <c r="AB31" i="59"/>
  <c r="L18" i="35"/>
  <c r="M20" i="55" s="1"/>
  <c r="O71" i="55"/>
  <c r="O96" i="55"/>
  <c r="X20" i="26"/>
  <c r="W80" i="26"/>
  <c r="L62" i="55"/>
  <c r="L87" i="55"/>
  <c r="M61" i="55"/>
  <c r="M86" i="55"/>
  <c r="W75" i="26"/>
  <c r="AB14" i="59"/>
  <c r="AC20" i="25"/>
  <c r="M9" i="35"/>
  <c r="N11" i="55" s="1"/>
  <c r="AC13" i="48"/>
  <c r="N21" i="35" s="1"/>
  <c r="O23" i="55" s="1"/>
  <c r="M21" i="35"/>
  <c r="N23" i="55" s="1"/>
  <c r="M63" i="55"/>
  <c r="M88" i="55"/>
  <c r="M98" i="55"/>
  <c r="M73" i="55"/>
  <c r="X15" i="26"/>
  <c r="X78" i="26"/>
  <c r="X29" i="26"/>
  <c r="AD29" i="26" s="1"/>
  <c r="AD30" i="26"/>
  <c r="AE15" i="26" s="1"/>
  <c r="P27" i="59"/>
  <c r="I3" i="50" s="1"/>
  <c r="G79" i="55"/>
  <c r="G54" i="55"/>
  <c r="N71" i="55"/>
  <c r="N96" i="55"/>
  <c r="AB30" i="59"/>
  <c r="AC27" i="49"/>
  <c r="AB28" i="49"/>
  <c r="AB29" i="49" s="1"/>
  <c r="M11" i="35"/>
  <c r="N13" i="55" s="1"/>
  <c r="R75" i="59"/>
  <c r="Q25" i="59"/>
  <c r="Q77" i="59"/>
  <c r="Q23" i="59" s="1"/>
  <c r="BB79" i="20"/>
  <c r="BB77" i="20"/>
  <c r="BB78" i="20"/>
  <c r="U12" i="20"/>
  <c r="U34" i="20"/>
  <c r="AB15" i="59"/>
  <c r="AC10" i="33"/>
  <c r="I25" i="33"/>
  <c r="M12" i="35"/>
  <c r="N14" i="55" s="1"/>
  <c r="AA10" i="26"/>
  <c r="L10" i="35"/>
  <c r="M12" i="55" s="1"/>
  <c r="M89" i="55"/>
  <c r="M64" i="55"/>
  <c r="L70" i="55"/>
  <c r="L95" i="55"/>
  <c r="AB11" i="25"/>
  <c r="N63" i="55" l="1"/>
  <c r="N88" i="55"/>
  <c r="AC14" i="59"/>
  <c r="N9" i="35"/>
  <c r="O11" i="55" s="1"/>
  <c r="Y20" i="26"/>
  <c r="X80" i="26"/>
  <c r="X75" i="26" s="1"/>
  <c r="M10" i="35"/>
  <c r="N12" i="55" s="1"/>
  <c r="AB10" i="26"/>
  <c r="AC28" i="49"/>
  <c r="AC29" i="49" s="1"/>
  <c r="AC30" i="59"/>
  <c r="N11" i="35"/>
  <c r="O13" i="55" s="1"/>
  <c r="M95" i="55"/>
  <c r="M70" i="55"/>
  <c r="N89" i="55"/>
  <c r="N64" i="55"/>
  <c r="AC31" i="59"/>
  <c r="N18" i="35" s="1"/>
  <c r="O20" i="55" s="1"/>
  <c r="M18" i="35"/>
  <c r="N20" i="55" s="1"/>
  <c r="N73" i="55"/>
  <c r="N98" i="55"/>
  <c r="H79" i="55"/>
  <c r="H54" i="55"/>
  <c r="W64" i="20"/>
  <c r="W65" i="20" s="1"/>
  <c r="H2" i="35"/>
  <c r="I4" i="55" s="1"/>
  <c r="Q27" i="59"/>
  <c r="J3" i="50" s="1"/>
  <c r="X11" i="26"/>
  <c r="X9" i="26" s="1"/>
  <c r="AD15" i="26"/>
  <c r="O73" i="55"/>
  <c r="O98" i="55"/>
  <c r="V12" i="20"/>
  <c r="V34" i="20"/>
  <c r="M87" i="55"/>
  <c r="M62" i="55"/>
  <c r="AC15" i="59"/>
  <c r="N12" i="35"/>
  <c r="O14" i="55" s="1"/>
  <c r="S75" i="59"/>
  <c r="R25" i="59"/>
  <c r="R77" i="59"/>
  <c r="R23" i="59" s="1"/>
  <c r="N61" i="55"/>
  <c r="N86" i="55"/>
  <c r="AC11" i="25"/>
  <c r="X64" i="20" l="1"/>
  <c r="X65" i="20" s="1"/>
  <c r="I2" i="35"/>
  <c r="J4" i="55" s="1"/>
  <c r="R27" i="59"/>
  <c r="N87" i="55"/>
  <c r="N62" i="55"/>
  <c r="Y80" i="26"/>
  <c r="Y75" i="26" s="1"/>
  <c r="Z20" i="26"/>
  <c r="Y11" i="26"/>
  <c r="Y9" i="26" s="1"/>
  <c r="N95" i="55"/>
  <c r="N70" i="55"/>
  <c r="N10" i="35"/>
  <c r="O12" i="55" s="1"/>
  <c r="AC10" i="26"/>
  <c r="O61" i="55"/>
  <c r="O86" i="55"/>
  <c r="O89" i="55"/>
  <c r="O64" i="55"/>
  <c r="O95" i="55"/>
  <c r="O70" i="55"/>
  <c r="T75" i="59"/>
  <c r="S25" i="59"/>
  <c r="O63" i="55"/>
  <c r="O88" i="55"/>
  <c r="I54" i="55"/>
  <c r="I79" i="55"/>
  <c r="W12" i="20"/>
  <c r="W34" i="20"/>
  <c r="Y64" i="20" l="1"/>
  <c r="Y65" i="20" s="1"/>
  <c r="J2" i="35"/>
  <c r="K4" i="55" s="1"/>
  <c r="C17" i="35"/>
  <c r="D19" i="55" s="1"/>
  <c r="K3" i="50"/>
  <c r="Z80" i="26"/>
  <c r="Z75" i="26" s="1"/>
  <c r="AA20" i="26"/>
  <c r="Z11" i="26"/>
  <c r="Z9" i="26" s="1"/>
  <c r="U75" i="59"/>
  <c r="T25" i="59"/>
  <c r="O87" i="55"/>
  <c r="O62" i="55"/>
  <c r="J54" i="55"/>
  <c r="J79" i="55"/>
  <c r="S27" i="59"/>
  <c r="D17" i="35" s="1"/>
  <c r="E19" i="55" s="1"/>
  <c r="S12" i="59"/>
  <c r="E83" i="59" s="1"/>
  <c r="E87" i="59" s="1"/>
  <c r="E85" i="59"/>
  <c r="X12" i="20"/>
  <c r="X34" i="20"/>
  <c r="E69" i="55" l="1"/>
  <c r="E94" i="55"/>
  <c r="AA80" i="26"/>
  <c r="AA75" i="26" s="1"/>
  <c r="AB20" i="26"/>
  <c r="AA11" i="26"/>
  <c r="AA9" i="26" s="1"/>
  <c r="D94" i="55"/>
  <c r="D69" i="55"/>
  <c r="Z64" i="20"/>
  <c r="Z65" i="20" s="1"/>
  <c r="K2" i="35"/>
  <c r="L4" i="55" s="1"/>
  <c r="T27" i="59"/>
  <c r="E17" i="35" s="1"/>
  <c r="F19" i="55" s="1"/>
  <c r="T12" i="59"/>
  <c r="K54" i="55"/>
  <c r="K79" i="55"/>
  <c r="V75" i="59"/>
  <c r="U25" i="59"/>
  <c r="Y12" i="20"/>
  <c r="Y34" i="20"/>
  <c r="AC20" i="26" l="1"/>
  <c r="AB80" i="26"/>
  <c r="AB75" i="26" s="1"/>
  <c r="AB11" i="26"/>
  <c r="AB9" i="26" s="1"/>
  <c r="U27" i="59"/>
  <c r="F17" i="35" s="1"/>
  <c r="G19" i="55" s="1"/>
  <c r="U12" i="59"/>
  <c r="AA64" i="20"/>
  <c r="AA65" i="20" s="1"/>
  <c r="L2" i="35"/>
  <c r="M4" i="55" s="1"/>
  <c r="Z12" i="20"/>
  <c r="Z34" i="20"/>
  <c r="W75" i="59"/>
  <c r="V25" i="59"/>
  <c r="F69" i="55"/>
  <c r="F94" i="55"/>
  <c r="L54" i="55"/>
  <c r="L79" i="55"/>
  <c r="M79" i="55" l="1"/>
  <c r="M54" i="55"/>
  <c r="X75" i="59"/>
  <c r="W25" i="59"/>
  <c r="G69" i="55"/>
  <c r="G94" i="55"/>
  <c r="AB64" i="20"/>
  <c r="AB65" i="20" s="1"/>
  <c r="M2" i="35"/>
  <c r="N4" i="55" s="1"/>
  <c r="AA12" i="20"/>
  <c r="AA34" i="20"/>
  <c r="V27" i="59"/>
  <c r="G17" i="35" s="1"/>
  <c r="H19" i="55" s="1"/>
  <c r="V12" i="59"/>
  <c r="AC80" i="26"/>
  <c r="AC75" i="26" s="1"/>
  <c r="AC11" i="26"/>
  <c r="AC9" i="26" s="1"/>
  <c r="Y75" i="59" l="1"/>
  <c r="X25" i="59"/>
  <c r="H69" i="55"/>
  <c r="H94" i="55"/>
  <c r="AC64" i="20"/>
  <c r="AC65" i="20" s="1"/>
  <c r="N2" i="35"/>
  <c r="O4" i="55" s="1"/>
  <c r="W27" i="59"/>
  <c r="H17" i="35" s="1"/>
  <c r="I19" i="55" s="1"/>
  <c r="W12" i="59"/>
  <c r="F83" i="59" s="1"/>
  <c r="F87" i="59" s="1"/>
  <c r="N79" i="55"/>
  <c r="N54" i="55"/>
  <c r="F85" i="59"/>
  <c r="AB12" i="20"/>
  <c r="AB34" i="20"/>
  <c r="O79" i="55" l="1"/>
  <c r="O54" i="55"/>
  <c r="AC12" i="20"/>
  <c r="AC34" i="20"/>
  <c r="X27" i="59"/>
  <c r="I17" i="35" s="1"/>
  <c r="J19" i="55" s="1"/>
  <c r="X12" i="59"/>
  <c r="I94" i="55"/>
  <c r="I69" i="55"/>
  <c r="Z75" i="59"/>
  <c r="Y25" i="59"/>
  <c r="J94" i="55" l="1"/>
  <c r="J69" i="55"/>
  <c r="Y27" i="59"/>
  <c r="J17" i="35" s="1"/>
  <c r="K19" i="55" s="1"/>
  <c r="Y12" i="59"/>
  <c r="AA75" i="59"/>
  <c r="Z25" i="59"/>
  <c r="K94" i="55" l="1"/>
  <c r="K69" i="55"/>
  <c r="Z27" i="59"/>
  <c r="K17" i="35" s="1"/>
  <c r="L19" i="55" s="1"/>
  <c r="Z12" i="59"/>
  <c r="AB75" i="59"/>
  <c r="AA25" i="59"/>
  <c r="G85" i="59" s="1"/>
  <c r="AC75" i="59" l="1"/>
  <c r="AC25" i="59" s="1"/>
  <c r="AB25" i="59"/>
  <c r="L94" i="55"/>
  <c r="L69" i="55"/>
  <c r="AA27" i="59"/>
  <c r="L17" i="35" s="1"/>
  <c r="M19" i="55" s="1"/>
  <c r="AA12" i="59"/>
  <c r="G83" i="59" s="1"/>
  <c r="G87" i="59" s="1"/>
  <c r="AB27" i="59" l="1"/>
  <c r="M17" i="35" s="1"/>
  <c r="N19" i="55" s="1"/>
  <c r="AB12" i="59"/>
  <c r="M69" i="55"/>
  <c r="M94" i="55"/>
  <c r="AC27" i="59"/>
  <c r="N17" i="35" s="1"/>
  <c r="O19" i="55" s="1"/>
  <c r="AC12" i="59"/>
  <c r="O69" i="55" l="1"/>
  <c r="O94" i="55"/>
  <c r="N69" i="55"/>
  <c r="N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2"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tc={CE7B7F89-CE41-44FA-BB45-59356CD57AE4}</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8"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5"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5"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<sst xmlns="http://schemas.openxmlformats.org/spreadsheetml/2006/main" count="3155" uniqueCount="1598">
  <si>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</si>
  <si>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</si>
  <si>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</si>
  <si>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</si>
  <si>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</si>
  <si>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</si>
  <si>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</si>
  <si>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</si>
  <si>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</si>
  <si>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</si>
  <si>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</si>
  <si>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</si>
  <si>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</si>
  <si>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</si>
  <si>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</si>
  <si>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</si>
  <si>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</si>
  <si>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</si>
  <si>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</si>
  <si>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</si>
  <si>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</si>
  <si>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</si>
  <si>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</si>
  <si>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</si>
  <si>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</si>
  <si>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</si>
  <si>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</si>
  <si>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</si>
  <si>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</si>
  <si>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</si>
  <si>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</si>
  <si>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</si>
  <si>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</si>
  <si>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</si>
  <si>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</si>
  <si>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</si>
  <si>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</si>
  <si>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</si>
  <si>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</si>
  <si>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</si>
  <si>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</si>
  <si>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</si>
  <si>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</si>
  <si>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</si>
  <si>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</si>
  <si>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</si>
  <si>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</si>
  <si>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</si>
  <si>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</si>
  <si>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</si>
  <si>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</si>
  <si>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</si>
  <si>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</si>
  <si>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</si>
  <si>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</si>
  <si>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</si>
  <si>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</si>
  <si>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</si>
  <si>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</si>
  <si>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</si>
  <si>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</si>
  <si>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</si>
  <si>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</si>
  <si>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</si>
  <si>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</si>
  <si>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</si>
  <si>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</si>
  <si>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</si>
  <si>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</si>
  <si>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</si>
  <si>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</si>
  <si>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</si>
  <si>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</si>
  <si>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</si>
  <si>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</si>
  <si>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</si>
  <si>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</si>
  <si>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</si>
  <si>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</si>
  <si>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</si>
  <si>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</si>
  <si>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</si>
  <si>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</si>
  <si>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</si>
  <si>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</si>
  <si>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</si>
  <si>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</si>
  <si>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</si>
  <si>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</si>
  <si>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</si>
  <si>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</si>
  <si>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</si>
  <si>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</si>
  <si>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</si>
  <si>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</si>
  <si>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</si>
  <si>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</si>
  <si>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</si>
  <si>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</si>
  <si>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</si>
  <si>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</si>
  <si>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</si>
  <si>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</si>
  <si>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</si>
  <si>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</si>
  <si>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</si>
  <si>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</si>
  <si>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</si>
  <si>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</si>
  <si>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</si>
  <si>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</si>
  <si>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</si>
  <si>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</si>
  <si>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</si>
  <si>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</si>
  <si>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</si>
  <si>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</si>
  <si>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</si>
  <si>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</si>
  <si>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</si>
  <si>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</si>
  <si>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</si>
  <si>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</si>
  <si>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</si>
  <si>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</si>
  <si>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</si>
  <si>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</si>
  <si>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</si>
  <si>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</si>
  <si>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</si>
  <si>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</si>
  <si>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</si>
  <si>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</si>
  <si>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</si>
  <si>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</si>
  <si>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</si>
  <si>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</si>
  <si>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</si>
  <si>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</si>
  <si>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</si>
  <si>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</si>
  <si>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</si>
  <si>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</si>
  <si>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</si>
  <si>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</si>
  <si>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</si>
  <si>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</si>
  <si>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</si>
  <si>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</si>
  <si>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</si>
  <si>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</si>
  <si>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</si>
  <si>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</si>
  <si>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</si>
  <si>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</si>
  <si>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</si>
  <si>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</si>
  <si>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</si>
  <si>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</si>
  <si>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</si>
  <si>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</si>
  <si>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</si>
  <si>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</si>
  <si>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</si>
  <si>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</si>
  <si>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</si>
  <si>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</si>
  <si>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</si>
  <si>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</si>
  <si>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</si>
  <si>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</si>
  <si>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</si>
  <si>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</si>
  <si>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</si>
  <si>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</si>
  <si>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</si>
  <si>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</si>
  <si>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</si>
  <si>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</si>
  <si>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</si>
  <si>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</si>
  <si>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</si>
  <si>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</si>
  <si>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</si>
  <si>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</si>
  <si>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</si>
  <si>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</si>
  <si>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</si>
  <si>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</si>
  <si>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</si>
  <si>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</si>
  <si>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</si>
  <si>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</si>
  <si>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</si>
  <si>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</si>
  <si>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</si>
  <si>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</si>
  <si>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</si>
  <si>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</si>
  <si>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</si>
  <si>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</si>
  <si>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</si>
  <si>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</si>
  <si>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</si>
  <si>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</si>
  <si>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</si>
  <si>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</si>
  <si>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</si>
  <si>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</si>
  <si>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</si>
  <si>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</si>
  <si>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</si>
  <si>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</si>
  <si>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</si>
  <si>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</si>
  <si>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</si>
  <si>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</si>
  <si>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</si>
  <si>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</si>
  <si>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</si>
  <si>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</si>
  <si>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</si>
  <si>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</si>
  <si>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</si>
  <si>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</si>
  <si>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</si>
  <si>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</si>
  <si>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</si>
  <si>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</si>
  <si>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</si>
  <si>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</si>
  <si>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</si>
  <si>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</si>
  <si>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</si>
  <si>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</si>
  <si>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</si>
  <si>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</si>
  <si>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</si>
  <si>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</si>
  <si>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</si>
  <si>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</si>
  <si>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</si>
  <si>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</si>
  <si>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</si>
  <si>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</si>
  <si>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</si>
  <si>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</si>
  <si>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</si>
  <si>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</si>
  <si>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</si>
  <si>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</si>
  <si>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</si>
  <si>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</si>
  <si>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</si>
  <si>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</si>
  <si>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</si>
  <si>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</si>
  <si>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</si>
  <si>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</si>
  <si>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</si>
  <si>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</si>
  <si>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</si>
  <si>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</si>
  <si>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</si>
  <si>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</si>
  <si>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</si>
  <si>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</si>
  <si>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</si>
  <si>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</si>
  <si>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</si>
  <si>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</si>
  <si>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</si>
  <si>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</si>
  <si>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</si>
  <si>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</si>
  <si>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</si>
  <si>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</si>
  <si>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</si>
  <si>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</si>
  <si>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</si>
  <si>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</si>
  <si>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</si>
  <si>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</si>
  <si>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</si>
  <si>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</si>
  <si>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</si>
  <si>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</si>
  <si>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</si>
  <si>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</si>
  <si>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</si>
  <si>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</si>
  <si>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</si>
  <si>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</si>
  <si>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</si>
  <si>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</si>
  <si>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</si>
  <si>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</si>
  <si>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</si>
  <si>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</si>
  <si>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</si>
  <si>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</si>
  <si>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</si>
  <si>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</si>
  <si>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</si>
  <si>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</si>
  <si>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</si>
  <si>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</si>
  <si>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</si>
  <si>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</si>
  <si>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</si>
  <si>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</si>
  <si>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</si>
  <si>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</si>
  <si>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</si>
  <si>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</si>
  <si>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</si>
  <si>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</si>
  <si>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</si>
  <si>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</si>
  <si>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</si>
  <si>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</si>
  <si>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</si>
  <si>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</si>
  <si>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</si>
  <si>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</si>
  <si>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</si>
  <si>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</si>
  <si>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</si>
  <si>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</si>
  <si>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</si>
  <si>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</si>
  <si>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</si>
  <si>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</si>
  <si>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</si>
  <si>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</si>
  <si>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</si>
  <si>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</si>
  <si>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</si>
  <si>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</si>
  <si>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</si>
  <si>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</si>
  <si>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</si>
  <si>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</si>
  <si>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</si>
  <si>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</si>
  <si>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</si>
  <si>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</si>
  <si>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</si>
  <si>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</si>
  <si>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</si>
  <si>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</si>
  <si>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</si>
  <si>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</si>
  <si>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</si>
  <si>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</si>
  <si>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</si>
  <si>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</si>
  <si>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</si>
  <si>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</si>
  <si>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</si>
  <si>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</si>
  <si>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</si>
  <si>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</si>
  <si>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</si>
  <si>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</si>
  <si>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</si>
  <si>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</si>
  <si>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</si>
  <si>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</si>
  <si>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</si>
  <si>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</si>
  <si>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</si>
  <si>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</si>
  <si>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</si>
  <si>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</si>
  <si>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</si>
  <si>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</si>
  <si>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</si>
  <si>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</si>
  <si>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</si>
  <si>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</si>
  <si>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</si>
  <si>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</si>
  <si>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</si>
  <si>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</si>
  <si>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</si>
  <si>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</si>
  <si>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</si>
  <si>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</si>
  <si>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</si>
  <si>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</si>
  <si>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</si>
  <si>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</si>
  <si>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</si>
  <si>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</si>
  <si>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</si>
  <si>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</si>
  <si>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</si>
  <si>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</si>
  <si>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</si>
  <si>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</si>
  <si>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</si>
  <si>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</si>
  <si>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</si>
  <si>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</si>
  <si>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</si>
  <si>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</si>
  <si>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</si>
  <si>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</si>
  <si>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</si>
  <si>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</si>
  <si>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</si>
  <si>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</si>
  <si>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</si>
  <si>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</si>
  <si>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</si>
  <si>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</si>
  <si>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</si>
  <si>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</si>
  <si>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</si>
  <si>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</si>
  <si>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</si>
  <si>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</si>
  <si>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</si>
  <si>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</si>
  <si>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</si>
  <si>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</si>
  <si>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</si>
  <si>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</si>
  <si>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</si>
  <si>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</si>
  <si>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</si>
  <si>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</si>
  <si>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</si>
  <si>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</si>
  <si>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</si>
  <si>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</si>
  <si>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</si>
  <si>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</si>
  <si>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</si>
  <si>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</si>
  <si>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</si>
  <si>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</si>
  <si>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</si>
  <si>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</si>
  <si>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</si>
  <si>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</si>
  <si>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</si>
  <si>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</si>
  <si>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</si>
  <si>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</si>
  <si>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</si>
  <si>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</si>
  <si>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</si>
  <si>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</si>
  <si>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</si>
  <si>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</si>
  <si>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</si>
  <si>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</si>
  <si>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</si>
  <si>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</si>
  <si>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</si>
  <si>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</si>
  <si>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</si>
  <si>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</si>
  <si>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</si>
  <si>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</si>
  <si>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</si>
  <si>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</si>
  <si>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</si>
  <si>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</si>
  <si>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</si>
  <si>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</si>
  <si>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</si>
  <si>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</si>
  <si>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</si>
  <si>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</si>
  <si>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</si>
  <si>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</si>
  <si>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</si>
  <si>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</si>
  <si>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</si>
  <si>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</si>
  <si>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</si>
  <si>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</si>
  <si>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</si>
  <si>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</si>
  <si>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</si>
  <si>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</si>
  <si>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</si>
  <si>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</si>
  <si>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</si>
  <si>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</si>
  <si>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</si>
  <si>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</si>
  <si>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</si>
  <si>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</si>
  <si>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</si>
  <si>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</si>
  <si>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</si>
  <si>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</si>
  <si>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</si>
  <si>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</si>
  <si>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</si>
  <si>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</si>
  <si>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</si>
  <si>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</si>
  <si>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</si>
  <si>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</si>
  <si>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</si>
  <si>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</si>
  <si>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</si>
  <si>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</si>
  <si>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</si>
  <si>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</si>
  <si>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</si>
  <si>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</si>
  <si>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</si>
  <si>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</si>
  <si>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</si>
  <si>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</si>
  <si>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</si>
  <si>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</si>
  <si>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</si>
  <si>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</si>
  <si>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</si>
  <si>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</si>
  <si>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</si>
  <si>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</si>
  <si>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</si>
  <si>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</si>
  <si>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</si>
  <si>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</si>
  <si>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</si>
  <si>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</si>
  <si>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</si>
  <si>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</si>
  <si>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</si>
  <si>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</si>
  <si>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</si>
  <si>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</si>
  <si>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</si>
  <si>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</si>
  <si>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</si>
  <si>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</si>
  <si>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</si>
  <si>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</si>
  <si>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</si>
  <si>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</si>
  <si>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</si>
  <si>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</si>
  <si>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</si>
  <si>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</si>
  <si>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</si>
  <si>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</si>
  <si>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</si>
  <si>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</si>
  <si>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</si>
  <si>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</si>
  <si>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</si>
  <si>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</si>
  <si>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</si>
  <si>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</si>
  <si>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</si>
  <si>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</si>
  <si>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</si>
  <si>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</si>
  <si>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</si>
  <si>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</si>
  <si>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</si>
  <si>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</si>
  <si>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</si>
  <si>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</si>
  <si>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</si>
  <si>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</si>
  <si>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</si>
  <si>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</si>
  <si>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</si>
  <si>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</si>
  <si>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</si>
  <si>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</si>
  <si>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</si>
  <si>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</si>
  <si>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</si>
  <si>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</si>
  <si>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</si>
  <si>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</si>
  <si>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</si>
  <si>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</si>
  <si>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</si>
  <si>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</si>
  <si>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</si>
  <si>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</si>
  <si>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</si>
  <si>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</si>
  <si>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</si>
  <si>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</si>
  <si>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</si>
  <si>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</si>
  <si>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</si>
  <si>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</si>
  <si>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</si>
  <si>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</si>
  <si>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</si>
  <si>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</si>
  <si>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</si>
  <si>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</si>
  <si>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</si>
  <si>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</si>
  <si>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</si>
  <si>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</si>
  <si>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</si>
  <si>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</si>
  <si>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</si>
  <si>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</si>
  <si>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</si>
  <si>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</si>
  <si>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</si>
  <si>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</si>
  <si>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</si>
  <si>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</si>
  <si>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</si>
  <si>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</si>
  <si>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</si>
  <si>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</si>
  <si>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</si>
  <si>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</si>
  <si>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</si>
  <si>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</si>
  <si>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</si>
  <si>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</si>
  <si>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</si>
  <si>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</si>
  <si>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</si>
  <si>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</si>
  <si>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</si>
  <si>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</si>
  <si>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</si>
  <si>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</si>
  <si>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</si>
  <si>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</si>
  <si>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</si>
  <si>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</si>
  <si>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</si>
  <si>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</si>
  <si>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</si>
  <si>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</si>
  <si>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</si>
  <si>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</si>
  <si>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</si>
  <si>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</si>
  <si>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</si>
  <si>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</si>
  <si>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</si>
  <si>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</si>
  <si>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</si>
  <si>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</si>
  <si>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</si>
  <si>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</si>
  <si>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</si>
  <si>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</si>
  <si>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</si>
  <si>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</si>
  <si>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</si>
  <si>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</si>
  <si>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</si>
  <si>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</si>
  <si>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</si>
  <si>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</si>
  <si>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</si>
  <si>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</si>
  <si>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</si>
  <si>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</si>
  <si>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</si>
  <si>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</si>
  <si>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</si>
  <si>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</si>
  <si>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</si>
  <si>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</si>
  <si>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</si>
  <si>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</si>
  <si>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</si>
  <si>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</si>
  <si>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</si>
  <si>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</si>
  <si>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</si>
  <si>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</si>
  <si>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</si>
  <si>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</si>
  <si>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</si>
  <si>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</si>
  <si>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</si>
  <si>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</si>
  <si>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</si>
  <si>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</si>
  <si>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</si>
  <si>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</si>
  <si>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</si>
  <si>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</si>
  <si>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</si>
  <si>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</si>
  <si>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</si>
  <si>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</si>
  <si>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</si>
  <si>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</si>
  <si>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</si>
  <si>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</si>
  <si>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</si>
  <si>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</si>
  <si>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</si>
  <si>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</si>
  <si>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</si>
  <si>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</si>
  <si>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</si>
  <si>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</si>
  <si>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</si>
  <si>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</si>
  <si>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</si>
  <si>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</si>
  <si>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</si>
  <si>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</si>
  <si>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</si>
  <si>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</si>
  <si>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</si>
  <si>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</si>
  <si>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</si>
  <si>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</si>
  <si>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</si>
  <si>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</si>
  <si>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</si>
  <si>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</si>
  <si>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</si>
  <si>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</si>
  <si>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</si>
  <si>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</si>
  <si>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</si>
  <si>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</si>
  <si>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</si>
  <si>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</si>
  <si>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</si>
  <si>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</si>
  <si>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</si>
  <si>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</si>
  <si>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</si>
  <si>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</si>
  <si>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</si>
  <si>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</si>
  <si>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</si>
  <si>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</si>
  <si>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</si>
  <si>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</si>
  <si>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</si>
  <si>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</si>
  <si>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</si>
  <si>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</si>
  <si>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</si>
  <si>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</si>
  <si>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</si>
  <si>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</si>
  <si>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</si>
  <si>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</si>
  <si>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</si>
  <si>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</si>
  <si>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</si>
  <si>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</si>
  <si>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</si>
  <si>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</si>
  <si>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</si>
  <si>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</si>
  <si>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</si>
  <si>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</si>
  <si>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</si>
  <si>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</si>
  <si>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</si>
  <si>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</si>
  <si>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</si>
  <si>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</si>
  <si>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</si>
  <si>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</si>
  <si>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</si>
  <si>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</si>
  <si>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</si>
  <si>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</si>
  <si>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</si>
  <si>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</si>
  <si>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</si>
  <si>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</si>
  <si>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</si>
  <si>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</si>
  <si>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</si>
  <si>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</si>
  <si>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</si>
  <si>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</si>
  <si>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</si>
  <si>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</si>
  <si>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</si>
  <si>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</si>
  <si>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</si>
  <si>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</si>
  <si>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</si>
  <si>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</si>
  <si>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</si>
  <si>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</si>
  <si>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</si>
  <si>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</si>
  <si>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</si>
  <si>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</si>
  <si>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</si>
  <si>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</si>
  <si>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</si>
  <si>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</si>
  <si>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</si>
  <si>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</si>
  <si>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</si>
  <si>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</si>
  <si>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</si>
  <si>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</si>
  <si>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</si>
  <si>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</si>
  <si>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</si>
  <si>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</si>
  <si>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</si>
  <si>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</si>
  <si>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</si>
  <si>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</si>
  <si>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</si>
  <si>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</si>
  <si>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</si>
  <si>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</si>
  <si>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</si>
  <si>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</si>
  <si>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</si>
  <si>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</si>
  <si>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</si>
  <si>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</si>
  <si>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</si>
  <si>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</si>
  <si>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</si>
  <si>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</si>
  <si>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</si>
  <si>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</si>
  <si>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</si>
  <si>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</si>
  <si>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</si>
  <si>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</si>
  <si>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</si>
  <si>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</si>
  <si>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</si>
  <si>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</si>
  <si>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</si>
  <si>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</si>
  <si>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</si>
  <si>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</si>
  <si>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</si>
  <si>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</si>
  <si>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</si>
  <si>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</si>
  <si>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</si>
  <si>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</si>
  <si>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</si>
  <si>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</si>
  <si>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</si>
  <si>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</si>
  <si>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</si>
  <si>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</si>
  <si>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</si>
  <si>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</si>
  <si>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</si>
  <si>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</si>
  <si>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</si>
  <si>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</si>
  <si>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</si>
  <si>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</si>
  <si>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</si>
  <si>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</si>
  <si>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</si>
  <si>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</si>
  <si>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</si>
  <si>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</si>
  <si>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</si>
  <si>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</si>
  <si>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</si>
  <si>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</si>
  <si>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</si>
  <si>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</si>
  <si>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</si>
  <si>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</si>
  <si>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</si>
  <si>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</si>
  <si>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</si>
  <si>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</si>
  <si>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</si>
  <si>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</si>
  <si>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</si>
  <si>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</si>
  <si>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</si>
  <si>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</si>
  <si>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</si>
  <si>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</si>
  <si>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</si>
  <si>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</si>
  <si>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</si>
  <si>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</si>
  <si>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</si>
  <si>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</si>
  <si>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</si>
  <si>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</si>
  <si>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</si>
  <si>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</si>
  <si>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</si>
  <si>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</si>
  <si>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</si>
  <si>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</si>
  <si>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</si>
  <si>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</si>
  <si>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</si>
  <si>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</si>
  <si>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</si>
  <si>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</si>
  <si>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</si>
  <si>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</si>
  <si>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</si>
  <si>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</si>
  <si>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</si>
  <si>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</si>
  <si>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</si>
  <si>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</si>
  <si>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</si>
  <si>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</si>
  <si>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</si>
  <si>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</si>
  <si>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</si>
  <si>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</si>
  <si>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</si>
  <si>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</si>
  <si>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</si>
  <si>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</si>
  <si>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</si>
  <si>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</si>
  <si>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</si>
  <si>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</si>
  <si>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</si>
  <si>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</si>
  <si>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</si>
  <si>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</si>
  <si>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</si>
  <si>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</si>
  <si>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</si>
  <si>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</si>
  <si>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</si>
  <si>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</si>
  <si>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</si>
  <si>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</si>
  <si>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</si>
  <si>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</si>
  <si>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</si>
  <si>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</si>
  <si>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</si>
  <si>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</si>
  <si>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</si>
  <si>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</si>
  <si>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</si>
  <si>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</si>
  <si>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</si>
  <si>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</si>
  <si>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</si>
  <si>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</si>
  <si>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</si>
  <si>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</si>
  <si>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</si>
  <si>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</si>
  <si>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</si>
  <si>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</si>
  <si>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</si>
  <si>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</si>
  <si>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</si>
  <si>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</si>
  <si>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</si>
  <si>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</si>
  <si>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</si>
  <si>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</si>
  <si>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</si>
  <si>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</si>
  <si>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</si>
  <si>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</si>
  <si>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</si>
  <si>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</si>
  <si>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</si>
  <si>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</si>
  <si>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</si>
  <si>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</si>
  <si>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</si>
  <si>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</si>
  <si>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</si>
  <si>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</si>
  <si>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</si>
  <si>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</si>
  <si>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</si>
  <si>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</si>
  <si>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</si>
  <si>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</si>
  <si>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</si>
  <si>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</si>
  <si>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</si>
  <si>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</si>
  <si>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2022 Q1 second revision</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</si>
  <si>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</si>
  <si>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</si>
  <si>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</si>
  <si>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</si>
  <si>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</si>
  <si>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</si>
  <si>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</si>
  <si>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</si>
  <si>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</si>
  <si>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</si>
  <si>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</si>
  <si>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</si>
  <si>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</si>
  <si>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</si>
  <si>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</si>
  <si>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</si>
  <si>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</si>
  <si>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</si>
  <si>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</si>
  <si>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</si>
  <si>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</si>
  <si>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</si>
  <si>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</si>
  <si>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yctlg</t>
  </si>
  <si>
    <t>Investment Grants Override</t>
  </si>
  <si>
    <t>investment_grants_override</t>
  </si>
  <si>
    <t>Our forecast for Q3</t>
  </si>
  <si>
    <t>Jun.</t>
  </si>
  <si>
    <t>NA</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</si>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</sst>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56"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b/>
      <sz val="11"/>
      <color theme="1"/>
      <name val="Calibri"/>
      <family val="2"/>
    </font>
    <font>
      <b/>
      <sz val="11"/>
      <color theme="1"/>
      <name val="Calibri"/>
    </font>
    <font>
      <sz val="11"/>
      <color theme="1"/>
      <name val="Calibri"/>
      <family val="2"/>
      <scheme val="minor"/>
    </font>
    <font>
      <b/>
      <sz val="11"/>
      <color theme="1"/>
      <name val="Arial"/>
      <family val="2"/>
    </font>
    <font>
      <sz val="11"/>
      <color theme="1"/>
      <name val="Calibri"/>
    </font>
    <font>
      <u/>
      <sz val="11"/>
      <color theme="10"/>
      <name val="Calibri"/>
      <family val="2"/>
      <scheme val="minor"/>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s>
  <fills count="3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5">
    <border>
      <left/>
      <right/>
      <top/>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medium">
        <color theme="0" tint="-0.499984740745262"/>
      </left>
      <right style="thin">
        <color theme="0" tint="-0.499984740745262"/>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theme="0" tint="-0.499984740745262"/>
      </left>
      <right style="medium">
        <color indexed="64"/>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theme="0" tint="-0.499984740745262"/>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108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4"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4"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8"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0" fontId="14" fillId="0" borderId="0" xfId="0" applyFont="1"/>
    <xf numFmtId="0" fontId="15"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6"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6"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7"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165" fontId="4" fillId="8" borderId="15" xfId="0" applyNumberFormat="1" applyFont="1" applyFill="1" applyBorder="1" applyAlignment="1">
      <alignment horizontal="right"/>
    </xf>
    <xf numFmtId="165" fontId="4" fillId="0" borderId="16" xfId="0" applyNumberFormat="1" applyFont="1" applyBorder="1" applyAlignment="1">
      <alignment horizontal="right"/>
    </xf>
    <xf numFmtId="0" fontId="16" fillId="0" borderId="17" xfId="0" applyFont="1" applyBorder="1" applyAlignment="1">
      <alignment horizontal="left"/>
    </xf>
    <xf numFmtId="165" fontId="4" fillId="8" borderId="16" xfId="0" applyNumberFormat="1" applyFont="1" applyFill="1" applyBorder="1" applyAlignment="1">
      <alignment horizontal="right"/>
    </xf>
    <xf numFmtId="165" fontId="4" fillId="0" borderId="18" xfId="0" applyNumberFormat="1" applyFont="1" applyBorder="1" applyAlignment="1">
      <alignment horizontal="right"/>
    </xf>
    <xf numFmtId="0" fontId="13" fillId="0" borderId="17" xfId="0" applyFont="1" applyBorder="1" applyAlignment="1">
      <alignment horizontal="left" indent="3"/>
    </xf>
    <xf numFmtId="0" fontId="14" fillId="0" borderId="19" xfId="0" applyFont="1" applyBorder="1"/>
    <xf numFmtId="165" fontId="18" fillId="9" borderId="20" xfId="0" applyNumberFormat="1" applyFont="1" applyFill="1" applyBorder="1" applyAlignment="1">
      <alignment horizontal="right"/>
    </xf>
    <xf numFmtId="165" fontId="18" fillId="9" borderId="16" xfId="0" applyNumberFormat="1" applyFont="1" applyFill="1" applyBorder="1" applyAlignment="1">
      <alignment horizontal="right"/>
    </xf>
    <xf numFmtId="165" fontId="18" fillId="10" borderId="20" xfId="0" applyNumberFormat="1" applyFont="1" applyFill="1" applyBorder="1" applyAlignment="1">
      <alignment horizontal="right"/>
    </xf>
    <xf numFmtId="165" fontId="18" fillId="10" borderId="16" xfId="0" applyNumberFormat="1" applyFont="1" applyFill="1" applyBorder="1" applyAlignment="1">
      <alignment horizontal="right"/>
    </xf>
    <xf numFmtId="0" fontId="1" fillId="10" borderId="17" xfId="0" applyFont="1" applyFill="1" applyBorder="1"/>
    <xf numFmtId="0" fontId="4" fillId="0" borderId="21" xfId="0" applyFont="1" applyBorder="1"/>
    <xf numFmtId="0" fontId="18" fillId="0" borderId="6" xfId="0" applyFont="1" applyBorder="1"/>
    <xf numFmtId="0" fontId="18" fillId="0" borderId="7" xfId="0" applyFont="1" applyBorder="1" applyAlignment="1">
      <alignment horizontal="center"/>
    </xf>
    <xf numFmtId="9" fontId="1" fillId="0" borderId="7" xfId="0" applyNumberFormat="1" applyFont="1" applyBorder="1"/>
    <xf numFmtId="9" fontId="1" fillId="9" borderId="7" xfId="0" applyNumberFormat="1" applyFont="1" applyFill="1" applyBorder="1"/>
    <xf numFmtId="2" fontId="1" fillId="9" borderId="22" xfId="0" applyNumberFormat="1" applyFont="1" applyFill="1" applyBorder="1"/>
    <xf numFmtId="2" fontId="1" fillId="10" borderId="22" xfId="0" applyNumberFormat="1" applyFont="1" applyFill="1" applyBorder="1"/>
    <xf numFmtId="9" fontId="1" fillId="0" borderId="2" xfId="0" applyNumberFormat="1" applyFont="1" applyBorder="1"/>
    <xf numFmtId="0" fontId="1" fillId="0" borderId="23" xfId="0" applyFont="1" applyBorder="1" applyAlignment="1">
      <alignment horizontal="center"/>
    </xf>
    <xf numFmtId="0" fontId="18" fillId="0" borderId="24" xfId="0" applyFont="1" applyBorder="1" applyAlignment="1">
      <alignment horizontal="center"/>
    </xf>
    <xf numFmtId="165" fontId="4" fillId="8" borderId="25" xfId="0" applyNumberFormat="1" applyFont="1" applyFill="1" applyBorder="1" applyAlignment="1">
      <alignment horizontal="right"/>
    </xf>
    <xf numFmtId="0" fontId="1" fillId="0" borderId="26" xfId="0" applyFont="1" applyBorder="1"/>
    <xf numFmtId="165" fontId="4" fillId="0" borderId="27" xfId="0" applyNumberFormat="1" applyFont="1" applyBorder="1" applyAlignment="1">
      <alignment horizontal="right"/>
    </xf>
    <xf numFmtId="165" fontId="18" fillId="8" borderId="27" xfId="0" applyNumberFormat="1" applyFont="1" applyFill="1" applyBorder="1" applyAlignment="1">
      <alignment horizontal="right"/>
    </xf>
    <xf numFmtId="165" fontId="18" fillId="0" borderId="27" xfId="0" applyNumberFormat="1" applyFont="1" applyBorder="1" applyAlignment="1">
      <alignment horizontal="right"/>
    </xf>
    <xf numFmtId="165" fontId="4" fillId="8" borderId="27" xfId="0" applyNumberFormat="1" applyFont="1" applyFill="1" applyBorder="1" applyAlignment="1">
      <alignment horizontal="right"/>
    </xf>
    <xf numFmtId="165" fontId="18" fillId="9" borderId="27" xfId="0" applyNumberFormat="1" applyFont="1" applyFill="1" applyBorder="1" applyAlignment="1">
      <alignment horizontal="right"/>
    </xf>
    <xf numFmtId="165" fontId="18" fillId="10" borderId="27" xfId="0" applyNumberFormat="1" applyFont="1" applyFill="1" applyBorder="1" applyAlignment="1">
      <alignment horizontal="right"/>
    </xf>
    <xf numFmtId="165" fontId="4" fillId="0" borderId="28" xfId="0" applyNumberFormat="1" applyFont="1" applyBorder="1" applyAlignment="1">
      <alignment horizontal="right"/>
    </xf>
    <xf numFmtId="0" fontId="1" fillId="0" borderId="29" xfId="0" applyFont="1" applyBorder="1"/>
    <xf numFmtId="0" fontId="1" fillId="0" borderId="30" xfId="0" applyFont="1" applyBorder="1"/>
    <xf numFmtId="0" fontId="4" fillId="0" borderId="0" xfId="0" applyFont="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xf numFmtId="0" fontId="4" fillId="8" borderId="0" xfId="0" applyFont="1" applyFill="1"/>
    <xf numFmtId="0" fontId="1" fillId="8" borderId="0" xfId="0" applyFont="1" applyFill="1"/>
    <xf numFmtId="0" fontId="4" fillId="0" borderId="34" xfId="0" applyFont="1" applyBorder="1"/>
    <xf numFmtId="0" fontId="1" fillId="9" borderId="0" xfId="0" applyFont="1" applyFill="1"/>
    <xf numFmtId="0" fontId="1" fillId="9" borderId="17" xfId="0" applyFont="1" applyFill="1" applyBorder="1"/>
    <xf numFmtId="0" fontId="1" fillId="9" borderId="17" xfId="0" applyFont="1" applyFill="1" applyBorder="1" applyAlignment="1">
      <alignment horizontal="left"/>
    </xf>
    <xf numFmtId="0" fontId="1" fillId="9" borderId="35"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6" fillId="0" borderId="0" xfId="0" applyFont="1"/>
    <xf numFmtId="0" fontId="19" fillId="0" borderId="0" xfId="0" applyFont="1"/>
    <xf numFmtId="0" fontId="14" fillId="8" borderId="36" xfId="0" applyFont="1" applyFill="1" applyBorder="1"/>
    <xf numFmtId="0" fontId="14" fillId="0" borderId="17" xfId="0" applyFont="1" applyBorder="1"/>
    <xf numFmtId="0" fontId="18" fillId="0" borderId="37" xfId="0" applyFont="1" applyBorder="1" applyAlignment="1">
      <alignment horizontal="center"/>
    </xf>
    <xf numFmtId="0" fontId="18" fillId="0" borderId="38" xfId="0" applyFont="1" applyBorder="1" applyAlignment="1">
      <alignment horizontal="center"/>
    </xf>
    <xf numFmtId="165" fontId="4" fillId="8" borderId="39" xfId="0" applyNumberFormat="1" applyFont="1" applyFill="1" applyBorder="1" applyAlignment="1">
      <alignment horizontal="right"/>
    </xf>
    <xf numFmtId="165" fontId="4" fillId="0" borderId="20" xfId="0" applyNumberFormat="1" applyFont="1" applyBorder="1" applyAlignment="1">
      <alignment horizontal="right"/>
    </xf>
    <xf numFmtId="165" fontId="18" fillId="8" borderId="20" xfId="0" applyNumberFormat="1" applyFont="1" applyFill="1" applyBorder="1" applyAlignment="1">
      <alignment horizontal="right"/>
    </xf>
    <xf numFmtId="0" fontId="1" fillId="8" borderId="17" xfId="0" applyFont="1" applyFill="1" applyBorder="1"/>
    <xf numFmtId="165" fontId="18" fillId="8" borderId="16" xfId="0" applyNumberFormat="1" applyFont="1" applyFill="1" applyBorder="1" applyAlignment="1">
      <alignment horizontal="right"/>
    </xf>
    <xf numFmtId="165" fontId="18" fillId="0" borderId="20" xfId="0" applyNumberFormat="1" applyFont="1" applyBorder="1" applyAlignment="1">
      <alignment horizontal="right"/>
    </xf>
    <xf numFmtId="165" fontId="18" fillId="0" borderId="16" xfId="0" applyNumberFormat="1" applyFont="1" applyBorder="1" applyAlignment="1">
      <alignment horizontal="right"/>
    </xf>
    <xf numFmtId="165" fontId="4" fillId="8" borderId="20" xfId="0" applyNumberFormat="1" applyFont="1" applyFill="1" applyBorder="1" applyAlignment="1">
      <alignment horizontal="right"/>
    </xf>
    <xf numFmtId="165" fontId="4" fillId="0" borderId="40" xfId="0" applyNumberFormat="1" applyFont="1" applyBorder="1" applyAlignment="1">
      <alignment horizontal="right"/>
    </xf>
    <xf numFmtId="0" fontId="1" fillId="0" borderId="17" xfId="0" applyFont="1" applyBorder="1"/>
    <xf numFmtId="0" fontId="14" fillId="8" borderId="17" xfId="0" applyFont="1" applyFill="1" applyBorder="1"/>
    <xf numFmtId="0" fontId="2" fillId="8" borderId="17" xfId="0" applyFont="1" applyFill="1" applyBorder="1"/>
    <xf numFmtId="0" fontId="2" fillId="0" borderId="17" xfId="0" applyFont="1" applyBorder="1"/>
    <xf numFmtId="0" fontId="2" fillId="0" borderId="17" xfId="0" applyFont="1" applyBorder="1" applyAlignment="1">
      <alignment horizontal="left"/>
    </xf>
    <xf numFmtId="0" fontId="1" fillId="0" borderId="17" xfId="0" applyFont="1" applyBorder="1" applyAlignment="1">
      <alignment horizontal="left"/>
    </xf>
    <xf numFmtId="0" fontId="16" fillId="8" borderId="17" xfId="0" applyFont="1" applyFill="1" applyBorder="1" applyAlignment="1">
      <alignment horizontal="left"/>
    </xf>
    <xf numFmtId="1" fontId="1" fillId="0" borderId="0" xfId="0" applyNumberFormat="1" applyFont="1"/>
    <xf numFmtId="0" fontId="17" fillId="0" borderId="0" xfId="0" applyFont="1" applyAlignment="1">
      <alignment horizontal="center"/>
    </xf>
    <xf numFmtId="3" fontId="1" fillId="0" borderId="0" xfId="0" applyNumberFormat="1" applyFont="1"/>
    <xf numFmtId="0" fontId="3" fillId="0" borderId="0" xfId="0" applyFont="1" applyAlignment="1">
      <alignment horizontal="center"/>
    </xf>
    <xf numFmtId="165" fontId="3" fillId="0" borderId="0" xfId="0" applyNumberFormat="1" applyFont="1" applyAlignment="1">
      <alignment horizontal="center"/>
    </xf>
    <xf numFmtId="0" fontId="3" fillId="0" borderId="4" xfId="0" applyFont="1" applyBorder="1"/>
    <xf numFmtId="0" fontId="3" fillId="0" borderId="0" xfId="0" applyFont="1" applyAlignment="1">
      <alignment horizontal="center" wrapText="1"/>
    </xf>
    <xf numFmtId="3" fontId="3" fillId="0" borderId="7"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7"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7"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9" xfId="0" applyNumberFormat="1" applyFont="1" applyFill="1" applyBorder="1" applyAlignment="1">
      <alignment horizontal="right"/>
    </xf>
    <xf numFmtId="14" fontId="3" fillId="11"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0" fontId="3" fillId="11" borderId="4"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7" fillId="0" borderId="0" xfId="0" applyFont="1"/>
    <xf numFmtId="0" fontId="3" fillId="0" borderId="0" xfId="0" applyFont="1" applyAlignment="1">
      <alignment horizontal="left"/>
    </xf>
    <xf numFmtId="167" fontId="3" fillId="0" borderId="4"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4"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1" xfId="0" applyFont="1" applyFill="1" applyBorder="1"/>
    <xf numFmtId="0" fontId="3" fillId="11" borderId="3" xfId="0" applyFont="1" applyFill="1" applyBorder="1"/>
    <xf numFmtId="0" fontId="3" fillId="7" borderId="10" xfId="0" applyFont="1" applyFill="1" applyBorder="1" applyAlignment="1">
      <alignment horizontal="center" wrapText="1"/>
    </xf>
    <xf numFmtId="3" fontId="3" fillId="0" borderId="5" xfId="0" applyNumberFormat="1" applyFont="1" applyBorder="1" applyAlignment="1">
      <alignment horizontal="center"/>
    </xf>
    <xf numFmtId="3" fontId="3" fillId="0" borderId="3" xfId="0" applyNumberFormat="1" applyFont="1" applyBorder="1" applyAlignment="1">
      <alignment horizontal="center"/>
    </xf>
    <xf numFmtId="0" fontId="3" fillId="11" borderId="43" xfId="0" applyFont="1" applyFill="1" applyBorder="1" applyAlignment="1">
      <alignment horizontal="center" wrapText="1"/>
    </xf>
    <xf numFmtId="0" fontId="3" fillId="11" borderId="44" xfId="0" applyFont="1" applyFill="1" applyBorder="1" applyAlignment="1">
      <alignment horizontal="center" wrapText="1"/>
    </xf>
    <xf numFmtId="14" fontId="3" fillId="11" borderId="11" xfId="0" applyNumberFormat="1" applyFont="1" applyFill="1" applyBorder="1" applyAlignment="1">
      <alignment horizontal="right"/>
    </xf>
    <xf numFmtId="3" fontId="3" fillId="0" borderId="0" xfId="0" applyNumberFormat="1" applyFont="1"/>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17" fillId="11" borderId="46" xfId="0" applyFont="1" applyFill="1" applyBorder="1" applyAlignment="1">
      <alignment horizontal="center"/>
    </xf>
    <xf numFmtId="165" fontId="1" fillId="0" borderId="0" xfId="0" applyNumberFormat="1" applyFont="1"/>
    <xf numFmtId="0" fontId="1" fillId="7" borderId="6" xfId="0" applyFont="1" applyFill="1" applyBorder="1" applyAlignment="1">
      <alignment horizontal="center"/>
    </xf>
    <xf numFmtId="0" fontId="3" fillId="11" borderId="7" xfId="0" applyFont="1" applyFill="1" applyBorder="1" applyAlignment="1">
      <alignment horizontal="center"/>
    </xf>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7" xfId="0" applyFont="1" applyFill="1" applyBorder="1" applyAlignment="1">
      <alignment horizontal="center"/>
    </xf>
    <xf numFmtId="168" fontId="1" fillId="7" borderId="0" xfId="0" applyNumberFormat="1" applyFont="1" applyFill="1" applyAlignment="1">
      <alignment horizontal="center"/>
    </xf>
    <xf numFmtId="0" fontId="1" fillId="0" borderId="4" xfId="0" applyFont="1" applyBorder="1" applyAlignment="1">
      <alignment horizontal="left" indent="2"/>
    </xf>
    <xf numFmtId="168" fontId="1" fillId="7" borderId="8" xfId="0" applyNumberFormat="1" applyFont="1" applyFill="1" applyBorder="1" applyAlignment="1">
      <alignment horizontal="center"/>
    </xf>
    <xf numFmtId="0" fontId="1" fillId="7" borderId="2" xfId="0" applyFont="1" applyFill="1" applyBorder="1" applyAlignment="1">
      <alignment horizontal="center"/>
    </xf>
    <xf numFmtId="0" fontId="1" fillId="11" borderId="11" xfId="0" applyFont="1" applyFill="1" applyBorder="1" applyAlignment="1">
      <alignment horizontal="center" wrapText="1"/>
    </xf>
    <xf numFmtId="0" fontId="1" fillId="3" borderId="44" xfId="0" applyFont="1" applyFill="1" applyBorder="1" applyAlignment="1">
      <alignment wrapText="1"/>
    </xf>
    <xf numFmtId="0" fontId="1" fillId="3" borderId="43" xfId="0" applyFont="1" applyFill="1" applyBorder="1" applyAlignment="1">
      <alignment wrapText="1"/>
    </xf>
    <xf numFmtId="165" fontId="1" fillId="7" borderId="3" xfId="0" applyNumberFormat="1" applyFont="1" applyFill="1" applyBorder="1" applyAlignment="1">
      <alignment horizontal="center"/>
    </xf>
    <xf numFmtId="0" fontId="1" fillId="0" borderId="8"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7"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9" borderId="10"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4"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2" fillId="0" borderId="0" xfId="0" applyFont="1"/>
    <xf numFmtId="0" fontId="22" fillId="0" borderId="0" xfId="0" applyFont="1" applyAlignment="1">
      <alignment horizontal="left" indent="1"/>
    </xf>
    <xf numFmtId="0" fontId="22" fillId="0" borderId="0" xfId="0" applyFont="1" applyAlignment="1">
      <alignment horizontal="left" wrapText="1" indent="1"/>
    </xf>
    <xf numFmtId="0" fontId="22" fillId="0" borderId="0" xfId="0" applyFont="1" applyAlignment="1">
      <alignment horizontal="left" indent="2"/>
    </xf>
    <xf numFmtId="0" fontId="22" fillId="0" borderId="0" xfId="0" applyFont="1" applyAlignment="1">
      <alignment horizontal="center" wrapText="1"/>
    </xf>
    <xf numFmtId="9" fontId="22" fillId="0" borderId="0" xfId="0" applyNumberFormat="1" applyFont="1" applyAlignment="1">
      <alignment horizontal="center"/>
    </xf>
    <xf numFmtId="0" fontId="21" fillId="0" borderId="0" xfId="0" applyFont="1" applyAlignment="1">
      <alignment horizontal="center"/>
    </xf>
    <xf numFmtId="167" fontId="22" fillId="0" borderId="0" xfId="0" applyNumberFormat="1" applyFont="1" applyAlignment="1">
      <alignment horizontal="center"/>
    </xf>
    <xf numFmtId="167" fontId="1" fillId="0" borderId="0" xfId="0" applyNumberFormat="1" applyFont="1" applyAlignment="1">
      <alignment horizontal="center"/>
    </xf>
    <xf numFmtId="0" fontId="3" fillId="11" borderId="10" xfId="0" applyFont="1" applyFill="1" applyBorder="1" applyAlignment="1">
      <alignment horizontal="center"/>
    </xf>
    <xf numFmtId="3" fontId="3" fillId="7" borderId="7" xfId="0" applyNumberFormat="1" applyFont="1" applyFill="1" applyBorder="1" applyAlignment="1">
      <alignment horizontal="center"/>
    </xf>
    <xf numFmtId="165" fontId="23" fillId="0" borderId="1" xfId="0" applyNumberFormat="1" applyFont="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3" fontId="23" fillId="7" borderId="0" xfId="0" applyNumberFormat="1" applyFont="1" applyFill="1" applyAlignment="1">
      <alignment horizontal="center"/>
    </xf>
    <xf numFmtId="3" fontId="2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23" fillId="0" borderId="0" xfId="0" applyFont="1"/>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0" xfId="0" applyNumberFormat="1" applyFont="1" applyFill="1" applyAlignment="1">
      <alignment horizontal="center"/>
    </xf>
    <xf numFmtId="165" fontId="3" fillId="7" borderId="7" xfId="0" applyNumberFormat="1" applyFont="1" applyFill="1" applyBorder="1" applyAlignment="1">
      <alignment horizontal="center"/>
    </xf>
    <xf numFmtId="165" fontId="3" fillId="7" borderId="8"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3" fillId="0" borderId="1" xfId="0" applyFont="1" applyBorder="1" applyAlignment="1">
      <alignment horizontal="left" wrapText="1"/>
    </xf>
    <xf numFmtId="168" fontId="3" fillId="0" borderId="0" xfId="0" applyNumberFormat="1" applyFont="1"/>
    <xf numFmtId="0" fontId="3" fillId="7" borderId="4"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0" xfId="0" applyFont="1" applyFill="1" applyBorder="1" applyAlignment="1">
      <alignment horizontal="center"/>
    </xf>
    <xf numFmtId="0" fontId="23" fillId="0" borderId="0" xfId="0" applyFont="1" applyAlignment="1">
      <alignment horizontal="left" wrapText="1"/>
    </xf>
    <xf numFmtId="0" fontId="3" fillId="0" borderId="3" xfId="0" applyFont="1" applyBorder="1" applyAlignment="1">
      <alignment horizontal="left"/>
    </xf>
    <xf numFmtId="3" fontId="3" fillId="7" borderId="3" xfId="0" applyNumberFormat="1" applyFont="1" applyFill="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165" fontId="3" fillId="0" borderId="8" xfId="0" applyNumberFormat="1" applyFont="1" applyBorder="1" applyAlignment="1">
      <alignment horizontal="center"/>
    </xf>
    <xf numFmtId="0" fontId="3" fillId="0" borderId="5" xfId="0" applyFont="1" applyBorder="1" applyAlignment="1">
      <alignment horizontal="center"/>
    </xf>
    <xf numFmtId="165" fontId="3" fillId="7" borderId="1" xfId="0" applyNumberFormat="1" applyFont="1" applyFill="1" applyBorder="1" applyAlignment="1">
      <alignment horizontal="center"/>
    </xf>
    <xf numFmtId="0" fontId="18" fillId="0" borderId="0" xfId="0" applyFont="1"/>
    <xf numFmtId="0" fontId="3" fillId="7" borderId="3" xfId="0" applyFont="1" applyFill="1" applyBorder="1"/>
    <xf numFmtId="0" fontId="3" fillId="7" borderId="6" xfId="0" applyFont="1" applyFill="1" applyBorder="1"/>
    <xf numFmtId="0" fontId="3" fillId="0" borderId="7" xfId="0" applyFont="1" applyBorder="1" applyAlignment="1">
      <alignment horizontal="center" wrapText="1"/>
    </xf>
    <xf numFmtId="3" fontId="23" fillId="0" borderId="7" xfId="0" applyNumberFormat="1" applyFont="1" applyBorder="1" applyAlignment="1">
      <alignment horizontal="center"/>
    </xf>
    <xf numFmtId="165" fontId="3" fillId="7" borderId="4" xfId="0" applyNumberFormat="1" applyFont="1" applyFill="1" applyBorder="1" applyAlignment="1">
      <alignment horizontal="center"/>
    </xf>
    <xf numFmtId="168" fontId="3" fillId="0" borderId="8" xfId="0" applyNumberFormat="1"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wrapText="1"/>
    </xf>
    <xf numFmtId="14" fontId="18" fillId="0" borderId="1" xfId="0" applyNumberFormat="1" applyFont="1" applyBorder="1"/>
    <xf numFmtId="169" fontId="18" fillId="0" borderId="7" xfId="0" applyNumberFormat="1" applyFont="1" applyBorder="1"/>
    <xf numFmtId="0" fontId="18" fillId="0" borderId="7" xfId="0" applyFont="1" applyBorder="1"/>
    <xf numFmtId="14" fontId="18" fillId="0" borderId="4" xfId="0" applyNumberFormat="1" applyFont="1" applyBorder="1"/>
    <xf numFmtId="0" fontId="18" fillId="0" borderId="2" xfId="0" applyFont="1" applyBorder="1"/>
    <xf numFmtId="0" fontId="4" fillId="3" borderId="6" xfId="0" applyFont="1" applyFill="1" applyBorder="1"/>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0" fontId="17" fillId="0" borderId="0" xfId="0" applyFont="1" applyAlignment="1">
      <alignment horizontal="left" vertical="top" wrapText="1"/>
    </xf>
    <xf numFmtId="0" fontId="3" fillId="7" borderId="3" xfId="0" applyFont="1" applyFill="1" applyBorder="1" applyAlignment="1">
      <alignment horizontal="center"/>
    </xf>
    <xf numFmtId="0" fontId="3" fillId="7" borderId="6" xfId="0" applyFont="1" applyFill="1" applyBorder="1" applyAlignment="1">
      <alignment horizontal="center"/>
    </xf>
    <xf numFmtId="165" fontId="3" fillId="0" borderId="0" xfId="0" applyNumberFormat="1" applyFont="1" applyAlignment="1">
      <alignment vertical="top" wrapText="1"/>
    </xf>
    <xf numFmtId="0" fontId="3" fillId="0" borderId="4" xfId="0" applyFont="1" applyBorder="1" applyAlignment="1">
      <alignment horizontal="left" vertical="top" wrapText="1" indent="2"/>
    </xf>
    <xf numFmtId="0" fontId="3" fillId="0" borderId="0" xfId="0" applyFont="1" applyAlignment="1">
      <alignment horizontal="left" vertical="top" wrapText="1" indent="2"/>
    </xf>
    <xf numFmtId="0" fontId="3" fillId="0" borderId="7" xfId="0" applyFont="1" applyBorder="1" applyAlignment="1">
      <alignment vertical="top" wrapText="1"/>
    </xf>
    <xf numFmtId="0" fontId="3" fillId="0" borderId="1" xfId="0" applyFont="1" applyBorder="1" applyAlignment="1">
      <alignment horizontal="left" wrapText="1" indent="4"/>
    </xf>
    <xf numFmtId="0" fontId="17"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7" xfId="0" applyNumberFormat="1" applyFont="1" applyBorder="1" applyAlignment="1">
      <alignment horizontal="center" wrapText="1"/>
    </xf>
    <xf numFmtId="3" fontId="3" fillId="0" borderId="2" xfId="0" applyNumberFormat="1" applyFont="1" applyBorder="1" applyAlignment="1">
      <alignment horizontal="center" wrapText="1"/>
    </xf>
    <xf numFmtId="165" fontId="23" fillId="7" borderId="3" xfId="0" applyNumberFormat="1" applyFont="1" applyFill="1" applyBorder="1" applyAlignment="1">
      <alignment horizontal="center" wrapText="1"/>
    </xf>
    <xf numFmtId="165" fontId="23" fillId="7" borderId="6" xfId="0" applyNumberFormat="1" applyFont="1" applyFill="1" applyBorder="1" applyAlignment="1">
      <alignment horizontal="center" wrapText="1"/>
    </xf>
    <xf numFmtId="0" fontId="3" fillId="0" borderId="45" xfId="0" applyFont="1" applyBorder="1" applyAlignment="1">
      <alignment wrapText="1"/>
    </xf>
    <xf numFmtId="0" fontId="3" fillId="0" borderId="46" xfId="0" applyFont="1" applyBorder="1"/>
    <xf numFmtId="0" fontId="3" fillId="0" borderId="4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5" xfId="0" applyNumberFormat="1" applyFont="1" applyBorder="1" applyAlignment="1">
      <alignment horizontal="center"/>
    </xf>
    <xf numFmtId="1" fontId="3" fillId="0" borderId="3"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4"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7" xfId="0" applyFont="1" applyBorder="1" applyAlignment="1">
      <alignment wrapText="1"/>
    </xf>
    <xf numFmtId="0" fontId="3" fillId="0" borderId="4" xfId="0" applyFont="1" applyBorder="1" applyAlignment="1">
      <alignment horizontal="left" wrapText="1" indent="4"/>
    </xf>
    <xf numFmtId="3" fontId="24"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4" xfId="0" applyNumberFormat="1" applyFont="1" applyBorder="1" applyAlignment="1">
      <alignment horizontal="center" wrapText="1"/>
    </xf>
    <xf numFmtId="0" fontId="25" fillId="0" borderId="0" xfId="0" applyFont="1"/>
    <xf numFmtId="165" fontId="3" fillId="7" borderId="8" xfId="0" applyNumberFormat="1" applyFont="1" applyFill="1" applyBorder="1" applyAlignment="1">
      <alignment horizontal="center" wrapText="1"/>
    </xf>
    <xf numFmtId="0" fontId="23" fillId="0" borderId="46" xfId="0" applyFont="1" applyBorder="1" applyAlignment="1">
      <alignment horizontal="left"/>
    </xf>
    <xf numFmtId="0" fontId="23" fillId="0" borderId="45" xfId="0" applyFont="1" applyBorder="1" applyAlignment="1">
      <alignment horizontal="left"/>
    </xf>
    <xf numFmtId="165" fontId="23" fillId="0" borderId="46" xfId="0" applyNumberFormat="1" applyFont="1" applyBorder="1" applyAlignment="1">
      <alignment horizontal="center"/>
    </xf>
    <xf numFmtId="165" fontId="23" fillId="0" borderId="44" xfId="0" applyNumberFormat="1" applyFont="1" applyBorder="1" applyAlignment="1">
      <alignment horizontal="center"/>
    </xf>
    <xf numFmtId="165" fontId="23" fillId="7" borderId="46" xfId="0" applyNumberFormat="1" applyFont="1" applyFill="1" applyBorder="1" applyAlignment="1">
      <alignment horizontal="center"/>
    </xf>
    <xf numFmtId="165" fontId="23" fillId="7" borderId="44" xfId="0" applyNumberFormat="1" applyFont="1" applyFill="1" applyBorder="1" applyAlignment="1">
      <alignment horizontal="center"/>
    </xf>
    <xf numFmtId="165" fontId="3" fillId="7" borderId="2" xfId="0" applyNumberFormat="1" applyFont="1" applyFill="1" applyBorder="1" applyAlignment="1">
      <alignment horizontal="center" wrapText="1"/>
    </xf>
    <xf numFmtId="165" fontId="3" fillId="0" borderId="0" xfId="0" applyNumberFormat="1" applyFont="1" applyAlignment="1">
      <alignment horizontal="center" wrapText="1"/>
    </xf>
    <xf numFmtId="0" fontId="17"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3"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3" fillId="0" borderId="3" xfId="0" applyNumberFormat="1" applyFont="1" applyBorder="1" applyAlignment="1">
      <alignment horizontal="center" wrapText="1"/>
    </xf>
    <xf numFmtId="165" fontId="2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12" borderId="0" xfId="0" applyNumberFormat="1" applyFont="1" applyFill="1" applyAlignment="1">
      <alignment horizontal="center" wrapText="1"/>
    </xf>
    <xf numFmtId="165" fontId="3" fillId="0" borderId="0" xfId="0" applyNumberFormat="1" applyFont="1" applyAlignment="1">
      <alignment wrapText="1"/>
    </xf>
    <xf numFmtId="0" fontId="23" fillId="0" borderId="0" xfId="0" applyFont="1" applyAlignment="1">
      <alignment horizontal="center" wrapText="1"/>
    </xf>
    <xf numFmtId="0" fontId="3" fillId="0" borderId="5" xfId="0" applyFont="1" applyBorder="1" applyAlignment="1">
      <alignment horizontal="left" wrapText="1"/>
    </xf>
    <xf numFmtId="0" fontId="17" fillId="0" borderId="0" xfId="0" applyFont="1" applyAlignment="1">
      <alignment horizontal="left" vertical="top" wrapText="1" indent="2"/>
    </xf>
    <xf numFmtId="165" fontId="23" fillId="12" borderId="0" xfId="0" applyNumberFormat="1" applyFont="1" applyFill="1" applyAlignment="1">
      <alignment horizontal="center" wrapText="1"/>
    </xf>
    <xf numFmtId="165" fontId="23" fillId="12" borderId="7"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7" xfId="0" applyNumberFormat="1" applyFont="1" applyFill="1" applyBorder="1" applyAlignment="1">
      <alignment horizontal="center" vertical="top" wrapText="1"/>
    </xf>
    <xf numFmtId="0" fontId="17" fillId="0" borderId="1" xfId="0" applyFont="1" applyBorder="1" applyAlignment="1">
      <alignment horizontal="left" vertical="top" wrapText="1"/>
    </xf>
    <xf numFmtId="165" fontId="3" fillId="12" borderId="7" xfId="0" applyNumberFormat="1" applyFont="1" applyFill="1" applyBorder="1" applyAlignment="1">
      <alignment horizontal="center" wrapText="1"/>
    </xf>
    <xf numFmtId="0" fontId="3" fillId="7" borderId="7" xfId="0" applyFont="1" applyFill="1" applyBorder="1" applyAlignment="1">
      <alignment horizontal="center"/>
    </xf>
    <xf numFmtId="3" fontId="17" fillId="0" borderId="44" xfId="0" applyNumberFormat="1" applyFont="1" applyBorder="1" applyAlignment="1">
      <alignment horizontal="left" wrapText="1"/>
    </xf>
    <xf numFmtId="0" fontId="23" fillId="0" borderId="45" xfId="0" applyFont="1" applyBorder="1" applyAlignment="1">
      <alignment wrapText="1"/>
    </xf>
    <xf numFmtId="0" fontId="23" fillId="0" borderId="5"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7" fillId="0" borderId="0" xfId="0" applyFont="1" applyAlignment="1">
      <alignment horizontal="center" vertical="center" wrapText="1"/>
    </xf>
    <xf numFmtId="0" fontId="3" fillId="3" borderId="43"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3" xfId="0" applyNumberFormat="1" applyFont="1" applyFill="1" applyBorder="1" applyAlignment="1">
      <alignment horizontal="center" wrapText="1"/>
    </xf>
    <xf numFmtId="0" fontId="17" fillId="0" borderId="1" xfId="0" applyFont="1" applyBorder="1" applyAlignment="1">
      <alignment horizontal="left" vertical="top" wrapText="1" indent="2"/>
    </xf>
    <xf numFmtId="3" fontId="3" fillId="0" borderId="3" xfId="0" applyNumberFormat="1" applyFont="1" applyBorder="1" applyAlignment="1">
      <alignment horizontal="center" wrapText="1"/>
    </xf>
    <xf numFmtId="9" fontId="3" fillId="0" borderId="0" xfId="0" applyNumberFormat="1" applyFont="1" applyAlignment="1">
      <alignment horizontal="center"/>
    </xf>
    <xf numFmtId="165" fontId="3" fillId="12" borderId="8" xfId="0" applyNumberFormat="1" applyFont="1" applyFill="1" applyBorder="1" applyAlignment="1">
      <alignment horizontal="center" wrapText="1"/>
    </xf>
    <xf numFmtId="165" fontId="3" fillId="12" borderId="2"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7" xfId="0" applyNumberFormat="1" applyFont="1" applyFill="1" applyBorder="1" applyAlignment="1">
      <alignment horizontal="center" wrapText="1"/>
    </xf>
    <xf numFmtId="3" fontId="3" fillId="7" borderId="7" xfId="0" applyNumberFormat="1" applyFont="1" applyFill="1" applyBorder="1" applyAlignment="1">
      <alignment horizontal="center"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wrapText="1"/>
    </xf>
    <xf numFmtId="0" fontId="23" fillId="0" borderId="1" xfId="0" applyFont="1" applyBorder="1" applyAlignment="1">
      <alignment horizontal="center" wrapText="1"/>
    </xf>
    <xf numFmtId="0" fontId="23" fillId="0" borderId="3" xfId="0" applyFont="1" applyBorder="1" applyAlignment="1">
      <alignment horizontal="center" wrapText="1"/>
    </xf>
    <xf numFmtId="168" fontId="3" fillId="7" borderId="0" xfId="0" applyNumberFormat="1" applyFont="1" applyFill="1" applyAlignment="1">
      <alignment horizontal="center" wrapText="1"/>
    </xf>
    <xf numFmtId="168" fontId="3" fillId="7" borderId="7" xfId="0" applyNumberFormat="1" applyFont="1" applyFill="1" applyBorder="1" applyAlignment="1">
      <alignment horizontal="center" wrapText="1"/>
    </xf>
    <xf numFmtId="0" fontId="3" fillId="0" borderId="11" xfId="0" applyFont="1" applyBorder="1" applyAlignment="1">
      <alignment horizontal="center"/>
    </xf>
    <xf numFmtId="0" fontId="17" fillId="0" borderId="45" xfId="0" applyFont="1" applyBorder="1" applyAlignment="1">
      <alignment horizontal="center" wrapText="1"/>
    </xf>
    <xf numFmtId="0" fontId="17" fillId="0" borderId="45" xfId="0" applyFont="1" applyBorder="1" applyAlignment="1">
      <alignment wrapText="1"/>
    </xf>
    <xf numFmtId="3" fontId="17" fillId="0" borderId="46"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7"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5"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7" xfId="0" applyNumberFormat="1" applyFont="1" applyBorder="1" applyAlignment="1">
      <alignment horizontal="center" wrapText="1"/>
    </xf>
    <xf numFmtId="165" fontId="23" fillId="0" borderId="7" xfId="0" applyNumberFormat="1" applyFont="1" applyBorder="1" applyAlignment="1">
      <alignment horizontal="center" wrapText="1"/>
    </xf>
    <xf numFmtId="165" fontId="3" fillId="0" borderId="7"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3" fillId="0" borderId="6" xfId="0" applyNumberFormat="1" applyFont="1" applyBorder="1" applyAlignment="1">
      <alignment horizontal="center" wrapText="1"/>
    </xf>
    <xf numFmtId="0" fontId="3" fillId="0" borderId="3" xfId="0" applyFont="1" applyBorder="1"/>
    <xf numFmtId="168" fontId="17" fillId="0" borderId="0" xfId="0" applyNumberFormat="1" applyFont="1"/>
    <xf numFmtId="171" fontId="3" fillId="0" borderId="0" xfId="0" applyNumberFormat="1" applyFont="1"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165" fontId="3" fillId="0" borderId="3" xfId="0" applyNumberFormat="1" applyFont="1" applyBorder="1" applyAlignment="1">
      <alignment horizontal="center"/>
    </xf>
    <xf numFmtId="17" fontId="17" fillId="3" borderId="47" xfId="0" applyNumberFormat="1" applyFont="1" applyFill="1" applyBorder="1" applyAlignment="1">
      <alignment horizontal="left" wrapText="1"/>
    </xf>
    <xf numFmtId="17" fontId="17" fillId="3" borderId="14"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4" xfId="0" applyFont="1" applyBorder="1" applyAlignment="1">
      <alignment wrapText="1"/>
    </xf>
    <xf numFmtId="0" fontId="3" fillId="0" borderId="1" xfId="0" applyFont="1" applyBorder="1" applyAlignment="1">
      <alignment horizontal="left"/>
    </xf>
    <xf numFmtId="0" fontId="3" fillId="11" borderId="9" xfId="0" applyFont="1" applyFill="1" applyBorder="1" applyAlignment="1">
      <alignment horizontal="center"/>
    </xf>
    <xf numFmtId="3" fontId="3" fillId="0" borderId="8"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7"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3" xfId="0" applyNumberFormat="1" applyFont="1" applyFill="1" applyBorder="1" applyAlignment="1">
      <alignment horizontal="center"/>
    </xf>
    <xf numFmtId="3" fontId="3" fillId="0" borderId="4" xfId="0" applyNumberFormat="1" applyFont="1" applyBorder="1" applyAlignment="1">
      <alignment horizontal="center"/>
    </xf>
    <xf numFmtId="3" fontId="3" fillId="7" borderId="4" xfId="0" applyNumberFormat="1" applyFont="1" applyFill="1" applyBorder="1" applyAlignment="1">
      <alignment horizontal="center"/>
    </xf>
    <xf numFmtId="0" fontId="3" fillId="0" borderId="3" xfId="0" applyFont="1" applyBorder="1" applyAlignment="1">
      <alignment horizontal="left" wrapText="1"/>
    </xf>
    <xf numFmtId="0" fontId="17" fillId="3" borderId="5"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8"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5" xfId="0" applyFont="1" applyBorder="1" applyAlignment="1">
      <alignment wrapText="1"/>
    </xf>
    <xf numFmtId="165" fontId="3" fillId="0" borderId="5" xfId="0" applyNumberFormat="1" applyFont="1" applyBorder="1" applyAlignment="1">
      <alignment horizontal="center"/>
    </xf>
    <xf numFmtId="0" fontId="3" fillId="0" borderId="4" xfId="0" applyFont="1" applyBorder="1" applyAlignment="1">
      <alignment vertical="top" wrapText="1"/>
    </xf>
    <xf numFmtId="17" fontId="17" fillId="3" borderId="45" xfId="0" applyNumberFormat="1" applyFont="1" applyFill="1" applyBorder="1" applyAlignment="1">
      <alignment horizontal="left" wrapText="1"/>
    </xf>
    <xf numFmtId="17" fontId="17" fillId="3" borderId="46" xfId="0" applyNumberFormat="1" applyFont="1" applyFill="1" applyBorder="1" applyAlignment="1">
      <alignment horizontal="left" wrapText="1"/>
    </xf>
    <xf numFmtId="17" fontId="17" fillId="3" borderId="3" xfId="0" applyNumberFormat="1" applyFont="1" applyFill="1" applyBorder="1" applyAlignment="1">
      <alignment horizontal="left" vertical="top" wrapText="1"/>
    </xf>
    <xf numFmtId="0" fontId="3" fillId="11" borderId="11" xfId="0" applyFont="1" applyFill="1" applyBorder="1" applyAlignment="1">
      <alignment horizontal="center"/>
    </xf>
    <xf numFmtId="165" fontId="3" fillId="7" borderId="5"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10" fontId="1" fillId="0" borderId="0" xfId="0" applyNumberFormat="1" applyFont="1"/>
    <xf numFmtId="0" fontId="27" fillId="0" borderId="1" xfId="0" applyFont="1" applyBorder="1" applyAlignment="1">
      <alignment wrapText="1"/>
    </xf>
    <xf numFmtId="0" fontId="27" fillId="0" borderId="1" xfId="0" applyFont="1" applyBorder="1" applyAlignment="1">
      <alignment vertical="center" wrapText="1"/>
    </xf>
    <xf numFmtId="168" fontId="3" fillId="7" borderId="0" xfId="0" applyNumberFormat="1" applyFont="1" applyFill="1" applyAlignment="1">
      <alignment horizontal="center"/>
    </xf>
    <xf numFmtId="1" fontId="3" fillId="0" borderId="7" xfId="0" applyNumberFormat="1" applyFont="1" applyBorder="1" applyAlignment="1">
      <alignment horizontal="center"/>
    </xf>
    <xf numFmtId="168" fontId="3" fillId="0" borderId="7" xfId="0" applyNumberFormat="1" applyFont="1" applyBorder="1" applyAlignment="1">
      <alignment horizontal="center"/>
    </xf>
    <xf numFmtId="1" fontId="3" fillId="7" borderId="0" xfId="0" applyNumberFormat="1" applyFont="1" applyFill="1"/>
    <xf numFmtId="1" fontId="3" fillId="0" borderId="7" xfId="0" applyNumberFormat="1" applyFont="1" applyBorder="1"/>
    <xf numFmtId="165" fontId="3" fillId="9" borderId="7" xfId="0" applyNumberFormat="1" applyFont="1" applyFill="1" applyBorder="1" applyAlignment="1">
      <alignment horizontal="center"/>
    </xf>
    <xf numFmtId="165" fontId="3" fillId="9" borderId="0" xfId="0" applyNumberFormat="1" applyFont="1" applyFill="1" applyAlignment="1">
      <alignment horizontal="center"/>
    </xf>
    <xf numFmtId="165" fontId="3" fillId="0" borderId="6" xfId="0" applyNumberFormat="1" applyFont="1" applyBorder="1" applyAlignment="1">
      <alignment horizontal="center"/>
    </xf>
    <xf numFmtId="168" fontId="3" fillId="0" borderId="0" xfId="0" applyNumberFormat="1" applyFont="1" applyAlignment="1">
      <alignment horizontal="center"/>
    </xf>
    <xf numFmtId="165" fontId="3" fillId="9" borderId="6" xfId="0" applyNumberFormat="1" applyFont="1" applyFill="1" applyBorder="1" applyAlignment="1">
      <alignment horizontal="center"/>
    </xf>
    <xf numFmtId="0" fontId="17" fillId="0" borderId="1" xfId="0" applyFont="1" applyBorder="1" applyAlignment="1">
      <alignment horizontal="center" wrapText="1"/>
    </xf>
    <xf numFmtId="0" fontId="17" fillId="0" borderId="1" xfId="0" applyFont="1" applyBorder="1" applyAlignment="1">
      <alignment horizontal="center" vertical="top" wrapText="1"/>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1" fontId="3" fillId="9" borderId="7" xfId="0" applyNumberFormat="1" applyFont="1" applyFill="1" applyBorder="1" applyAlignment="1">
      <alignment horizontal="center" wrapText="1"/>
    </xf>
    <xf numFmtId="1" fontId="23"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0" fontId="17" fillId="0" borderId="0" xfId="0" applyFont="1" applyAlignment="1">
      <alignment horizontal="center" wrapText="1"/>
    </xf>
    <xf numFmtId="170" fontId="3" fillId="0" borderId="0" xfId="0" applyNumberFormat="1" applyFont="1" applyAlignment="1">
      <alignment horizontal="center" wrapText="1"/>
    </xf>
    <xf numFmtId="170" fontId="3" fillId="0" borderId="3"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3" fillId="7" borderId="0" xfId="0" applyNumberFormat="1" applyFont="1" applyFill="1" applyAlignment="1">
      <alignment horizontal="center" wrapText="1"/>
    </xf>
    <xf numFmtId="1" fontId="23" fillId="0" borderId="8" xfId="0" applyNumberFormat="1" applyFont="1" applyBorder="1" applyAlignment="1">
      <alignment horizontal="center"/>
    </xf>
    <xf numFmtId="1" fontId="23" fillId="0" borderId="2" xfId="0" applyNumberFormat="1" applyFont="1" applyBorder="1" applyAlignment="1">
      <alignment horizontal="center"/>
    </xf>
    <xf numFmtId="1" fontId="23" fillId="7" borderId="8" xfId="0" applyNumberFormat="1" applyFont="1" applyFill="1" applyBorder="1" applyAlignment="1">
      <alignment horizontal="center"/>
    </xf>
    <xf numFmtId="1" fontId="23"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3" fillId="0" borderId="7" xfId="0" applyNumberFormat="1" applyFont="1" applyBorder="1" applyAlignment="1">
      <alignment horizontal="center" wrapText="1"/>
    </xf>
    <xf numFmtId="0" fontId="23" fillId="0" borderId="4" xfId="0" applyFont="1" applyBorder="1"/>
    <xf numFmtId="3" fontId="23" fillId="0" borderId="0" xfId="0" applyNumberFormat="1" applyFont="1" applyAlignment="1">
      <alignment horizontal="center" wrapText="1"/>
    </xf>
    <xf numFmtId="3" fontId="3" fillId="0" borderId="0" xfId="0" applyNumberFormat="1" applyFont="1" applyAlignment="1">
      <alignment vertical="top"/>
    </xf>
    <xf numFmtId="0" fontId="23" fillId="0" borderId="8" xfId="0" applyFont="1" applyBorder="1"/>
    <xf numFmtId="0" fontId="1" fillId="7" borderId="7"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3" fillId="0" borderId="1" xfId="0" applyFont="1" applyBorder="1" applyAlignment="1">
      <alignment wrapText="1"/>
    </xf>
    <xf numFmtId="0" fontId="23" fillId="0" borderId="0" xfId="0" applyFont="1" applyAlignment="1">
      <alignment wrapText="1"/>
    </xf>
    <xf numFmtId="3" fontId="3" fillId="7" borderId="3" xfId="0" applyNumberFormat="1" applyFont="1" applyFill="1" applyBorder="1" applyAlignment="1">
      <alignment horizontal="center" wrapText="1"/>
    </xf>
    <xf numFmtId="1" fontId="3" fillId="0" borderId="3" xfId="0" applyNumberFormat="1" applyFont="1" applyBorder="1" applyAlignment="1">
      <alignment horizontal="center" wrapText="1"/>
    </xf>
    <xf numFmtId="3" fontId="3" fillId="7" borderId="8" xfId="0" applyNumberFormat="1" applyFont="1" applyFill="1" applyBorder="1" applyAlignment="1">
      <alignment horizontal="center" wrapText="1"/>
    </xf>
    <xf numFmtId="0" fontId="1" fillId="7" borderId="3" xfId="0" applyFont="1" applyFill="1" applyBorder="1"/>
    <xf numFmtId="3" fontId="3" fillId="7" borderId="2" xfId="0" applyNumberFormat="1" applyFont="1" applyFill="1" applyBorder="1" applyAlignment="1">
      <alignment horizontal="center" wrapText="1"/>
    </xf>
    <xf numFmtId="1" fontId="3" fillId="7" borderId="7" xfId="0" applyNumberFormat="1" applyFont="1" applyFill="1" applyBorder="1" applyAlignment="1">
      <alignment horizontal="center" wrapText="1"/>
    </xf>
    <xf numFmtId="3" fontId="23" fillId="7" borderId="7" xfId="0" applyNumberFormat="1" applyFont="1" applyFill="1" applyBorder="1" applyAlignment="1">
      <alignment horizontal="center" wrapText="1"/>
    </xf>
    <xf numFmtId="1" fontId="17" fillId="0" borderId="0" xfId="0" applyNumberFormat="1" applyFont="1" applyAlignment="1">
      <alignment horizontal="center" wrapText="1"/>
    </xf>
    <xf numFmtId="170" fontId="23" fillId="0" borderId="0" xfId="0" applyNumberFormat="1" applyFont="1" applyAlignment="1">
      <alignment wrapText="1"/>
    </xf>
    <xf numFmtId="1" fontId="3" fillId="0" borderId="6" xfId="0" applyNumberFormat="1" applyFont="1" applyBorder="1" applyAlignment="1">
      <alignment horizontal="center" wrapText="1"/>
    </xf>
    <xf numFmtId="3" fontId="3" fillId="7" borderId="4"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5" xfId="0" applyFont="1" applyBorder="1"/>
    <xf numFmtId="0" fontId="23" fillId="0" borderId="1" xfId="0" applyFont="1" applyBorder="1"/>
    <xf numFmtId="168" fontId="23"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3" xfId="0" applyNumberFormat="1" applyFont="1" applyBorder="1" applyAlignment="1">
      <alignment horizontal="center"/>
    </xf>
    <xf numFmtId="0" fontId="17" fillId="13" borderId="45" xfId="0" applyFont="1" applyFill="1" applyBorder="1"/>
    <xf numFmtId="168" fontId="23" fillId="7" borderId="0" xfId="0" applyNumberFormat="1" applyFont="1" applyFill="1" applyAlignment="1">
      <alignment horizontal="center"/>
    </xf>
    <xf numFmtId="0" fontId="17" fillId="3" borderId="45" xfId="0" applyFont="1" applyFill="1" applyBorder="1"/>
    <xf numFmtId="0" fontId="17" fillId="3" borderId="46" xfId="0" applyFont="1" applyFill="1" applyBorder="1"/>
    <xf numFmtId="0" fontId="17" fillId="3" borderId="44" xfId="0" applyFont="1" applyFill="1" applyBorder="1"/>
    <xf numFmtId="0" fontId="17" fillId="3" borderId="46" xfId="0" applyFont="1" applyFill="1" applyBorder="1" applyAlignment="1">
      <alignment horizontal="center"/>
    </xf>
    <xf numFmtId="0" fontId="17" fillId="3" borderId="44" xfId="0" applyFont="1" applyFill="1" applyBorder="1" applyAlignment="1">
      <alignment horizontal="center"/>
    </xf>
    <xf numFmtId="4" fontId="3" fillId="0" borderId="1" xfId="0" applyNumberFormat="1" applyFont="1" applyBorder="1" applyAlignment="1">
      <alignment horizontal="center"/>
    </xf>
    <xf numFmtId="0" fontId="3" fillId="13" borderId="45" xfId="0" applyFont="1" applyFill="1" applyBorder="1" applyAlignment="1">
      <alignment horizontal="center"/>
    </xf>
    <xf numFmtId="0" fontId="3" fillId="13" borderId="46" xfId="0" applyFont="1" applyFill="1" applyBorder="1" applyAlignment="1">
      <alignment horizontal="center"/>
    </xf>
    <xf numFmtId="0" fontId="3" fillId="13" borderId="44"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3" fillId="7"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23" fillId="0" borderId="5" xfId="0" applyNumberFormat="1" applyFont="1" applyBorder="1" applyAlignment="1">
      <alignment horizontal="center"/>
    </xf>
    <xf numFmtId="168" fontId="23" fillId="0" borderId="3" xfId="0" applyNumberFormat="1" applyFont="1" applyBorder="1" applyAlignment="1">
      <alignment horizontal="center"/>
    </xf>
    <xf numFmtId="168" fontId="3" fillId="0" borderId="4" xfId="0" applyNumberFormat="1" applyFont="1" applyBorder="1" applyAlignment="1">
      <alignment horizontal="center"/>
    </xf>
    <xf numFmtId="168" fontId="3" fillId="0" borderId="5" xfId="0" applyNumberFormat="1" applyFont="1" applyBorder="1" applyAlignment="1">
      <alignment horizontal="center"/>
    </xf>
    <xf numFmtId="0" fontId="31" fillId="0" borderId="1" xfId="0" applyFont="1" applyBorder="1" applyAlignment="1">
      <alignment horizontal="left" wrapText="1"/>
    </xf>
    <xf numFmtId="168" fontId="1" fillId="0" borderId="0" xfId="0" applyNumberFormat="1" applyFont="1"/>
    <xf numFmtId="169" fontId="3" fillId="0" borderId="4" xfId="0" applyNumberFormat="1" applyFont="1" applyBorder="1" applyAlignment="1">
      <alignment horizontal="center"/>
    </xf>
    <xf numFmtId="0" fontId="17" fillId="0" borderId="0" xfId="0" applyFont="1" applyAlignment="1">
      <alignment vertical="top" wrapText="1"/>
    </xf>
    <xf numFmtId="0" fontId="18" fillId="0" borderId="8" xfId="0" applyFont="1" applyBorder="1"/>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3" fillId="0" borderId="7"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3" fillId="0" borderId="0" xfId="0" applyNumberFormat="1" applyFont="1" applyAlignment="1">
      <alignment horizontal="center"/>
    </xf>
    <xf numFmtId="168" fontId="23" fillId="0" borderId="6" xfId="0" applyNumberFormat="1" applyFont="1" applyBorder="1" applyAlignment="1">
      <alignment horizontal="center"/>
    </xf>
    <xf numFmtId="169" fontId="3" fillId="7" borderId="0" xfId="0" applyNumberFormat="1" applyFont="1" applyFill="1" applyAlignment="1">
      <alignment horizontal="center"/>
    </xf>
    <xf numFmtId="169" fontId="3" fillId="7" borderId="7" xfId="0" applyNumberFormat="1" applyFont="1" applyFill="1" applyBorder="1" applyAlignment="1">
      <alignment horizontal="center"/>
    </xf>
    <xf numFmtId="168" fontId="3" fillId="7" borderId="3" xfId="0" applyNumberFormat="1" applyFont="1" applyFill="1" applyBorder="1" applyAlignment="1">
      <alignment horizontal="center"/>
    </xf>
    <xf numFmtId="169" fontId="3" fillId="0" borderId="7" xfId="0" applyNumberFormat="1" applyFont="1" applyBorder="1" applyAlignment="1">
      <alignment horizontal="center"/>
    </xf>
    <xf numFmtId="0" fontId="3" fillId="0" borderId="0" xfId="0" applyFont="1" applyAlignment="1">
      <alignment horizontal="left" indent="4"/>
    </xf>
    <xf numFmtId="0" fontId="3" fillId="0" borderId="2" xfId="0" applyFont="1" applyBorder="1"/>
    <xf numFmtId="168" fontId="3" fillId="8" borderId="0" xfId="0" applyNumberFormat="1" applyFont="1" applyFill="1" applyAlignment="1">
      <alignment horizontal="center" wrapText="1"/>
    </xf>
    <xf numFmtId="168" fontId="3" fillId="8" borderId="7" xfId="0" applyNumberFormat="1" applyFont="1" applyFill="1" applyBorder="1" applyAlignment="1">
      <alignment horizontal="center" wrapText="1"/>
    </xf>
    <xf numFmtId="0" fontId="17" fillId="0" borderId="1" xfId="0" applyFont="1" applyBorder="1"/>
    <xf numFmtId="169" fontId="3" fillId="0" borderId="8" xfId="0" applyNumberFormat="1" applyFont="1" applyBorder="1"/>
    <xf numFmtId="0" fontId="23" fillId="0" borderId="5" xfId="0" applyFont="1" applyBorder="1" applyAlignment="1">
      <alignment horizontal="left"/>
    </xf>
    <xf numFmtId="0" fontId="3" fillId="0" borderId="4" xfId="0" applyFont="1" applyBorder="1" applyAlignment="1">
      <alignment horizontal="left" indent="4"/>
    </xf>
    <xf numFmtId="2" fontId="3" fillId="0" borderId="0" xfId="0" applyNumberFormat="1" applyFont="1" applyAlignment="1">
      <alignment horizontal="right"/>
    </xf>
    <xf numFmtId="3" fontId="33" fillId="0" borderId="0" xfId="0" applyNumberFormat="1" applyFont="1"/>
    <xf numFmtId="0" fontId="3" fillId="0" borderId="7" xfId="0" applyFont="1" applyBorder="1"/>
    <xf numFmtId="173" fontId="3" fillId="0" borderId="0" xfId="0" applyNumberFormat="1" applyFont="1"/>
    <xf numFmtId="0" fontId="3" fillId="14" borderId="5" xfId="0" applyFont="1" applyFill="1" applyBorder="1"/>
    <xf numFmtId="0" fontId="3" fillId="14" borderId="3" xfId="0" applyFont="1" applyFill="1" applyBorder="1"/>
    <xf numFmtId="0" fontId="3" fillId="14" borderId="6" xfId="0" applyFont="1" applyFill="1" applyBorder="1"/>
    <xf numFmtId="0" fontId="3" fillId="0" borderId="4"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7" xfId="0" applyNumberFormat="1" applyFont="1" applyBorder="1" applyAlignment="1">
      <alignment horizontal="right"/>
    </xf>
    <xf numFmtId="0" fontId="1" fillId="0" borderId="7" xfId="0" applyFont="1" applyBorder="1"/>
    <xf numFmtId="0" fontId="3" fillId="15" borderId="1" xfId="0" applyFont="1" applyFill="1" applyBorder="1" applyAlignment="1">
      <alignment horizontal="left" vertical="top" wrapText="1" indent="3"/>
    </xf>
    <xf numFmtId="0" fontId="1" fillId="15" borderId="0" xfId="0" applyFont="1" applyFill="1"/>
    <xf numFmtId="168" fontId="3" fillId="15" borderId="1" xfId="0" applyNumberFormat="1" applyFont="1" applyFill="1" applyBorder="1" applyAlignment="1">
      <alignment horizontal="center"/>
    </xf>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5" borderId="7" xfId="0" applyNumberFormat="1" applyFont="1" applyFill="1" applyBorder="1" applyAlignment="1">
      <alignment horizontal="center" wrapText="1"/>
    </xf>
    <xf numFmtId="168" fontId="3" fillId="16" borderId="0" xfId="0" applyNumberFormat="1" applyFont="1" applyFill="1" applyAlignment="1">
      <alignment horizontal="center" wrapText="1"/>
    </xf>
    <xf numFmtId="168" fontId="3" fillId="16" borderId="7"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4"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3" fillId="7" borderId="0" xfId="0" applyFont="1" applyFill="1" applyAlignment="1">
      <alignment horizontal="center"/>
    </xf>
    <xf numFmtId="0" fontId="23" fillId="0" borderId="8" xfId="0" applyFont="1" applyBorder="1" applyAlignment="1">
      <alignment horizontal="center"/>
    </xf>
    <xf numFmtId="0" fontId="23" fillId="7" borderId="7" xfId="0" applyFont="1" applyFill="1" applyBorder="1" applyAlignment="1">
      <alignment horizontal="center"/>
    </xf>
    <xf numFmtId="0" fontId="23" fillId="0" borderId="0" xfId="0" applyFont="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168" fontId="23" fillId="7" borderId="7" xfId="0" applyNumberFormat="1" applyFont="1" applyFill="1" applyBorder="1" applyAlignment="1">
      <alignment horizontal="center"/>
    </xf>
    <xf numFmtId="3" fontId="3" fillId="0" borderId="3" xfId="0" applyNumberFormat="1" applyFont="1" applyBorder="1"/>
    <xf numFmtId="3" fontId="3" fillId="0" borderId="6" xfId="0" applyNumberFormat="1" applyFont="1" applyBorder="1"/>
    <xf numFmtId="3" fontId="3" fillId="0" borderId="1" xfId="0" applyNumberFormat="1" applyFont="1" applyBorder="1"/>
    <xf numFmtId="0" fontId="3" fillId="0" borderId="45"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7" fillId="0" borderId="0" xfId="0" applyFont="1" applyAlignment="1">
      <alignment horizontal="left" indent="1"/>
    </xf>
    <xf numFmtId="0" fontId="3" fillId="0" borderId="0" xfId="0" applyFont="1" applyAlignment="1">
      <alignment horizontal="left" wrapText="1" indent="1"/>
    </xf>
    <xf numFmtId="0" fontId="3" fillId="7" borderId="7"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7" xfId="0" applyNumberFormat="1" applyFont="1" applyFill="1" applyBorder="1"/>
    <xf numFmtId="168" fontId="3" fillId="0" borderId="8" xfId="0" applyNumberFormat="1" applyFont="1" applyBorder="1"/>
    <xf numFmtId="168" fontId="3" fillId="7" borderId="8" xfId="0" applyNumberFormat="1" applyFont="1" applyFill="1" applyBorder="1"/>
    <xf numFmtId="168" fontId="3" fillId="7" borderId="2" xfId="0" applyNumberFormat="1" applyFont="1" applyFill="1" applyBorder="1"/>
    <xf numFmtId="0" fontId="23" fillId="0" borderId="1" xfId="0" applyFont="1" applyBorder="1" applyAlignment="1">
      <alignment horizontal="center"/>
    </xf>
    <xf numFmtId="168" fontId="3" fillId="0" borderId="4" xfId="0" applyNumberFormat="1" applyFont="1" applyBorder="1"/>
    <xf numFmtId="0" fontId="3" fillId="0" borderId="9" xfId="0" applyFont="1" applyBorder="1"/>
    <xf numFmtId="0" fontId="17" fillId="0" borderId="46" xfId="0" applyFont="1" applyBorder="1"/>
    <xf numFmtId="0" fontId="17" fillId="0" borderId="44" xfId="0" applyFont="1" applyBorder="1"/>
    <xf numFmtId="169" fontId="3" fillId="9" borderId="8" xfId="0" applyNumberFormat="1" applyFont="1" applyFill="1" applyBorder="1"/>
    <xf numFmtId="4" fontId="3" fillId="0" borderId="0" xfId="0" applyNumberFormat="1" applyFont="1"/>
    <xf numFmtId="168" fontId="3" fillId="7" borderId="7" xfId="0" applyNumberFormat="1" applyFont="1" applyFill="1" applyBorder="1" applyAlignment="1">
      <alignment horizontal="center"/>
    </xf>
    <xf numFmtId="0" fontId="3" fillId="7" borderId="7" xfId="0" applyFont="1" applyFill="1" applyBorder="1"/>
    <xf numFmtId="0" fontId="3" fillId="9" borderId="4" xfId="0" applyFont="1" applyFill="1" applyBorder="1" applyAlignment="1">
      <alignment wrapText="1"/>
    </xf>
    <xf numFmtId="168" fontId="3" fillId="3" borderId="7" xfId="0" applyNumberFormat="1" applyFont="1" applyFill="1" applyBorder="1"/>
    <xf numFmtId="3" fontId="3" fillId="0" borderId="7" xfId="0" applyNumberFormat="1" applyFont="1" applyBorder="1"/>
    <xf numFmtId="169" fontId="3" fillId="9" borderId="2" xfId="0" applyNumberFormat="1" applyFont="1" applyFill="1" applyBorder="1"/>
    <xf numFmtId="3" fontId="3" fillId="0" borderId="5" xfId="0" applyNumberFormat="1" applyFont="1" applyBorder="1"/>
    <xf numFmtId="168" fontId="3" fillId="0" borderId="7" xfId="0" applyNumberFormat="1" applyFont="1" applyBorder="1"/>
    <xf numFmtId="168" fontId="3" fillId="3" borderId="0" xfId="0" applyNumberFormat="1" applyFont="1" applyFill="1"/>
    <xf numFmtId="0" fontId="3" fillId="0" borderId="6" xfId="0" applyFont="1" applyBorder="1" applyAlignment="1">
      <alignment horizontal="center"/>
    </xf>
    <xf numFmtId="0" fontId="23" fillId="0" borderId="7" xfId="0" applyFont="1" applyBorder="1" applyAlignment="1">
      <alignment horizontal="center"/>
    </xf>
    <xf numFmtId="168" fontId="3" fillId="0" borderId="2" xfId="0" applyNumberFormat="1" applyFont="1" applyBorder="1"/>
    <xf numFmtId="168" fontId="3" fillId="18" borderId="0" xfId="0" applyNumberFormat="1" applyFont="1" applyFill="1"/>
    <xf numFmtId="168" fontId="23" fillId="0" borderId="2" xfId="0" applyNumberFormat="1" applyFont="1" applyBorder="1" applyAlignment="1">
      <alignment horizontal="center"/>
    </xf>
    <xf numFmtId="0" fontId="23" fillId="9"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168" fontId="23" fillId="0" borderId="0" xfId="0" applyNumberFormat="1" applyFont="1" applyAlignment="1">
      <alignment horizontal="center" vertical="top" wrapText="1"/>
    </xf>
    <xf numFmtId="168" fontId="3" fillId="0" borderId="5" xfId="0" applyNumberFormat="1" applyFont="1" applyBorder="1" applyAlignment="1">
      <alignment horizontal="right" vertical="top" wrapText="1"/>
    </xf>
    <xf numFmtId="1" fontId="3" fillId="0" borderId="2" xfId="0" applyNumberFormat="1" applyFont="1" applyBorder="1" applyAlignment="1">
      <alignment horizontal="center"/>
    </xf>
    <xf numFmtId="174" fontId="28" fillId="0" borderId="0" xfId="0" applyNumberFormat="1" applyFont="1" applyAlignment="1">
      <alignment horizontal="center"/>
    </xf>
    <xf numFmtId="9" fontId="3" fillId="0" borderId="0" xfId="0" applyNumberFormat="1" applyFont="1"/>
    <xf numFmtId="9" fontId="3" fillId="0" borderId="7" xfId="0" applyNumberFormat="1" applyFont="1" applyBorder="1"/>
    <xf numFmtId="9" fontId="3" fillId="0" borderId="8" xfId="0" applyNumberFormat="1" applyFont="1" applyBorder="1"/>
    <xf numFmtId="9" fontId="3" fillId="0" borderId="2" xfId="0" applyNumberFormat="1" applyFont="1" applyBorder="1"/>
    <xf numFmtId="0" fontId="17" fillId="12" borderId="45" xfId="0" applyFont="1" applyFill="1" applyBorder="1" applyAlignment="1">
      <alignment horizontal="center"/>
    </xf>
    <xf numFmtId="0" fontId="3" fillId="0" borderId="5" xfId="0" applyFont="1" applyBorder="1" applyAlignment="1">
      <alignment horizontal="left" indent="1"/>
    </xf>
    <xf numFmtId="0" fontId="34" fillId="0" borderId="1" xfId="0" applyFont="1" applyBorder="1" applyAlignment="1">
      <alignment horizontal="left" wrapText="1"/>
    </xf>
    <xf numFmtId="168" fontId="3" fillId="0" borderId="3"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34" fillId="0" borderId="1" xfId="0" applyFont="1" applyBorder="1" applyAlignment="1">
      <alignment horizontal="left"/>
    </xf>
    <xf numFmtId="0" fontId="34" fillId="0" borderId="0" xfId="0" applyFont="1"/>
    <xf numFmtId="174" fontId="28" fillId="0" borderId="0" xfId="0" applyNumberFormat="1" applyFont="1"/>
    <xf numFmtId="167" fontId="3" fillId="12" borderId="4" xfId="0" applyNumberFormat="1" applyFont="1" applyFill="1" applyBorder="1" applyAlignment="1">
      <alignment horizontal="center"/>
    </xf>
    <xf numFmtId="167" fontId="3" fillId="12" borderId="8" xfId="0" applyNumberFormat="1" applyFont="1" applyFill="1" applyBorder="1" applyAlignment="1">
      <alignment horizontal="center"/>
    </xf>
    <xf numFmtId="167" fontId="3" fillId="12" borderId="2" xfId="0" applyNumberFormat="1" applyFont="1" applyFill="1" applyBorder="1" applyAlignment="1">
      <alignment horizontal="center"/>
    </xf>
    <xf numFmtId="0" fontId="36" fillId="0" borderId="1" xfId="0" applyFont="1" applyBorder="1" applyAlignment="1">
      <alignment horizontal="left"/>
    </xf>
    <xf numFmtId="174" fontId="28" fillId="0" borderId="7" xfId="0" applyNumberFormat="1" applyFont="1" applyBorder="1" applyAlignment="1">
      <alignment horizontal="center"/>
    </xf>
    <xf numFmtId="0" fontId="28" fillId="0" borderId="0" xfId="0" applyFont="1" applyAlignment="1">
      <alignment horizontal="center"/>
    </xf>
    <xf numFmtId="168" fontId="3" fillId="12"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2" borderId="0" xfId="0" applyNumberFormat="1" applyFont="1" applyFill="1" applyAlignment="1">
      <alignment horizontal="center" vertical="top" wrapText="1"/>
    </xf>
    <xf numFmtId="168" fontId="23" fillId="12" borderId="0" xfId="0" applyNumberFormat="1" applyFont="1" applyFill="1" applyAlignment="1">
      <alignment horizontal="center" vertical="top" wrapText="1"/>
    </xf>
    <xf numFmtId="1" fontId="23" fillId="12" borderId="0" xfId="0" applyNumberFormat="1" applyFont="1" applyFill="1" applyAlignment="1">
      <alignment horizontal="center" vertical="top" wrapText="1"/>
    </xf>
    <xf numFmtId="167" fontId="23" fillId="0" borderId="0" xfId="0" applyNumberFormat="1" applyFont="1"/>
    <xf numFmtId="0" fontId="23" fillId="0" borderId="4" xfId="0" applyFont="1" applyBorder="1" applyAlignment="1">
      <alignment horizontal="left" vertical="top" wrapText="1"/>
    </xf>
    <xf numFmtId="0" fontId="17" fillId="0" borderId="43"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8" fillId="0" borderId="9" xfId="0" applyFont="1" applyBorder="1" applyAlignment="1">
      <alignment horizontal="left" indent="1"/>
    </xf>
    <xf numFmtId="0" fontId="28" fillId="0" borderId="10"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51" xfId="0" applyFont="1" applyBorder="1"/>
    <xf numFmtId="0" fontId="23" fillId="0" borderId="0" xfId="0" applyFont="1" applyAlignment="1">
      <alignment horizontal="left" vertical="top" wrapText="1"/>
    </xf>
    <xf numFmtId="3" fontId="23" fillId="0" borderId="0" xfId="0" applyNumberFormat="1" applyFont="1" applyAlignment="1">
      <alignment horizontal="center" vertical="top" wrapText="1"/>
    </xf>
    <xf numFmtId="168" fontId="23" fillId="0" borderId="0" xfId="0" applyNumberFormat="1" applyFont="1" applyAlignment="1">
      <alignment horizontal="right" vertical="top" wrapText="1"/>
    </xf>
    <xf numFmtId="174" fontId="34"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34" fillId="0" borderId="0" xfId="0" applyNumberFormat="1" applyFont="1" applyAlignment="1">
      <alignment horizontal="center"/>
    </xf>
    <xf numFmtId="174" fontId="34" fillId="0" borderId="0" xfId="0" applyNumberFormat="1" applyFont="1"/>
    <xf numFmtId="0" fontId="34" fillId="0" borderId="0" xfId="0" applyFont="1" applyAlignment="1">
      <alignment horizontal="left" indent="2"/>
    </xf>
    <xf numFmtId="175" fontId="34" fillId="0" borderId="0" xfId="0" applyNumberFormat="1" applyFont="1" applyAlignment="1">
      <alignment horizontal="center"/>
    </xf>
    <xf numFmtId="1" fontId="17" fillId="0" borderId="0" xfId="0" applyNumberFormat="1" applyFont="1" applyAlignment="1">
      <alignment horizontal="center"/>
    </xf>
    <xf numFmtId="174" fontId="34" fillId="0" borderId="3" xfId="0" applyNumberFormat="1" applyFont="1" applyBorder="1" applyAlignment="1">
      <alignment horizontal="center"/>
    </xf>
    <xf numFmtId="174" fontId="34" fillId="12" borderId="3" xfId="0" applyNumberFormat="1" applyFont="1" applyFill="1" applyBorder="1" applyAlignment="1">
      <alignment horizontal="center"/>
    </xf>
    <xf numFmtId="169" fontId="3" fillId="0" borderId="3" xfId="0" applyNumberFormat="1" applyFont="1" applyBorder="1"/>
    <xf numFmtId="168" fontId="3" fillId="0" borderId="1" xfId="0" applyNumberFormat="1" applyFont="1" applyBorder="1" applyAlignment="1">
      <alignment horizontal="right" vertical="top" wrapText="1"/>
    </xf>
    <xf numFmtId="168" fontId="23" fillId="0" borderId="8" xfId="0" applyNumberFormat="1" applyFont="1" applyBorder="1" applyAlignment="1">
      <alignment horizontal="center" vertical="top" wrapText="1"/>
    </xf>
    <xf numFmtId="0" fontId="27" fillId="0" borderId="0" xfId="0" applyFont="1" applyAlignment="1">
      <alignment horizontal="center" vertical="top" wrapText="1"/>
    </xf>
    <xf numFmtId="0" fontId="23" fillId="0" borderId="0" xfId="0" applyFont="1" applyAlignment="1">
      <alignment horizontal="center" vertical="top" wrapText="1"/>
    </xf>
    <xf numFmtId="3" fontId="23"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4" fillId="7" borderId="44" xfId="0" applyNumberFormat="1" applyFont="1" applyFill="1" applyBorder="1" applyAlignment="1">
      <alignment horizontal="center"/>
    </xf>
    <xf numFmtId="167" fontId="3" fillId="12" borderId="3" xfId="0" applyNumberFormat="1" applyFont="1" applyFill="1" applyBorder="1" applyAlignment="1">
      <alignment horizontal="center"/>
    </xf>
    <xf numFmtId="1" fontId="3" fillId="0" borderId="4" xfId="0" applyNumberFormat="1" applyFont="1" applyBorder="1" applyAlignment="1">
      <alignment horizontal="center"/>
    </xf>
    <xf numFmtId="1" fontId="3" fillId="7" borderId="0" xfId="0" applyNumberFormat="1" applyFont="1" applyFill="1" applyAlignment="1">
      <alignment horizontal="center" vertical="top" wrapText="1"/>
    </xf>
    <xf numFmtId="175" fontId="28" fillId="0" borderId="0" xfId="0" applyNumberFormat="1" applyFont="1" applyAlignment="1">
      <alignment horizontal="center"/>
    </xf>
    <xf numFmtId="0" fontId="17" fillId="12" borderId="46" xfId="0" applyFont="1" applyFill="1" applyBorder="1" applyAlignment="1">
      <alignment horizontal="center"/>
    </xf>
    <xf numFmtId="0" fontId="17" fillId="12" borderId="44" xfId="0" applyFont="1" applyFill="1" applyBorder="1" applyAlignment="1">
      <alignment horizontal="center"/>
    </xf>
    <xf numFmtId="0" fontId="3" fillId="12" borderId="2" xfId="0" applyFont="1" applyFill="1" applyBorder="1"/>
    <xf numFmtId="2" fontId="3" fillId="12" borderId="0" xfId="0" applyNumberFormat="1" applyFont="1" applyFill="1" applyAlignment="1">
      <alignment horizontal="center"/>
    </xf>
    <xf numFmtId="2" fontId="3" fillId="12" borderId="5" xfId="0" applyNumberFormat="1" applyFont="1" applyFill="1" applyBorder="1" applyAlignment="1">
      <alignment horizontal="center"/>
    </xf>
    <xf numFmtId="2" fontId="3" fillId="12" borderId="3"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4" xfId="0" applyNumberFormat="1" applyFont="1" applyFill="1" applyBorder="1" applyAlignment="1">
      <alignment horizontal="center"/>
    </xf>
    <xf numFmtId="2" fontId="3" fillId="12" borderId="8" xfId="0" applyNumberFormat="1"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xf>
    <xf numFmtId="0" fontId="17" fillId="12" borderId="6" xfId="0" applyFont="1" applyFill="1" applyBorder="1" applyAlignment="1">
      <alignment horizontal="center"/>
    </xf>
    <xf numFmtId="1" fontId="28" fillId="0" borderId="5" xfId="0" applyNumberFormat="1" applyFont="1" applyBorder="1" applyAlignment="1">
      <alignment horizontal="center"/>
    </xf>
    <xf numFmtId="1" fontId="28" fillId="0" borderId="3" xfId="0" applyNumberFormat="1" applyFont="1" applyBorder="1" applyAlignment="1">
      <alignment horizontal="center"/>
    </xf>
    <xf numFmtId="1" fontId="28" fillId="0" borderId="1" xfId="0" applyNumberFormat="1" applyFont="1" applyBorder="1" applyAlignment="1">
      <alignment horizontal="center"/>
    </xf>
    <xf numFmtId="1" fontId="28" fillId="0" borderId="4" xfId="0" applyNumberFormat="1" applyFont="1" applyBorder="1" applyAlignment="1">
      <alignment horizontal="center"/>
    </xf>
    <xf numFmtId="1" fontId="28" fillId="0" borderId="8" xfId="0" applyNumberFormat="1" applyFont="1" applyBorder="1" applyAlignment="1">
      <alignment horizontal="center"/>
    </xf>
    <xf numFmtId="1" fontId="28" fillId="0" borderId="6" xfId="0" applyNumberFormat="1" applyFont="1" applyBorder="1" applyAlignment="1">
      <alignment horizontal="center"/>
    </xf>
    <xf numFmtId="1" fontId="28" fillId="0" borderId="2" xfId="0" applyNumberFormat="1" applyFont="1" applyBorder="1" applyAlignment="1">
      <alignment horizontal="center"/>
    </xf>
    <xf numFmtId="0" fontId="28" fillId="0" borderId="1" xfId="0" applyFont="1" applyBorder="1"/>
    <xf numFmtId="0" fontId="28" fillId="0" borderId="4" xfId="0" applyFont="1" applyBorder="1"/>
    <xf numFmtId="174" fontId="34" fillId="12" borderId="5" xfId="0" applyNumberFormat="1" applyFont="1" applyFill="1" applyBorder="1" applyAlignment="1">
      <alignment horizontal="center"/>
    </xf>
    <xf numFmtId="174" fontId="34" fillId="12" borderId="6" xfId="0" applyNumberFormat="1" applyFont="1" applyFill="1" applyBorder="1" applyAlignment="1">
      <alignment horizontal="center"/>
    </xf>
    <xf numFmtId="167" fontId="3" fillId="12" borderId="5" xfId="0" applyNumberFormat="1" applyFont="1" applyFill="1" applyBorder="1" applyAlignment="1">
      <alignment horizontal="center"/>
    </xf>
    <xf numFmtId="167" fontId="3" fillId="12" borderId="6" xfId="0" applyNumberFormat="1" applyFont="1" applyFill="1" applyBorder="1" applyAlignment="1">
      <alignment horizontal="center"/>
    </xf>
    <xf numFmtId="174" fontId="34" fillId="0" borderId="46" xfId="0" applyNumberFormat="1" applyFont="1" applyBorder="1" applyAlignment="1">
      <alignment horizontal="center"/>
    </xf>
    <xf numFmtId="174" fontId="34" fillId="12" borderId="45" xfId="0" applyNumberFormat="1" applyFont="1" applyFill="1" applyBorder="1" applyAlignment="1">
      <alignment horizontal="center"/>
    </xf>
    <xf numFmtId="174" fontId="34" fillId="12" borderId="46" xfId="0" applyNumberFormat="1" applyFont="1" applyFill="1" applyBorder="1" applyAlignment="1">
      <alignment horizontal="center"/>
    </xf>
    <xf numFmtId="174" fontId="34" fillId="12" borderId="44" xfId="0" applyNumberFormat="1" applyFont="1" applyFill="1" applyBorder="1" applyAlignment="1">
      <alignment horizontal="center"/>
    </xf>
    <xf numFmtId="167" fontId="3" fillId="0" borderId="5" xfId="0" applyNumberFormat="1" applyFont="1" applyBorder="1" applyAlignment="1">
      <alignment horizontal="center"/>
    </xf>
    <xf numFmtId="167" fontId="3" fillId="0" borderId="3"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4" xfId="0" applyFont="1" applyBorder="1" applyAlignment="1">
      <alignment horizontal="left" indent="1"/>
    </xf>
    <xf numFmtId="0" fontId="28" fillId="0" borderId="1" xfId="0" applyFont="1" applyBorder="1" applyAlignment="1">
      <alignment horizontal="left" indent="1"/>
    </xf>
    <xf numFmtId="0" fontId="28" fillId="0" borderId="4"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3"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2" borderId="6" xfId="0" applyNumberFormat="1" applyFont="1" applyFill="1" applyBorder="1" applyAlignment="1">
      <alignment horizontal="center"/>
    </xf>
    <xf numFmtId="0" fontId="17" fillId="3" borderId="0" xfId="0" applyFont="1" applyFill="1" applyAlignment="1">
      <alignment horizontal="left"/>
    </xf>
    <xf numFmtId="0" fontId="17"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168" fontId="3" fillId="12" borderId="7" xfId="0" applyNumberFormat="1" applyFont="1" applyFill="1" applyBorder="1" applyAlignment="1">
      <alignment horizontal="right" vertical="top" wrapText="1"/>
    </xf>
    <xf numFmtId="1" fontId="23" fillId="12" borderId="7" xfId="0" applyNumberFormat="1" applyFont="1" applyFill="1" applyBorder="1" applyAlignment="1">
      <alignment horizontal="center" vertical="top" wrapText="1"/>
    </xf>
    <xf numFmtId="168" fontId="3" fillId="7" borderId="7" xfId="0" applyNumberFormat="1" applyFont="1" applyFill="1" applyBorder="1" applyAlignment="1">
      <alignment horizontal="right" vertical="top" wrapText="1"/>
    </xf>
    <xf numFmtId="174" fontId="34" fillId="7" borderId="45" xfId="0" applyNumberFormat="1" applyFont="1" applyFill="1" applyBorder="1" applyAlignment="1">
      <alignment horizontal="center"/>
    </xf>
    <xf numFmtId="174" fontId="34" fillId="7" borderId="46" xfId="0" applyNumberFormat="1" applyFont="1" applyFill="1" applyBorder="1" applyAlignment="1">
      <alignment horizontal="center"/>
    </xf>
    <xf numFmtId="1" fontId="28" fillId="0" borderId="7" xfId="0" applyNumberFormat="1" applyFont="1" applyBorder="1" applyAlignment="1">
      <alignment horizontal="center"/>
    </xf>
    <xf numFmtId="0" fontId="3" fillId="12" borderId="7" xfId="0" applyFont="1" applyFill="1" applyBorder="1"/>
    <xf numFmtId="0" fontId="17" fillId="0" borderId="43" xfId="0" applyFont="1" applyBorder="1" applyAlignment="1">
      <alignment horizontal="left" indent="1"/>
    </xf>
    <xf numFmtId="167" fontId="3" fillId="0" borderId="7" xfId="0" applyNumberFormat="1" applyFont="1" applyBorder="1" applyAlignment="1">
      <alignment horizontal="center"/>
    </xf>
    <xf numFmtId="167" fontId="3" fillId="12" borderId="7" xfId="0" applyNumberFormat="1" applyFont="1" applyFill="1" applyBorder="1" applyAlignment="1">
      <alignment horizontal="center"/>
    </xf>
    <xf numFmtId="0" fontId="3" fillId="0" borderId="5" xfId="0" applyFont="1" applyBorder="1" applyAlignment="1">
      <alignment horizontal="left" indent="2"/>
    </xf>
    <xf numFmtId="167" fontId="3" fillId="7" borderId="7" xfId="0" applyNumberFormat="1" applyFont="1" applyFill="1" applyBorder="1" applyAlignment="1">
      <alignment horizontal="center"/>
    </xf>
    <xf numFmtId="0" fontId="3" fillId="0" borderId="0" xfId="0" applyFont="1" applyAlignment="1">
      <alignment horizontal="left" indent="2"/>
    </xf>
    <xf numFmtId="165" fontId="14" fillId="0" borderId="0" xfId="0" applyNumberFormat="1" applyFont="1" applyAlignment="1">
      <alignment horizontal="right"/>
    </xf>
    <xf numFmtId="165" fontId="14" fillId="0" borderId="52" xfId="0" applyNumberFormat="1" applyFont="1" applyBorder="1" applyAlignment="1">
      <alignment horizontal="right"/>
    </xf>
    <xf numFmtId="168" fontId="1" fillId="0" borderId="53" xfId="0" applyNumberFormat="1" applyFont="1" applyBorder="1" applyAlignment="1">
      <alignment horizontal="center"/>
    </xf>
    <xf numFmtId="0" fontId="34" fillId="0" borderId="47" xfId="0" applyFont="1" applyBorder="1" applyAlignment="1">
      <alignment wrapText="1"/>
    </xf>
    <xf numFmtId="0" fontId="17" fillId="0" borderId="47" xfId="0" applyFont="1" applyBorder="1"/>
    <xf numFmtId="1" fontId="3" fillId="0" borderId="0" xfId="0" applyNumberFormat="1" applyFont="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4" fontId="28" fillId="0" borderId="2" xfId="0" applyNumberFormat="1" applyFont="1" applyBorder="1" applyAlignment="1">
      <alignment horizontal="center"/>
    </xf>
    <xf numFmtId="168" fontId="1" fillId="0" borderId="54"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5" xfId="0" applyFont="1" applyFill="1" applyBorder="1"/>
    <xf numFmtId="168" fontId="3" fillId="0" borderId="0" xfId="0" applyNumberFormat="1" applyFont="1" applyAlignment="1">
      <alignment horizontal="center" vertical="top" wrapText="1"/>
    </xf>
    <xf numFmtId="1" fontId="3" fillId="7" borderId="7" xfId="0" applyNumberFormat="1" applyFont="1" applyFill="1" applyBorder="1" applyAlignment="1">
      <alignment horizontal="center" vertical="top" wrapText="1"/>
    </xf>
    <xf numFmtId="168" fontId="3" fillId="0" borderId="6" xfId="0" applyNumberFormat="1" applyFont="1" applyBorder="1" applyAlignment="1">
      <alignment horizontal="right" vertical="top" wrapText="1"/>
    </xf>
    <xf numFmtId="1" fontId="23"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7" xfId="0" applyNumberFormat="1" applyFont="1" applyBorder="1" applyAlignment="1">
      <alignment horizontal="right" vertical="top" wrapText="1"/>
    </xf>
    <xf numFmtId="1" fontId="23" fillId="0" borderId="7" xfId="0" applyNumberFormat="1" applyFont="1" applyBorder="1" applyAlignment="1">
      <alignment horizontal="center" vertical="top" wrapText="1"/>
    </xf>
    <xf numFmtId="168" fontId="3" fillId="0" borderId="7" xfId="0" applyNumberFormat="1" applyFont="1" applyBorder="1" applyAlignment="1">
      <alignment horizontal="center" vertical="top" wrapText="1"/>
    </xf>
    <xf numFmtId="168" fontId="3" fillId="0" borderId="0" xfId="0" applyNumberFormat="1" applyFont="1" applyAlignment="1">
      <alignment horizontal="right" vertical="top" wrapText="1"/>
    </xf>
    <xf numFmtId="168" fontId="3" fillId="7" borderId="2" xfId="0" applyNumberFormat="1" applyFont="1" applyFill="1" applyBorder="1" applyAlignment="1">
      <alignment horizontal="center" vertical="top" wrapText="1"/>
    </xf>
    <xf numFmtId="168" fontId="23" fillId="0" borderId="7" xfId="0" applyNumberFormat="1" applyFont="1" applyBorder="1" applyAlignment="1">
      <alignment horizontal="center" vertical="top" wrapText="1"/>
    </xf>
    <xf numFmtId="9" fontId="3" fillId="0" borderId="7" xfId="0" applyNumberFormat="1" applyFont="1" applyBorder="1" applyAlignment="1">
      <alignment horizontal="right" vertical="top" wrapText="1"/>
    </xf>
    <xf numFmtId="0" fontId="3" fillId="0" borderId="0" xfId="0" applyFont="1" applyAlignment="1">
      <alignment vertical="center"/>
    </xf>
    <xf numFmtId="1" fontId="3" fillId="0" borderId="0" xfId="0" applyNumberFormat="1" applyFont="1" applyAlignment="1">
      <alignment horizontal="right"/>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8" fillId="0" borderId="0" xfId="0" applyFont="1" applyAlignment="1">
      <alignment horizontal="left" vertical="top"/>
    </xf>
    <xf numFmtId="0" fontId="17" fillId="0" borderId="0" xfId="0" applyFont="1" applyAlignment="1">
      <alignment horizontal="left"/>
    </xf>
    <xf numFmtId="0" fontId="39" fillId="0" borderId="0" xfId="0" applyFont="1"/>
    <xf numFmtId="0" fontId="17" fillId="8" borderId="0" xfId="0" applyFont="1" applyFill="1"/>
    <xf numFmtId="0" fontId="17" fillId="8" borderId="0" xfId="0" applyFont="1" applyFill="1" applyAlignment="1">
      <alignment horizontal="left"/>
    </xf>
    <xf numFmtId="0" fontId="3" fillId="8" borderId="0" xfId="0" applyFont="1" applyFill="1" applyAlignment="1">
      <alignment horizontal="left" indent="2"/>
    </xf>
    <xf numFmtId="0" fontId="3"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40" fillId="0" borderId="0" xfId="0" applyFont="1" applyAlignment="1">
      <alignment horizontal="right" vertical="top"/>
    </xf>
    <xf numFmtId="3" fontId="41" fillId="0" borderId="0" xfId="0" applyNumberFormat="1" applyFont="1"/>
    <xf numFmtId="3" fontId="42" fillId="0" borderId="0" xfId="0" applyNumberFormat="1" applyFont="1" applyAlignment="1">
      <alignment horizontal="right" vertical="top"/>
    </xf>
    <xf numFmtId="0" fontId="43" fillId="24" borderId="0" xfId="0" applyFont="1" applyFill="1" applyAlignment="1">
      <alignment horizontal="right"/>
    </xf>
    <xf numFmtId="0" fontId="44" fillId="0" borderId="0" xfId="0" applyFont="1"/>
    <xf numFmtId="0" fontId="45" fillId="0" borderId="0" xfId="0" applyFont="1" applyAlignment="1">
      <alignment horizontal="right"/>
    </xf>
    <xf numFmtId="165" fontId="46" fillId="0" borderId="0" xfId="0" applyNumberFormat="1" applyFont="1" applyAlignment="1">
      <alignment horizontal="right" vertical="top"/>
    </xf>
    <xf numFmtId="165" fontId="43" fillId="24" borderId="0" xfId="0" applyNumberFormat="1" applyFont="1" applyFill="1" applyAlignment="1">
      <alignment horizontal="right"/>
    </xf>
    <xf numFmtId="3" fontId="6" fillId="0" borderId="0" xfId="0" applyNumberFormat="1" applyFont="1"/>
    <xf numFmtId="0" fontId="6" fillId="0" borderId="0" xfId="0" applyFont="1"/>
    <xf numFmtId="165" fontId="45" fillId="0" borderId="0" xfId="0" applyNumberFormat="1" applyFont="1" applyAlignment="1">
      <alignment horizontal="right"/>
    </xf>
    <xf numFmtId="3" fontId="45"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7"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41"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41" fillId="27" borderId="0" xfId="0" applyFont="1" applyFill="1"/>
    <xf numFmtId="0" fontId="6" fillId="27" borderId="0" xfId="0" applyFont="1" applyFill="1"/>
    <xf numFmtId="0" fontId="48"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8" fillId="0" borderId="0" xfId="0" applyFont="1"/>
    <xf numFmtId="1" fontId="5" fillId="0" borderId="0" xfId="0" applyNumberFormat="1" applyFont="1" applyAlignment="1">
      <alignment vertical="top"/>
    </xf>
    <xf numFmtId="0" fontId="6" fillId="0" borderId="0" xfId="0" applyFont="1" applyAlignment="1">
      <alignment horizontal="right"/>
    </xf>
    <xf numFmtId="0" fontId="41" fillId="0" borderId="0" xfId="0" applyFont="1" applyAlignment="1">
      <alignment horizontal="right"/>
    </xf>
    <xf numFmtId="0" fontId="41"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41" fillId="9" borderId="0" xfId="0" applyFont="1" applyFill="1" applyAlignment="1">
      <alignment horizontal="right"/>
    </xf>
    <xf numFmtId="0" fontId="6" fillId="9" borderId="0" xfId="0" applyFont="1" applyFill="1" applyAlignment="1">
      <alignment horizontal="right"/>
    </xf>
    <xf numFmtId="0" fontId="43" fillId="0" borderId="0" xfId="0" applyFont="1"/>
    <xf numFmtId="170" fontId="40" fillId="0" borderId="0" xfId="0" applyNumberFormat="1" applyFont="1" applyAlignment="1">
      <alignment horizontal="right" vertical="top"/>
    </xf>
    <xf numFmtId="9" fontId="1" fillId="0" borderId="0" xfId="0" applyNumberFormat="1" applyFont="1"/>
    <xf numFmtId="0" fontId="41" fillId="0" borderId="0" xfId="0" applyFont="1" applyAlignment="1">
      <alignment horizontal="center"/>
    </xf>
    <xf numFmtId="0" fontId="41"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7"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7" fillId="0" borderId="0" xfId="0" applyFont="1" applyAlignment="1">
      <alignment horizontal="center" wrapText="1"/>
    </xf>
    <xf numFmtId="0" fontId="12" fillId="12" borderId="0" xfId="0" applyFont="1" applyFill="1"/>
    <xf numFmtId="0" fontId="12" fillId="0" borderId="0" xfId="0" applyFont="1"/>
    <xf numFmtId="0" fontId="28" fillId="29"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9" fillId="0" borderId="6"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wrapText="1"/>
    </xf>
    <xf numFmtId="0" fontId="9" fillId="0" borderId="2" xfId="0" applyFont="1" applyBorder="1" applyAlignment="1">
      <alignment horizontal="center" wrapText="1"/>
    </xf>
    <xf numFmtId="0" fontId="6" fillId="0" borderId="3" xfId="0" applyFont="1" applyBorder="1" applyAlignment="1">
      <alignment horizontal="left" wrapText="1"/>
    </xf>
    <xf numFmtId="0" fontId="6" fillId="0" borderId="6"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34" xfId="0" applyFont="1" applyBorder="1" applyAlignment="1">
      <alignment horizontal="center"/>
    </xf>
    <xf numFmtId="0" fontId="1" fillId="0" borderId="41" xfId="0" applyFont="1" applyBorder="1" applyAlignment="1">
      <alignment horizontal="center"/>
    </xf>
    <xf numFmtId="0" fontId="1" fillId="0" borderId="31" xfId="0" applyFont="1" applyBorder="1" applyAlignment="1">
      <alignment horizontal="center"/>
    </xf>
    <xf numFmtId="0" fontId="1" fillId="0" borderId="42" xfId="0" applyFont="1" applyBorder="1" applyAlignment="1">
      <alignment horizontal="center"/>
    </xf>
    <xf numFmtId="0" fontId="16" fillId="0" borderId="0" xfId="0" applyFont="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wrapText="1"/>
    </xf>
    <xf numFmtId="0" fontId="1" fillId="0" borderId="0" xfId="0" applyFont="1" applyAlignment="1">
      <alignment horizontal="left" wrapText="1"/>
    </xf>
    <xf numFmtId="0" fontId="16"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3" fillId="11" borderId="3" xfId="0" applyFont="1" applyFill="1" applyBorder="1" applyAlignment="1">
      <alignment horizontal="center"/>
    </xf>
    <xf numFmtId="0" fontId="17" fillId="11" borderId="5" xfId="0" applyFont="1" applyFill="1" applyBorder="1" applyAlignment="1">
      <alignment horizontal="center" wrapText="1"/>
    </xf>
    <xf numFmtId="0" fontId="17" fillId="11" borderId="6" xfId="0" applyFont="1" applyFill="1" applyBorder="1" applyAlignment="1">
      <alignment horizontal="center" wrapText="1"/>
    </xf>
    <xf numFmtId="0" fontId="17" fillId="11" borderId="1" xfId="0" applyFont="1" applyFill="1" applyBorder="1" applyAlignment="1">
      <alignment horizontal="center" wrapText="1"/>
    </xf>
    <xf numFmtId="0" fontId="17" fillId="11" borderId="0" xfId="0" applyFont="1" applyFill="1" applyAlignment="1">
      <alignment horizontal="center" wrapText="1"/>
    </xf>
    <xf numFmtId="0" fontId="17" fillId="11" borderId="4" xfId="0" applyFont="1" applyFill="1" applyBorder="1" applyAlignment="1">
      <alignment horizontal="center" wrapText="1"/>
    </xf>
    <xf numFmtId="0" fontId="17" fillId="11" borderId="8" xfId="0" applyFont="1" applyFill="1" applyBorder="1" applyAlignment="1">
      <alignment horizontal="center" wrapText="1"/>
    </xf>
    <xf numFmtId="0" fontId="3" fillId="11" borderId="6" xfId="0" applyFont="1" applyFill="1" applyBorder="1" applyAlignment="1">
      <alignment horizontal="center"/>
    </xf>
    <xf numFmtId="0" fontId="17" fillId="11" borderId="45" xfId="0" applyFont="1" applyFill="1" applyBorder="1" applyAlignment="1">
      <alignment horizontal="center"/>
    </xf>
    <xf numFmtId="0" fontId="17" fillId="11" borderId="46" xfId="0" applyFont="1" applyFill="1" applyBorder="1" applyAlignment="1">
      <alignment horizontal="center"/>
    </xf>
    <xf numFmtId="0" fontId="17" fillId="11" borderId="3" xfId="0" applyFont="1" applyFill="1" applyBorder="1" applyAlignment="1">
      <alignment horizontal="center"/>
    </xf>
    <xf numFmtId="0" fontId="17" fillId="11" borderId="6" xfId="0" applyFont="1" applyFill="1" applyBorder="1" applyAlignment="1">
      <alignment horizontal="center"/>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3"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3" xfId="0" applyFont="1" applyFill="1" applyBorder="1" applyAlignment="1">
      <alignment horizontal="center"/>
    </xf>
    <xf numFmtId="0" fontId="1" fillId="11" borderId="5" xfId="0" applyFont="1" applyFill="1" applyBorder="1" applyAlignment="1">
      <alignment horizontal="center" wrapText="1"/>
    </xf>
    <xf numFmtId="0" fontId="1" fillId="11" borderId="3" xfId="0" applyFont="1" applyFill="1" applyBorder="1" applyAlignment="1">
      <alignment horizontal="center" wrapText="1"/>
    </xf>
    <xf numFmtId="0" fontId="1" fillId="11" borderId="6" xfId="0" applyFont="1" applyFill="1" applyBorder="1" applyAlignment="1">
      <alignment horizontal="center" wrapText="1"/>
    </xf>
    <xf numFmtId="0" fontId="20" fillId="11" borderId="5" xfId="0" applyFont="1" applyFill="1" applyBorder="1" applyAlignment="1">
      <alignment horizontal="center"/>
    </xf>
    <xf numFmtId="0" fontId="20" fillId="11" borderId="3" xfId="0" applyFont="1" applyFill="1" applyBorder="1" applyAlignment="1">
      <alignment horizontal="center"/>
    </xf>
    <xf numFmtId="0" fontId="20" fillId="11" borderId="6"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11" borderId="5" xfId="0" applyFont="1" applyFill="1" applyBorder="1" applyAlignment="1">
      <alignment horizontal="right"/>
    </xf>
    <xf numFmtId="0" fontId="1" fillId="11" borderId="3" xfId="0" applyFont="1" applyFill="1" applyBorder="1" applyAlignment="1">
      <alignment horizontal="right"/>
    </xf>
    <xf numFmtId="0" fontId="22" fillId="0" borderId="0" xfId="0" applyFont="1" applyAlignment="1">
      <alignment horizontal="center"/>
    </xf>
    <xf numFmtId="0" fontId="17" fillId="0" borderId="0" xfId="0" applyFont="1" applyAlignment="1">
      <alignment horizontal="left" vertical="top" wrapText="1"/>
    </xf>
    <xf numFmtId="0" fontId="17" fillId="11" borderId="5" xfId="0" applyFont="1" applyFill="1" applyBorder="1" applyAlignment="1">
      <alignment horizontal="center"/>
    </xf>
    <xf numFmtId="0" fontId="17" fillId="11" borderId="1" xfId="0" applyFont="1" applyFill="1" applyBorder="1" applyAlignment="1">
      <alignment horizontal="center"/>
    </xf>
    <xf numFmtId="0" fontId="17" fillId="11" borderId="7" xfId="0" applyFont="1" applyFill="1" applyBorder="1" applyAlignment="1">
      <alignment horizont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3" fillId="7" borderId="6" xfId="0" applyFont="1" applyFill="1" applyBorder="1" applyAlignment="1">
      <alignment horizontal="center"/>
    </xf>
    <xf numFmtId="0" fontId="3" fillId="11" borderId="5" xfId="0" applyFont="1" applyFill="1" applyBorder="1" applyAlignment="1">
      <alignment horizontal="right"/>
    </xf>
    <xf numFmtId="0" fontId="3" fillId="11" borderId="6" xfId="0" applyFont="1" applyFill="1" applyBorder="1" applyAlignment="1">
      <alignment horizontal="right"/>
    </xf>
    <xf numFmtId="0" fontId="17" fillId="11" borderId="44" xfId="0" applyFont="1" applyFill="1" applyBorder="1" applyAlignment="1">
      <alignment horizontal="center"/>
    </xf>
    <xf numFmtId="0" fontId="17" fillId="7" borderId="45" xfId="0" applyFont="1" applyFill="1" applyBorder="1" applyAlignment="1">
      <alignment horizontal="center"/>
    </xf>
    <xf numFmtId="0" fontId="17" fillId="7" borderId="46" xfId="0" applyFont="1" applyFill="1" applyBorder="1" applyAlignment="1">
      <alignment horizontal="center"/>
    </xf>
    <xf numFmtId="0" fontId="17" fillId="7" borderId="44" xfId="0" applyFont="1" applyFill="1" applyBorder="1" applyAlignment="1">
      <alignment horizontal="center"/>
    </xf>
    <xf numFmtId="0" fontId="3" fillId="0" borderId="1" xfId="0" applyFont="1" applyBorder="1" applyAlignment="1">
      <alignment horizontal="left" vertical="top" wrapText="1"/>
    </xf>
    <xf numFmtId="0" fontId="17" fillId="11" borderId="4" xfId="0" applyFont="1" applyFill="1" applyBorder="1" applyAlignment="1">
      <alignment horizontal="center"/>
    </xf>
    <xf numFmtId="0" fontId="17" fillId="11" borderId="2"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11" borderId="7" xfId="0" applyFont="1" applyFill="1" applyBorder="1" applyAlignment="1">
      <alignment horizontal="center"/>
    </xf>
    <xf numFmtId="0" fontId="17" fillId="13" borderId="45" xfId="0" applyFont="1" applyFill="1" applyBorder="1" applyAlignment="1">
      <alignment horizontal="center" vertical="center" wrapText="1"/>
    </xf>
    <xf numFmtId="0" fontId="17" fillId="13" borderId="46" xfId="0" applyFont="1" applyFill="1" applyBorder="1" applyAlignment="1">
      <alignment horizontal="center" vertical="center" wrapText="1"/>
    </xf>
    <xf numFmtId="0" fontId="17" fillId="13" borderId="3" xfId="0" applyFont="1" applyFill="1" applyBorder="1" applyAlignment="1">
      <alignment horizontal="center" vertical="center" wrapText="1"/>
    </xf>
    <xf numFmtId="0" fontId="17" fillId="13" borderId="6" xfId="0" applyFont="1" applyFill="1" applyBorder="1" applyAlignment="1">
      <alignment horizontal="center" vertical="center" wrapText="1"/>
    </xf>
    <xf numFmtId="0" fontId="3" fillId="0" borderId="7" xfId="0" applyFont="1" applyBorder="1" applyAlignment="1">
      <alignment horizontal="center" wrapText="1"/>
    </xf>
    <xf numFmtId="0" fontId="17" fillId="0" borderId="0" xfId="0" applyFont="1" applyAlignment="1">
      <alignment horizontal="center"/>
    </xf>
    <xf numFmtId="0" fontId="17" fillId="0" borderId="0" xfId="0" applyFont="1" applyAlignment="1">
      <alignment horizontal="left" wrapText="1"/>
    </xf>
    <xf numFmtId="0" fontId="17" fillId="11" borderId="0" xfId="0" applyFont="1" applyFill="1" applyAlignment="1">
      <alignment horizontal="center"/>
    </xf>
    <xf numFmtId="0" fontId="17" fillId="11" borderId="8" xfId="0" applyFont="1" applyFill="1" applyBorder="1" applyAlignment="1">
      <alignment horizontal="center"/>
    </xf>
    <xf numFmtId="0" fontId="17" fillId="7" borderId="43" xfId="0" applyFont="1" applyFill="1" applyBorder="1" applyAlignment="1">
      <alignment horizontal="center"/>
    </xf>
    <xf numFmtId="0" fontId="17" fillId="0" borderId="1" xfId="0" applyFont="1" applyBorder="1" applyAlignment="1">
      <alignment horizontal="center" wrapText="1"/>
    </xf>
    <xf numFmtId="0" fontId="3" fillId="0" borderId="0" xfId="0" applyFont="1" applyAlignment="1">
      <alignment horizontal="center" wrapText="1"/>
    </xf>
    <xf numFmtId="0" fontId="17" fillId="11" borderId="5" xfId="0" applyFont="1" applyFill="1" applyBorder="1" applyAlignment="1">
      <alignment horizontal="center" vertical="center" wrapText="1"/>
    </xf>
    <xf numFmtId="0" fontId="17" fillId="11" borderId="6"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7" fillId="0" borderId="1" xfId="0" applyFont="1" applyBorder="1" applyAlignment="1">
      <alignment horizontal="center" vertical="top" wrapText="1"/>
    </xf>
    <xf numFmtId="0" fontId="17" fillId="0" borderId="0" xfId="0" applyFont="1" applyAlignment="1">
      <alignment horizontal="center" vertical="top" wrapText="1"/>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0" fontId="17" fillId="0" borderId="5" xfId="0" applyFont="1" applyBorder="1" applyAlignment="1">
      <alignment horizontal="center" wrapText="1"/>
    </xf>
    <xf numFmtId="0" fontId="17" fillId="0" borderId="3"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0" fontId="30" fillId="0" borderId="0" xfId="0" applyFont="1" applyAlignment="1">
      <alignment horizontal="left" vertical="top" wrapText="1"/>
    </xf>
    <xf numFmtId="0" fontId="3" fillId="0" borderId="4"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7"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7" xfId="0" applyFont="1" applyFill="1" applyBorder="1" applyAlignment="1">
      <alignment horizontal="left" vertical="top" wrapText="1" indent="3"/>
    </xf>
    <xf numFmtId="0" fontId="32"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7" fillId="13" borderId="0" xfId="0" applyFont="1" applyFill="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0" fontId="3" fillId="0" borderId="8" xfId="0" applyFont="1" applyBorder="1" applyAlignment="1">
      <alignment horizontal="left" vertical="top" wrapText="1"/>
    </xf>
    <xf numFmtId="0" fontId="17" fillId="0" borderId="5" xfId="0" applyFont="1" applyBorder="1" applyAlignment="1">
      <alignment horizontal="left"/>
    </xf>
    <xf numFmtId="0" fontId="17" fillId="0" borderId="3"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7" fillId="0" borderId="6" xfId="0" applyFont="1" applyBorder="1" applyAlignment="1">
      <alignment horizontal="center"/>
    </xf>
    <xf numFmtId="0" fontId="17" fillId="0" borderId="1" xfId="0" applyFont="1" applyBorder="1" applyAlignment="1">
      <alignment horizontal="center"/>
    </xf>
    <xf numFmtId="0" fontId="17" fillId="0" borderId="7" xfId="0" applyFont="1" applyBorder="1" applyAlignment="1">
      <alignment horizontal="center"/>
    </xf>
    <xf numFmtId="0" fontId="17" fillId="0" borderId="4" xfId="0" applyFont="1" applyBorder="1" applyAlignment="1">
      <alignment horizontal="center"/>
    </xf>
    <xf numFmtId="0" fontId="17"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0" fontId="17" fillId="11" borderId="45" xfId="0" applyFont="1" applyFill="1" applyBorder="1" applyAlignment="1">
      <alignment horizontal="center" wrapText="1"/>
    </xf>
    <xf numFmtId="0" fontId="17" fillId="11" borderId="46" xfId="0" applyFont="1" applyFill="1" applyBorder="1" applyAlignment="1">
      <alignment horizontal="center" wrapText="1"/>
    </xf>
    <xf numFmtId="0" fontId="17" fillId="11" borderId="44" xfId="0" applyFont="1" applyFill="1" applyBorder="1" applyAlignment="1">
      <alignment horizontal="center" wrapText="1"/>
    </xf>
    <xf numFmtId="0" fontId="3" fillId="0" borderId="0" xfId="0" applyFont="1" applyAlignment="1">
      <alignment horizontal="left" vertical="center" wrapText="1"/>
    </xf>
    <xf numFmtId="3" fontId="17" fillId="0" borderId="0" xfId="0" applyNumberFormat="1" applyFont="1" applyAlignment="1">
      <alignment horizontal="left" wrapText="1"/>
    </xf>
    <xf numFmtId="3" fontId="17"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0" fontId="17"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176" fontId="4" fillId="0" borderId="0" xfId="0" applyNumberFormat="1" applyFont="1"/>
    <xf numFmtId="176" fontId="1" fillId="0" borderId="0" xfId="0" applyNumberFormat="1" applyFont="1" applyAlignment="1">
      <alignment wrapText="1"/>
    </xf>
    <xf numFmtId="176" fontId="1" fillId="0" borderId="0" xfId="0" applyNumberFormat="1" applyFont="1"/>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2717.7</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2085.0641493045246</c:v>
                </c:pt>
                <c:pt idx="12">
                  <c:v>2109.6724974989102</c:v>
                </c:pt>
                <c:pt idx="13">
                  <c:v>2140.9020181235519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2146.8825394285714</c:v>
                </c:pt>
                <c:pt idx="11">
                  <c:v>2209.4812680002428</c:v>
                </c:pt>
                <c:pt idx="12">
                  <c:v>2247.4975774928153</c:v>
                </c:pt>
                <c:pt idx="13">
                  <c:v>2286.722656551101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2131.4641493045247</c:v>
                </c:pt>
                <c:pt idx="12">
                  <c:v>2154.2724974989101</c:v>
                </c:pt>
                <c:pt idx="13">
                  <c:v>2182.7020181235521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1926.0641493045246</c:v>
                      </c:pt>
                      <c:pt idx="12">
                        <c:v>1949.6724974989102</c:v>
                      </c:pt>
                      <c:pt idx="13">
                        <c:v>1981.9020181235521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90054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13</xdr:row>
      <xdr:rowOff>32905</xdr:rowOff>
    </xdr:from>
    <xdr:to>
      <xdr:col>20</xdr:col>
      <xdr:colOff>561975</xdr:colOff>
      <xdr:row>17</xdr:row>
      <xdr:rowOff>23379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20955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53340</xdr:rowOff>
    </xdr:from>
    <xdr:to>
      <xdr:col>4</xdr:col>
      <xdr:colOff>800100</xdr:colOff>
      <xdr:row>68</xdr:row>
      <xdr:rowOff>129540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20955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105</xdr:row>
      <xdr:rowOff>152400</xdr:rowOff>
    </xdr:from>
    <xdr:to>
      <xdr:col>20</xdr:col>
      <xdr:colOff>381000</xdr:colOff>
      <xdr:row>109</xdr:row>
      <xdr:rowOff>28575</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129540</xdr:colOff>
      <xdr:row>104</xdr:row>
      <xdr:rowOff>83820</xdr:rowOff>
    </xdr:from>
    <xdr:to>
      <xdr:col>20</xdr:col>
      <xdr:colOff>381000</xdr:colOff>
      <xdr:row>108</xdr:row>
      <xdr:rowOff>38100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121920</xdr:colOff>
      <xdr:row>104</xdr:row>
      <xdr:rowOff>76200</xdr:rowOff>
    </xdr:from>
    <xdr:to>
      <xdr:col>20</xdr:col>
      <xdr:colOff>381000</xdr:colOff>
      <xdr:row>108</xdr:row>
      <xdr:rowOff>38100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472816</xdr:colOff>
      <xdr:row>67</xdr:row>
      <xdr:rowOff>62344</xdr:rowOff>
    </xdr:from>
    <xdr:to>
      <xdr:col>38</xdr:col>
      <xdr:colOff>664443</xdr:colOff>
      <xdr:row>67</xdr:row>
      <xdr:rowOff>62344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67</xdr:row>
      <xdr:rowOff>62344</xdr:rowOff>
    </xdr:from>
    <xdr:to>
      <xdr:col>38</xdr:col>
      <xdr:colOff>550143</xdr:colOff>
      <xdr:row>68</xdr:row>
      <xdr:rowOff>253180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75</xdr:row>
      <xdr:rowOff>85863</xdr:rowOff>
    </xdr:from>
    <xdr:to>
      <xdr:col>38</xdr:col>
      <xdr:colOff>550143</xdr:colOff>
      <xdr:row>75</xdr:row>
      <xdr:rowOff>85863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75</xdr:row>
      <xdr:rowOff>85863</xdr:rowOff>
    </xdr:from>
    <xdr:to>
      <xdr:col>38</xdr:col>
      <xdr:colOff>626343</xdr:colOff>
      <xdr:row>75</xdr:row>
      <xdr:rowOff>85863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67</xdr:row>
      <xdr:rowOff>62344</xdr:rowOff>
    </xdr:from>
    <xdr:to>
      <xdr:col>38</xdr:col>
      <xdr:colOff>626343</xdr:colOff>
      <xdr:row>67</xdr:row>
      <xdr:rowOff>62344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664443</xdr:colOff>
      <xdr:row>47</xdr:row>
      <xdr:rowOff>1027611</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47</xdr:row>
      <xdr:rowOff>1027611</xdr:rowOff>
    </xdr:from>
    <xdr:to>
      <xdr:col>38</xdr:col>
      <xdr:colOff>550143</xdr:colOff>
      <xdr:row>52</xdr:row>
      <xdr:rowOff>27437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55</xdr:row>
      <xdr:rowOff>7066</xdr:rowOff>
    </xdr:from>
    <xdr:to>
      <xdr:col>38</xdr:col>
      <xdr:colOff>550143</xdr:colOff>
      <xdr:row>55</xdr:row>
      <xdr:rowOff>26116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7066</xdr:rowOff>
    </xdr:from>
    <xdr:to>
      <xdr:col>38</xdr:col>
      <xdr:colOff>626343</xdr:colOff>
      <xdr:row>55</xdr:row>
      <xdr:rowOff>26116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626343</xdr:colOff>
      <xdr:row>47</xdr:row>
      <xdr:rowOff>1027611</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647700</xdr:colOff>
      <xdr:row>44</xdr:row>
      <xdr:rowOff>118322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104352</xdr:rowOff>
    </xdr:from>
    <xdr:to>
      <xdr:col>38</xdr:col>
      <xdr:colOff>514350</xdr:colOff>
      <xdr:row>47</xdr:row>
      <xdr:rowOff>1079288</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846</xdr:rowOff>
    </xdr:from>
    <xdr:to>
      <xdr:col>38</xdr:col>
      <xdr:colOff>590550</xdr:colOff>
      <xdr:row>50</xdr:row>
      <xdr:rowOff>118957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590550</xdr:colOff>
      <xdr:row>44</xdr:row>
      <xdr:rowOff>118322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647700</xdr:colOff>
      <xdr:row>44</xdr:row>
      <xdr:rowOff>120862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119592</xdr:rowOff>
    </xdr:from>
    <xdr:to>
      <xdr:col>38</xdr:col>
      <xdr:colOff>514350</xdr:colOff>
      <xdr:row>47</xdr:row>
      <xdr:rowOff>1079288</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846</xdr:rowOff>
    </xdr:from>
    <xdr:to>
      <xdr:col>38</xdr:col>
      <xdr:colOff>590550</xdr:colOff>
      <xdr:row>50</xdr:row>
      <xdr:rowOff>118957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590550</xdr:colOff>
      <xdr:row>44</xdr:row>
      <xdr:rowOff>120862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647700</xdr:colOff>
      <xdr:row>44</xdr:row>
      <xdr:rowOff>141182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121497</xdr:rowOff>
    </xdr:from>
    <xdr:to>
      <xdr:col>38</xdr:col>
      <xdr:colOff>514350</xdr:colOff>
      <xdr:row>47</xdr:row>
      <xdr:rowOff>1079288</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2751</xdr:rowOff>
    </xdr:from>
    <xdr:to>
      <xdr:col>38</xdr:col>
      <xdr:colOff>514350</xdr:colOff>
      <xdr:row>50</xdr:row>
      <xdr:rowOff>118957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2751</xdr:rowOff>
    </xdr:from>
    <xdr:to>
      <xdr:col>38</xdr:col>
      <xdr:colOff>590550</xdr:colOff>
      <xdr:row>50</xdr:row>
      <xdr:rowOff>118957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590550</xdr:colOff>
      <xdr:row>44</xdr:row>
      <xdr:rowOff>141182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647700</xdr:colOff>
      <xdr:row>59</xdr:row>
      <xdr:rowOff>381000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91440</xdr:rowOff>
    </xdr:from>
    <xdr:to>
      <xdr:col>38</xdr:col>
      <xdr:colOff>495300</xdr:colOff>
      <xdr:row>69</xdr:row>
      <xdr:rowOff>304800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571500</xdr:colOff>
      <xdr:row>59</xdr:row>
      <xdr:rowOff>381000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45720</xdr:rowOff>
    </xdr:from>
    <xdr:to>
      <xdr:col>20</xdr:col>
      <xdr:colOff>167640</xdr:colOff>
      <xdr:row>37</xdr:row>
      <xdr:rowOff>160020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647700</xdr:colOff>
      <xdr:row>59</xdr:row>
      <xdr:rowOff>381000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83820</xdr:rowOff>
    </xdr:from>
    <xdr:to>
      <xdr:col>38</xdr:col>
      <xdr:colOff>495300</xdr:colOff>
      <xdr:row>69</xdr:row>
      <xdr:rowOff>304800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571500</xdr:colOff>
      <xdr:row>59</xdr:row>
      <xdr:rowOff>381000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160020</xdr:colOff>
      <xdr:row>37</xdr:row>
      <xdr:rowOff>152400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95250</xdr:rowOff>
    </xdr:from>
    <xdr:to>
      <xdr:col>21</xdr:col>
      <xdr:colOff>219075</xdr:colOff>
      <xdr:row>60</xdr:row>
      <xdr:rowOff>85725</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95250</xdr:rowOff>
    </xdr:from>
    <xdr:to>
      <xdr:col>21</xdr:col>
      <xdr:colOff>219075</xdr:colOff>
      <xdr:row>21</xdr:row>
      <xdr:rowOff>85725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180975</xdr:rowOff>
    </xdr:from>
    <xdr:to>
      <xdr:col>22</xdr:col>
      <xdr:colOff>219075</xdr:colOff>
      <xdr:row>46</xdr:row>
      <xdr:rowOff>28575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83820</xdr:rowOff>
    </xdr:from>
    <xdr:to>
      <xdr:col>21</xdr:col>
      <xdr:colOff>205740</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83820</xdr:rowOff>
    </xdr:from>
    <xdr:to>
      <xdr:col>21</xdr:col>
      <xdr:colOff>205740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167640</xdr:rowOff>
    </xdr:from>
    <xdr:to>
      <xdr:col>22</xdr:col>
      <xdr:colOff>205740</xdr:colOff>
      <xdr:row>46</xdr:row>
      <xdr:rowOff>15240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198120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198120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160020</xdr:rowOff>
    </xdr:from>
    <xdr:to>
      <xdr:col>22</xdr:col>
      <xdr:colOff>198120</xdr:colOff>
      <xdr:row>46</xdr:row>
      <xdr:rowOff>7620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1735999</xdr:colOff>
      <xdr:row>12</xdr:row>
      <xdr:rowOff>250402</xdr:rowOff>
    </xdr:from>
    <xdr:to>
      <xdr:col>3</xdr:col>
      <xdr:colOff>478427</xdr:colOff>
      <xdr:row>15</xdr:row>
      <xdr:rowOff>174202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1735999</xdr:colOff>
      <xdr:row>12</xdr:row>
      <xdr:rowOff>250402</xdr:rowOff>
    </xdr:from>
    <xdr:to>
      <xdr:col>3</xdr:col>
      <xdr:colOff>478427</xdr:colOff>
      <xdr:row>15</xdr:row>
      <xdr:rowOff>174202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209974</xdr:rowOff>
    </xdr:from>
    <xdr:to>
      <xdr:col>4</xdr:col>
      <xdr:colOff>0</xdr:colOff>
      <xdr:row>15</xdr:row>
      <xdr:rowOff>135678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129963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169969</xdr:rowOff>
    </xdr:from>
    <xdr:to>
      <xdr:col>4</xdr:col>
      <xdr:colOff>0</xdr:colOff>
      <xdr:row>15</xdr:row>
      <xdr:rowOff>129963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55245</xdr:rowOff>
    </xdr:from>
    <xdr:to>
      <xdr:col>6</xdr:col>
      <xdr:colOff>0</xdr:colOff>
      <xdr:row>25</xdr:row>
      <xdr:rowOff>62087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55245</xdr:rowOff>
    </xdr:from>
    <xdr:to>
      <xdr:col>6</xdr:col>
      <xdr:colOff>0</xdr:colOff>
      <xdr:row>25</xdr:row>
      <xdr:rowOff>62087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23</xdr:row>
      <xdr:rowOff>121920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20</xdr:row>
      <xdr:rowOff>93345</xdr:rowOff>
    </xdr:from>
    <xdr:to>
      <xdr:col>4</xdr:col>
      <xdr:colOff>438150</xdr:colOff>
      <xdr:row>23</xdr:row>
      <xdr:rowOff>7620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434340</xdr:colOff>
      <xdr:row>23</xdr:row>
      <xdr:rowOff>7620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438150</xdr:colOff>
      <xdr:row>23</xdr:row>
      <xdr:rowOff>7620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419100</xdr:colOff>
      <xdr:row>23</xdr:row>
      <xdr:rowOff>7620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21431</xdr:rowOff>
    </xdr:from>
    <xdr:to>
      <xdr:col>11</xdr:col>
      <xdr:colOff>342900</xdr:colOff>
      <xdr:row>104</xdr:row>
      <xdr:rowOff>21431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140970</xdr:rowOff>
    </xdr:from>
    <xdr:to>
      <xdr:col>4</xdr:col>
      <xdr:colOff>209550</xdr:colOff>
      <xdr:row>55</xdr:row>
      <xdr:rowOff>144780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21431</xdr:rowOff>
    </xdr:from>
    <xdr:to>
      <xdr:col>11</xdr:col>
      <xdr:colOff>342900</xdr:colOff>
      <xdr:row>104</xdr:row>
      <xdr:rowOff>21431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57484</xdr:rowOff>
    </xdr:from>
    <xdr:to>
      <xdr:col>5</xdr:col>
      <xdr:colOff>190500</xdr:colOff>
      <xdr:row>81</xdr:row>
      <xdr:rowOff>94314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55216</xdr:rowOff>
    </xdr:from>
    <xdr:to>
      <xdr:col>5</xdr:col>
      <xdr:colOff>190500</xdr:colOff>
      <xdr:row>82</xdr:row>
      <xdr:rowOff>94314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96339</xdr:rowOff>
    </xdr:from>
    <xdr:to>
      <xdr:col>5</xdr:col>
      <xdr:colOff>190500</xdr:colOff>
      <xdr:row>84</xdr:row>
      <xdr:rowOff>95372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54610</xdr:rowOff>
    </xdr:from>
    <xdr:to>
      <xdr:col>5</xdr:col>
      <xdr:colOff>190500</xdr:colOff>
      <xdr:row>131</xdr:row>
      <xdr:rowOff>15904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172176</xdr:rowOff>
    </xdr:from>
    <xdr:to>
      <xdr:col>5</xdr:col>
      <xdr:colOff>190500</xdr:colOff>
      <xdr:row>115</xdr:row>
      <xdr:rowOff>95703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63</xdr:row>
      <xdr:rowOff>130871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168064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136495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18264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130810</xdr:rowOff>
    </xdr:from>
    <xdr:to>
      <xdr:col>19</xdr:col>
      <xdr:colOff>666750</xdr:colOff>
      <xdr:row>15</xdr:row>
      <xdr:rowOff>132292</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21561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53885</xdr:rowOff>
    </xdr:from>
    <xdr:to>
      <xdr:col>5</xdr:col>
      <xdr:colOff>190500</xdr:colOff>
      <xdr:row>62</xdr:row>
      <xdr:rowOff>97458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55488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135679</xdr:rowOff>
    </xdr:from>
    <xdr:to>
      <xdr:col>5</xdr:col>
      <xdr:colOff>190500</xdr:colOff>
      <xdr:row>64</xdr:row>
      <xdr:rowOff>57332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16995</xdr:rowOff>
    </xdr:from>
    <xdr:to>
      <xdr:col>5</xdr:col>
      <xdr:colOff>190500</xdr:colOff>
      <xdr:row>110</xdr:row>
      <xdr:rowOff>97487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288593</xdr:rowOff>
    </xdr:from>
    <xdr:to>
      <xdr:col>5</xdr:col>
      <xdr:colOff>190500</xdr:colOff>
      <xdr:row>95</xdr:row>
      <xdr:rowOff>168306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207373</xdr:rowOff>
    </xdr:from>
    <xdr:to>
      <xdr:col>5</xdr:col>
      <xdr:colOff>190500</xdr:colOff>
      <xdr:row>55</xdr:row>
      <xdr:rowOff>59661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51</xdr:row>
      <xdr:rowOff>21712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44</xdr:row>
      <xdr:rowOff>19353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210004</xdr:rowOff>
    </xdr:from>
    <xdr:to>
      <xdr:col>5</xdr:col>
      <xdr:colOff>190500</xdr:colOff>
      <xdr:row>43</xdr:row>
      <xdr:rowOff>98455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173083</xdr:rowOff>
    </xdr:from>
    <xdr:to>
      <xdr:col>5</xdr:col>
      <xdr:colOff>190500</xdr:colOff>
      <xdr:row>42</xdr:row>
      <xdr:rowOff>131838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326693</xdr:rowOff>
    </xdr:from>
    <xdr:to>
      <xdr:col>6</xdr:col>
      <xdr:colOff>38100</xdr:colOff>
      <xdr:row>93</xdr:row>
      <xdr:rowOff>92106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94615</xdr:rowOff>
    </xdr:from>
    <xdr:to>
      <xdr:col>19</xdr:col>
      <xdr:colOff>647700</xdr:colOff>
      <xdr:row>15</xdr:row>
      <xdr:rowOff>132292</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15663</xdr:rowOff>
    </xdr:from>
    <xdr:to>
      <xdr:col>5</xdr:col>
      <xdr:colOff>190500</xdr:colOff>
      <xdr:row>84</xdr:row>
      <xdr:rowOff>59055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208068</xdr:rowOff>
    </xdr:from>
    <xdr:to>
      <xdr:col>5</xdr:col>
      <xdr:colOff>190500</xdr:colOff>
      <xdr:row>85</xdr:row>
      <xdr:rowOff>59055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80</xdr:row>
      <xdr:rowOff>170392</xdr:rowOff>
    </xdr:from>
    <xdr:to>
      <xdr:col>5</xdr:col>
      <xdr:colOff>190500</xdr:colOff>
      <xdr:row>85</xdr:row>
      <xdr:rowOff>171450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82</xdr:row>
      <xdr:rowOff>54187</xdr:rowOff>
    </xdr:from>
    <xdr:to>
      <xdr:col>5</xdr:col>
      <xdr:colOff>190500</xdr:colOff>
      <xdr:row>86</xdr:row>
      <xdr:rowOff>17568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107</xdr:row>
      <xdr:rowOff>94615</xdr:rowOff>
    </xdr:from>
    <xdr:to>
      <xdr:col>5</xdr:col>
      <xdr:colOff>190500</xdr:colOff>
      <xdr:row>122</xdr:row>
      <xdr:rowOff>167640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62</xdr:row>
      <xdr:rowOff>58844</xdr:rowOff>
    </xdr:from>
    <xdr:to>
      <xdr:col>5</xdr:col>
      <xdr:colOff>190500</xdr:colOff>
      <xdr:row>81</xdr:row>
      <xdr:rowOff>21802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61</xdr:row>
      <xdr:rowOff>98849</xdr:rowOff>
    </xdr:from>
    <xdr:to>
      <xdr:col>5</xdr:col>
      <xdr:colOff>190500</xdr:colOff>
      <xdr:row>76</xdr:row>
      <xdr:rowOff>15452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60</xdr:row>
      <xdr:rowOff>169122</xdr:rowOff>
    </xdr:from>
    <xdr:to>
      <xdr:col>5</xdr:col>
      <xdr:colOff>190500</xdr:colOff>
      <xdr:row>68</xdr:row>
      <xdr:rowOff>94615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65</xdr:row>
      <xdr:rowOff>133774</xdr:rowOff>
    </xdr:from>
    <xdr:to>
      <xdr:col>5</xdr:col>
      <xdr:colOff>190500</xdr:colOff>
      <xdr:row>67</xdr:row>
      <xdr:rowOff>170815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66</xdr:row>
      <xdr:rowOff>129964</xdr:rowOff>
    </xdr:from>
    <xdr:to>
      <xdr:col>5</xdr:col>
      <xdr:colOff>190500</xdr:colOff>
      <xdr:row>66</xdr:row>
      <xdr:rowOff>133774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94615</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95250</xdr:rowOff>
    </xdr:from>
    <xdr:to>
      <xdr:col>19</xdr:col>
      <xdr:colOff>0</xdr:colOff>
      <xdr:row>31</xdr:row>
      <xdr:rowOff>133350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95250</xdr:rowOff>
    </xdr:from>
    <xdr:to>
      <xdr:col>20</xdr:col>
      <xdr:colOff>0</xdr:colOff>
      <xdr:row>35</xdr:row>
      <xdr:rowOff>133350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52</xdr:row>
      <xdr:rowOff>364279</xdr:rowOff>
    </xdr:from>
    <xdr:to>
      <xdr:col>5</xdr:col>
      <xdr:colOff>190500</xdr:colOff>
      <xdr:row>58</xdr:row>
      <xdr:rowOff>95674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54</xdr:row>
      <xdr:rowOff>17569</xdr:rowOff>
    </xdr:from>
    <xdr:to>
      <xdr:col>5</xdr:col>
      <xdr:colOff>190500</xdr:colOff>
      <xdr:row>59</xdr:row>
      <xdr:rowOff>97579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55</xdr:row>
      <xdr:rowOff>53764</xdr:rowOff>
    </xdr:from>
    <xdr:to>
      <xdr:col>5</xdr:col>
      <xdr:colOff>190500</xdr:colOff>
      <xdr:row>60</xdr:row>
      <xdr:rowOff>17569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56</xdr:row>
      <xdr:rowOff>53764</xdr:rowOff>
    </xdr:from>
    <xdr:to>
      <xdr:col>5</xdr:col>
      <xdr:colOff>190500</xdr:colOff>
      <xdr:row>60</xdr:row>
      <xdr:rowOff>135679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81</xdr:row>
      <xdr:rowOff>117475</xdr:rowOff>
    </xdr:from>
    <xdr:to>
      <xdr:col>5</xdr:col>
      <xdr:colOff>190500</xdr:colOff>
      <xdr:row>95</xdr:row>
      <xdr:rowOff>131868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37</xdr:row>
      <xdr:rowOff>129540</xdr:rowOff>
    </xdr:from>
    <xdr:to>
      <xdr:col>5</xdr:col>
      <xdr:colOff>190500</xdr:colOff>
      <xdr:row>55</xdr:row>
      <xdr:rowOff>15664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511810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363008</xdr:rowOff>
    </xdr:from>
    <xdr:to>
      <xdr:col>5</xdr:col>
      <xdr:colOff>190500</xdr:colOff>
      <xdr:row>42</xdr:row>
      <xdr:rowOff>60113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40</xdr:row>
      <xdr:rowOff>21802</xdr:rowOff>
    </xdr:from>
    <xdr:to>
      <xdr:col>5</xdr:col>
      <xdr:colOff>190500</xdr:colOff>
      <xdr:row>42</xdr:row>
      <xdr:rowOff>22013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41</xdr:row>
      <xdr:rowOff>16299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21378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38524</xdr:rowOff>
    </xdr:from>
    <xdr:to>
      <xdr:col>5</xdr:col>
      <xdr:colOff>190500</xdr:colOff>
      <xdr:row>60</xdr:row>
      <xdr:rowOff>131869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115570</xdr:rowOff>
    </xdr:from>
    <xdr:to>
      <xdr:col>5</xdr:col>
      <xdr:colOff>190500</xdr:colOff>
      <xdr:row>95</xdr:row>
      <xdr:rowOff>129963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511810</xdr:rowOff>
    </xdr:from>
    <xdr:to>
      <xdr:col>5</xdr:col>
      <xdr:colOff>190500</xdr:colOff>
      <xdr:row>49</xdr:row>
      <xdr:rowOff>135890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19897</xdr:rowOff>
    </xdr:from>
    <xdr:to>
      <xdr:col>5</xdr:col>
      <xdr:colOff>190500</xdr:colOff>
      <xdr:row>42</xdr:row>
      <xdr:rowOff>22013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18204</xdr:rowOff>
    </xdr:from>
    <xdr:to>
      <xdr:col>5</xdr:col>
      <xdr:colOff>190500</xdr:colOff>
      <xdr:row>41</xdr:row>
      <xdr:rowOff>22014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17568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358564</xdr:rowOff>
    </xdr:from>
    <xdr:to>
      <xdr:col>5</xdr:col>
      <xdr:colOff>190500</xdr:colOff>
      <xdr:row>58</xdr:row>
      <xdr:rowOff>91864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91864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40429</xdr:rowOff>
    </xdr:from>
    <xdr:to>
      <xdr:col>5</xdr:col>
      <xdr:colOff>190500</xdr:colOff>
      <xdr:row>60</xdr:row>
      <xdr:rowOff>129964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496570</xdr:rowOff>
    </xdr:from>
    <xdr:to>
      <xdr:col>5</xdr:col>
      <xdr:colOff>190500</xdr:colOff>
      <xdr:row>49</xdr:row>
      <xdr:rowOff>135890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20109</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15663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53764</xdr:rowOff>
    </xdr:from>
    <xdr:to>
      <xdr:col>5</xdr:col>
      <xdr:colOff>190500</xdr:colOff>
      <xdr:row>60</xdr:row>
      <xdr:rowOff>131869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475615</xdr:rowOff>
    </xdr:from>
    <xdr:to>
      <xdr:col>5</xdr:col>
      <xdr:colOff>190500</xdr:colOff>
      <xdr:row>49</xdr:row>
      <xdr:rowOff>135890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1059</xdr:rowOff>
    </xdr:from>
    <xdr:to>
      <xdr:col>5</xdr:col>
      <xdr:colOff>190500</xdr:colOff>
      <xdr:row>41</xdr:row>
      <xdr:rowOff>20109</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94615</xdr:rowOff>
    </xdr:from>
    <xdr:to>
      <xdr:col>6</xdr:col>
      <xdr:colOff>38100</xdr:colOff>
      <xdr:row>93</xdr:row>
      <xdr:rowOff>17568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617220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617220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83820</xdr:rowOff>
    </xdr:from>
    <xdr:to>
      <xdr:col>5</xdr:col>
      <xdr:colOff>617220</xdr:colOff>
      <xdr:row>44</xdr:row>
      <xdr:rowOff>45720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617220</xdr:colOff>
      <xdr:row>45</xdr:row>
      <xdr:rowOff>45720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617220</xdr:colOff>
      <xdr:row>46</xdr:row>
      <xdr:rowOff>76200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83820</xdr:rowOff>
    </xdr:from>
    <xdr:to>
      <xdr:col>5</xdr:col>
      <xdr:colOff>617220</xdr:colOff>
      <xdr:row>64</xdr:row>
      <xdr:rowOff>152400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83820</xdr:rowOff>
    </xdr:from>
    <xdr:to>
      <xdr:col>5</xdr:col>
      <xdr:colOff>617220</xdr:colOff>
      <xdr:row>65</xdr:row>
      <xdr:rowOff>152400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83820</xdr:rowOff>
    </xdr:from>
    <xdr:to>
      <xdr:col>5</xdr:col>
      <xdr:colOff>617220</xdr:colOff>
      <xdr:row>66</xdr:row>
      <xdr:rowOff>152400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83820</xdr:rowOff>
    </xdr:from>
    <xdr:to>
      <xdr:col>5</xdr:col>
      <xdr:colOff>617220</xdr:colOff>
      <xdr:row>67</xdr:row>
      <xdr:rowOff>152400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83820</xdr:rowOff>
    </xdr:from>
    <xdr:to>
      <xdr:col>5</xdr:col>
      <xdr:colOff>617220</xdr:colOff>
      <xdr:row>87</xdr:row>
      <xdr:rowOff>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617220</xdr:colOff>
      <xdr:row>88</xdr:row>
      <xdr:rowOff>152400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617220</xdr:colOff>
      <xdr:row>90</xdr:row>
      <xdr:rowOff>152400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6"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31" dT="2022-06-30T18:28:35.88" personId="{104078EE-2393-4C21-9029-18A325FBDB70}" id="{3D5BBFAC-4E76-4F2A-B34F-264D54111B07}">
    <text>May 2022 CBO economic projections row 129 quarterly table</text>
  </threadedComment>
  <threadedComment ref="R32" dT="2022-07-28T09:43:05.00" personId="{104078EE-2393-4C21-9029-18A325FBDB70}" id="{C49E6240-A907-4D0A-9954-9A2A9B1F4C48}">
    <text>Louise, we applied a judgemental gr based on data in the last quarter. Would you want to update the gr based on new data?</text>
  </threadedComment>
  <threadedComment ref="R32" dT="2022-07-28T14:19:09.31" personId="{104078EE-2393-4C21-9029-18A325FBDB70}" id="{7430FEA9-8516-4B56-B1C3-5BBB7552D724}" parentId="{C49E6240-A907-4D0A-9954-9A2A9B1F4C48}">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4" dT="2022-07-28T13:50:14.43" personId="{104078EE-2393-4C21-9029-18A325FBDB70}" id="{7010EE95-CECC-419E-AEDA-DD810575C98C}">
    <text>Should we forecast a negative number for this item?</text>
  </threadedComment>
  <threadedComment ref="R58" dT="2022-04-28T19:15:48.71" personId="{104078EE-2393-4C21-9029-18A325FBDB70}" id="{CE7B7F89-CE41-44FA-BB45-59356CD57AE4}">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5" dT="2021-11-02T13:23:36.94" personId="{58CF8BEC-4104-46F7-BE4F-2C9403635492}" id="{8624CBF8-0C25-4544-B55E-7210BBE07E41}">
    <text>Formula changes to grow by counterfactual pre-covid growth rate</text>
  </threadedComment>
  <threadedComment ref="M75" dT="2021-11-02T13:26:53.83" personId="{58CF8BEC-4104-46F7-BE4F-2C9403635492}" id="{B38BAE8E-DF30-49E2-9F96-90A1041E4DF0}">
    <text>Accounting for step up in social security</text>
  </threadedComment>
  <threadedComment ref="M75"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5546875" defaultRowHeight="14.4" x14ac:dyDescent="0.3"/>
  <cols>
    <col min="2" max="2" width="34.33203125" customWidth="1"/>
    <col min="17" max="17" width="38.44140625" customWidth="1"/>
  </cols>
  <sheetData>
    <row r="10" spans="2:17" x14ac:dyDescent="0.3">
      <c r="B10" s="909" t="s">
        <v>0</v>
      </c>
      <c r="C10" s="910"/>
      <c r="D10" s="910"/>
      <c r="E10" s="910"/>
      <c r="F10" s="910"/>
      <c r="G10" s="910"/>
      <c r="H10" s="910"/>
      <c r="I10" s="910"/>
      <c r="J10" s="910"/>
      <c r="K10" s="910"/>
      <c r="L10" s="910"/>
      <c r="M10" s="910"/>
      <c r="N10" s="910"/>
      <c r="O10" s="910"/>
      <c r="P10" s="910"/>
      <c r="Q10" s="911"/>
    </row>
    <row r="11" spans="2:17" x14ac:dyDescent="0.3">
      <c r="B11" s="912"/>
      <c r="C11" s="913"/>
      <c r="D11" s="913"/>
      <c r="E11" s="913"/>
      <c r="F11" s="913"/>
      <c r="G11" s="913"/>
      <c r="H11" s="913"/>
      <c r="I11" s="913"/>
      <c r="J11" s="913"/>
      <c r="K11" s="913"/>
      <c r="L11" s="913"/>
      <c r="M11" s="913"/>
      <c r="N11" s="913"/>
      <c r="O11" s="913"/>
      <c r="P11" s="913"/>
      <c r="Q11" s="914"/>
    </row>
    <row r="12" spans="2:17" x14ac:dyDescent="0.3">
      <c r="B12" s="8" t="s">
        <v>1</v>
      </c>
      <c r="C12" s="5"/>
      <c r="D12" s="5"/>
      <c r="E12" s="5"/>
      <c r="F12" s="5"/>
      <c r="G12" s="5"/>
      <c r="H12" s="5"/>
      <c r="I12" s="5"/>
      <c r="J12" s="5"/>
      <c r="K12" s="5"/>
      <c r="L12" s="5"/>
      <c r="M12" s="5"/>
      <c r="N12" s="5"/>
      <c r="O12" s="5"/>
      <c r="P12" s="5"/>
      <c r="Q12" s="10"/>
    </row>
    <row r="13" spans="2:17" x14ac:dyDescent="0.3">
      <c r="B13" s="7" t="s">
        <v>2</v>
      </c>
      <c r="C13" s="915" t="s">
        <v>3</v>
      </c>
      <c r="D13" s="915"/>
      <c r="E13" s="915"/>
      <c r="F13" s="915"/>
      <c r="G13" s="915"/>
      <c r="H13" s="915"/>
      <c r="I13" s="915"/>
      <c r="J13" s="915"/>
      <c r="K13" s="915"/>
      <c r="L13" s="915"/>
      <c r="M13" s="915"/>
      <c r="N13" s="915"/>
      <c r="O13" s="915"/>
      <c r="P13" s="915"/>
      <c r="Q13" s="916"/>
    </row>
    <row r="14" spans="2:17" x14ac:dyDescent="0.3">
      <c r="B14" s="7" t="s">
        <v>4</v>
      </c>
      <c r="C14" s="11" t="s">
        <v>5</v>
      </c>
      <c r="D14" s="11"/>
      <c r="E14" s="11"/>
      <c r="F14" s="11"/>
      <c r="G14" s="11"/>
      <c r="H14" s="11"/>
      <c r="I14" s="11"/>
      <c r="J14" s="11"/>
      <c r="K14" s="11"/>
      <c r="L14" s="11"/>
      <c r="M14" s="11"/>
      <c r="N14" s="11"/>
      <c r="O14" s="11"/>
      <c r="P14" s="11"/>
      <c r="Q14" s="12"/>
    </row>
    <row r="15" spans="2:17" x14ac:dyDescent="0.3">
      <c r="B15" s="7" t="s">
        <v>6</v>
      </c>
      <c r="C15" s="11" t="s">
        <v>7</v>
      </c>
      <c r="D15" s="11"/>
      <c r="E15" s="11"/>
      <c r="F15" s="11"/>
      <c r="G15" s="11"/>
      <c r="H15" s="11"/>
      <c r="I15" s="11"/>
      <c r="J15" s="11"/>
      <c r="K15" s="11"/>
      <c r="L15" s="11"/>
      <c r="M15" s="11"/>
      <c r="N15" s="11"/>
      <c r="O15" s="11"/>
      <c r="P15" s="11"/>
      <c r="Q15" s="12"/>
    </row>
    <row r="16" spans="2:17" x14ac:dyDescent="0.3">
      <c r="B16" s="7" t="s">
        <v>8</v>
      </c>
      <c r="C16" s="11" t="s">
        <v>908</v>
      </c>
      <c r="D16" s="11"/>
      <c r="E16" s="11"/>
      <c r="F16" s="11"/>
      <c r="G16" s="11"/>
      <c r="H16" s="11"/>
      <c r="I16" s="11"/>
      <c r="J16" s="11"/>
      <c r="K16" s="11"/>
      <c r="L16" s="11"/>
      <c r="M16" s="11"/>
      <c r="N16" s="11"/>
      <c r="O16" s="11"/>
      <c r="P16" s="11"/>
      <c r="Q16" s="12"/>
    </row>
    <row r="17" spans="2:17" x14ac:dyDescent="0.3">
      <c r="B17" s="7" t="s">
        <v>9</v>
      </c>
      <c r="C17" s="11" t="s">
        <v>10</v>
      </c>
      <c r="D17" s="11"/>
      <c r="E17" s="11"/>
      <c r="F17" s="11"/>
      <c r="G17" s="11"/>
      <c r="H17" s="11"/>
      <c r="I17" s="11"/>
      <c r="J17" s="11"/>
      <c r="K17" s="11"/>
      <c r="L17" s="11"/>
      <c r="M17" s="11"/>
      <c r="N17" s="11"/>
      <c r="O17" s="11"/>
      <c r="P17" s="11"/>
      <c r="Q17" s="12"/>
    </row>
    <row r="18" spans="2:17" x14ac:dyDescent="0.3">
      <c r="B18" s="7" t="s">
        <v>909</v>
      </c>
      <c r="C18" s="11" t="s">
        <v>11</v>
      </c>
      <c r="D18" s="11"/>
      <c r="E18" s="11"/>
      <c r="F18" s="11"/>
      <c r="G18" s="11"/>
      <c r="H18" s="11"/>
      <c r="I18" s="11"/>
      <c r="J18" s="11"/>
      <c r="K18" s="11"/>
      <c r="L18" s="11"/>
      <c r="M18" s="11"/>
      <c r="N18" s="11"/>
      <c r="O18" s="11"/>
      <c r="P18" s="11"/>
      <c r="Q18" s="12"/>
    </row>
    <row r="19" spans="2:17" x14ac:dyDescent="0.3">
      <c r="B19" s="7" t="s">
        <v>12</v>
      </c>
      <c r="C19" s="11" t="s">
        <v>910</v>
      </c>
      <c r="D19" s="11"/>
      <c r="E19" s="11"/>
      <c r="F19" s="11"/>
      <c r="G19" s="11"/>
      <c r="H19" s="11"/>
      <c r="I19" s="11"/>
      <c r="J19" s="11"/>
      <c r="K19" s="11"/>
      <c r="L19" s="11"/>
      <c r="M19" s="11"/>
      <c r="N19" s="11"/>
      <c r="O19" s="11"/>
      <c r="P19" s="11"/>
      <c r="Q19" s="12"/>
    </row>
    <row r="20" spans="2:17" ht="30.75" customHeight="1" x14ac:dyDescent="0.3">
      <c r="B20" s="7" t="s">
        <v>13</v>
      </c>
      <c r="C20" s="907" t="s">
        <v>14</v>
      </c>
      <c r="D20" s="907"/>
      <c r="E20" s="907"/>
      <c r="F20" s="907"/>
      <c r="G20" s="907"/>
      <c r="H20" s="907"/>
      <c r="I20" s="907"/>
      <c r="J20" s="907"/>
      <c r="K20" s="907"/>
      <c r="L20" s="907"/>
      <c r="M20" s="907"/>
      <c r="N20" s="907"/>
      <c r="O20" s="907"/>
      <c r="P20" s="907"/>
      <c r="Q20" s="908"/>
    </row>
    <row r="21" spans="2:17" x14ac:dyDescent="0.3">
      <c r="B21" s="7" t="s">
        <v>15</v>
      </c>
      <c r="C21" s="11" t="s">
        <v>16</v>
      </c>
      <c r="D21" s="11"/>
      <c r="E21" s="11"/>
      <c r="F21" s="11"/>
      <c r="G21" s="11"/>
      <c r="H21" s="11"/>
      <c r="I21" s="11"/>
      <c r="J21" s="11"/>
      <c r="K21" s="11"/>
      <c r="L21" s="11"/>
      <c r="M21" s="11"/>
      <c r="N21" s="11"/>
      <c r="O21" s="11"/>
      <c r="P21" s="11"/>
      <c r="Q21" s="12"/>
    </row>
    <row r="22" spans="2:17" ht="32.25" customHeight="1" x14ac:dyDescent="0.3">
      <c r="B22" s="1" t="s">
        <v>912</v>
      </c>
      <c r="C22" s="907" t="s">
        <v>911</v>
      </c>
      <c r="D22" s="907"/>
      <c r="E22" s="907"/>
      <c r="F22" s="907"/>
      <c r="G22" s="907"/>
      <c r="H22" s="907"/>
      <c r="I22" s="907"/>
      <c r="J22" s="907"/>
      <c r="K22" s="907"/>
      <c r="L22" s="907"/>
      <c r="M22" s="907"/>
      <c r="N22" s="907"/>
      <c r="O22" s="907"/>
      <c r="P22" s="907"/>
      <c r="Q22" s="908"/>
    </row>
    <row r="23" spans="2:17" ht="31.2" customHeight="1" x14ac:dyDescent="0.3">
      <c r="B23" s="7" t="s">
        <v>17</v>
      </c>
      <c r="C23" s="907" t="s">
        <v>913</v>
      </c>
      <c r="D23" s="907"/>
      <c r="E23" s="907"/>
      <c r="F23" s="907"/>
      <c r="G23" s="907"/>
      <c r="H23" s="907"/>
      <c r="I23" s="907"/>
      <c r="J23" s="907"/>
      <c r="K23" s="907"/>
      <c r="L23" s="907"/>
      <c r="M23" s="907"/>
      <c r="N23" s="907"/>
      <c r="O23" s="907"/>
      <c r="P23" s="907"/>
      <c r="Q23" s="908"/>
    </row>
    <row r="24" spans="2:17" x14ac:dyDescent="0.3">
      <c r="B24" s="7" t="s">
        <v>18</v>
      </c>
      <c r="C24" s="11" t="s">
        <v>19</v>
      </c>
      <c r="D24" s="11"/>
      <c r="E24" s="11"/>
      <c r="F24" s="11"/>
      <c r="G24" s="11"/>
      <c r="H24" s="11"/>
      <c r="I24" s="11"/>
      <c r="J24" s="11"/>
      <c r="K24" s="11"/>
      <c r="L24" s="11"/>
      <c r="M24" s="11"/>
      <c r="N24" s="11"/>
      <c r="O24" s="11"/>
      <c r="P24" s="11"/>
      <c r="Q24" s="12"/>
    </row>
    <row r="25" spans="2:17" x14ac:dyDescent="0.3">
      <c r="B25" s="7" t="s">
        <v>20</v>
      </c>
      <c r="C25" s="11" t="s">
        <v>21</v>
      </c>
      <c r="D25" s="11"/>
      <c r="E25" s="11"/>
      <c r="F25" s="11"/>
      <c r="G25" s="11"/>
      <c r="H25" s="11"/>
      <c r="I25" s="11"/>
      <c r="J25" s="11"/>
      <c r="K25" s="11"/>
      <c r="L25" s="11"/>
      <c r="M25" s="11"/>
      <c r="N25" s="11"/>
      <c r="O25" s="11"/>
      <c r="P25" s="11"/>
      <c r="Q25" s="12"/>
    </row>
    <row r="26" spans="2:17" x14ac:dyDescent="0.3">
      <c r="B26" s="7" t="s">
        <v>22</v>
      </c>
      <c r="C26" s="11" t="s">
        <v>23</v>
      </c>
      <c r="D26" s="11"/>
      <c r="E26" s="11"/>
      <c r="F26" s="11"/>
      <c r="G26" s="11"/>
      <c r="H26" s="11"/>
      <c r="I26" s="11"/>
      <c r="J26" s="11"/>
      <c r="K26" s="11"/>
      <c r="L26" s="11"/>
      <c r="M26" s="11"/>
      <c r="N26" s="11"/>
      <c r="O26" s="11"/>
      <c r="P26" s="11"/>
      <c r="Q26" s="12"/>
    </row>
    <row r="27" spans="2:17" x14ac:dyDescent="0.3">
      <c r="B27" s="7" t="s">
        <v>24</v>
      </c>
      <c r="C27" s="11" t="s">
        <v>914</v>
      </c>
      <c r="D27" s="11"/>
      <c r="E27" s="11"/>
      <c r="F27" s="11"/>
      <c r="G27" s="11"/>
      <c r="H27" s="11"/>
      <c r="I27" s="11"/>
      <c r="J27" s="11"/>
      <c r="K27" s="11"/>
      <c r="L27" s="11"/>
      <c r="M27" s="11"/>
      <c r="N27" s="11"/>
      <c r="O27" s="11"/>
      <c r="P27" s="11"/>
      <c r="Q27" s="12"/>
    </row>
    <row r="28" spans="2:17" x14ac:dyDescent="0.3">
      <c r="B28" s="7" t="s">
        <v>25</v>
      </c>
      <c r="C28" s="11" t="s">
        <v>915</v>
      </c>
      <c r="D28" s="11"/>
      <c r="E28" s="11"/>
      <c r="F28" s="11"/>
      <c r="G28" s="11"/>
      <c r="H28" s="11"/>
      <c r="I28" s="11"/>
      <c r="J28" s="11"/>
      <c r="K28" s="11"/>
      <c r="L28" s="11"/>
      <c r="M28" s="11"/>
      <c r="N28" s="11"/>
      <c r="O28" s="11"/>
      <c r="P28" s="11"/>
      <c r="Q28" s="12"/>
    </row>
    <row r="29" spans="2:17" x14ac:dyDescent="0.3">
      <c r="B29" s="7" t="s">
        <v>26</v>
      </c>
      <c r="C29" s="11" t="s">
        <v>27</v>
      </c>
      <c r="D29" s="11"/>
      <c r="E29" s="11"/>
      <c r="F29" s="11"/>
      <c r="G29" s="11"/>
      <c r="H29" s="11"/>
      <c r="I29" s="11"/>
      <c r="J29" s="11"/>
      <c r="K29" s="11"/>
      <c r="L29" s="11"/>
      <c r="M29" s="11"/>
      <c r="N29" s="11"/>
      <c r="O29" s="11"/>
      <c r="P29" s="11"/>
      <c r="Q29" s="12"/>
    </row>
    <row r="30" spans="2:17" x14ac:dyDescent="0.3">
      <c r="B30" s="7"/>
      <c r="C30" s="11"/>
      <c r="D30" s="11"/>
      <c r="E30" s="11"/>
      <c r="F30" s="11"/>
      <c r="G30" s="11"/>
      <c r="H30" s="11"/>
      <c r="I30" s="11"/>
      <c r="J30" s="11"/>
      <c r="K30" s="11"/>
      <c r="L30" s="11"/>
      <c r="M30" s="11"/>
      <c r="N30" s="11"/>
      <c r="O30" s="11"/>
      <c r="P30" s="11"/>
      <c r="Q30" s="12"/>
    </row>
    <row r="31" spans="2:17" x14ac:dyDescent="0.3">
      <c r="B31" s="9" t="s">
        <v>28</v>
      </c>
      <c r="C31" s="11"/>
      <c r="D31" s="11"/>
      <c r="E31" s="11"/>
      <c r="F31" s="11"/>
      <c r="G31" s="11"/>
      <c r="H31" s="11"/>
      <c r="I31" s="11"/>
      <c r="J31" s="11"/>
      <c r="K31" s="11"/>
      <c r="L31" s="11"/>
      <c r="M31" s="11"/>
      <c r="N31" s="11"/>
      <c r="O31" s="11"/>
      <c r="P31" s="11"/>
      <c r="Q31" s="12"/>
    </row>
    <row r="32" spans="2:17" x14ac:dyDescent="0.3">
      <c r="B32" s="7" t="s">
        <v>29</v>
      </c>
      <c r="C32" s="11"/>
      <c r="D32" s="11"/>
      <c r="E32" s="11"/>
      <c r="F32" s="11"/>
      <c r="G32" s="11"/>
      <c r="H32" s="11"/>
      <c r="I32" s="11"/>
      <c r="J32" s="11"/>
      <c r="K32" s="11"/>
      <c r="L32" s="11"/>
      <c r="M32" s="11"/>
      <c r="N32" s="11"/>
      <c r="O32" s="11"/>
      <c r="P32" s="11"/>
      <c r="Q32" s="12"/>
    </row>
    <row r="33" spans="2:17" ht="30.75" customHeight="1" x14ac:dyDescent="0.3">
      <c r="B33" s="906" t="s">
        <v>916</v>
      </c>
      <c r="C33" s="907"/>
      <c r="D33" s="907"/>
      <c r="E33" s="907"/>
      <c r="F33" s="907"/>
      <c r="G33" s="907"/>
      <c r="H33" s="907"/>
      <c r="I33" s="907"/>
      <c r="J33" s="907"/>
      <c r="K33" s="907"/>
      <c r="L33" s="907"/>
      <c r="M33" s="907"/>
      <c r="N33" s="907"/>
      <c r="O33" s="907"/>
      <c r="P33" s="907"/>
      <c r="Q33" s="908"/>
    </row>
    <row r="34" spans="2:17" x14ac:dyDescent="0.3">
      <c r="B34" s="3" t="s">
        <v>30</v>
      </c>
      <c r="C34" s="11"/>
      <c r="D34" s="11"/>
      <c r="E34" s="11"/>
      <c r="F34" s="11"/>
      <c r="G34" s="11"/>
      <c r="H34" s="11"/>
      <c r="I34" s="11"/>
      <c r="J34" s="11"/>
      <c r="K34" s="11"/>
      <c r="L34" s="11"/>
      <c r="M34" s="11"/>
      <c r="N34" s="11"/>
      <c r="O34" s="11"/>
      <c r="P34" s="11"/>
      <c r="Q34" s="12"/>
    </row>
    <row r="35" spans="2:17" x14ac:dyDescent="0.3">
      <c r="B35" s="7" t="s">
        <v>31</v>
      </c>
      <c r="C35" s="11"/>
      <c r="D35" s="11"/>
      <c r="E35" s="11"/>
      <c r="F35" s="11"/>
      <c r="G35" s="11"/>
      <c r="H35" s="11"/>
      <c r="I35" s="11"/>
      <c r="J35" s="11"/>
      <c r="K35" s="11"/>
      <c r="L35" s="11"/>
      <c r="M35" s="11"/>
      <c r="N35" s="11"/>
      <c r="O35" s="11"/>
      <c r="P35" s="11"/>
      <c r="Q35" s="12"/>
    </row>
    <row r="36" spans="2:17" x14ac:dyDescent="0.3">
      <c r="B36" s="6" t="s">
        <v>32</v>
      </c>
      <c r="C36" s="13"/>
      <c r="D36" s="13"/>
      <c r="E36" s="13"/>
      <c r="F36" s="13"/>
      <c r="G36" s="13"/>
      <c r="H36" s="13"/>
      <c r="I36" s="13"/>
      <c r="J36" s="13"/>
      <c r="K36" s="13"/>
      <c r="L36" s="13"/>
      <c r="M36" s="13"/>
      <c r="N36" s="13"/>
      <c r="O36" s="13"/>
      <c r="P36" s="13"/>
      <c r="Q36" s="2"/>
    </row>
    <row r="39" spans="2:17" x14ac:dyDescent="0.3">
      <c r="B39" s="4"/>
      <c r="C39" s="4"/>
      <c r="D39" s="4"/>
      <c r="E39" s="4"/>
      <c r="F39" s="4"/>
      <c r="G39" s="4"/>
      <c r="H39" s="4"/>
      <c r="I39" s="4"/>
      <c r="J39" s="4"/>
      <c r="K39" s="4"/>
      <c r="L39" s="4"/>
      <c r="M39" s="4"/>
      <c r="N39" s="4"/>
      <c r="O39" s="4"/>
      <c r="P39" s="4"/>
      <c r="Q39" s="4"/>
    </row>
    <row r="40" spans="2:17" x14ac:dyDescent="0.3">
      <c r="B40" s="4"/>
      <c r="C40" s="4"/>
      <c r="D40" s="4"/>
      <c r="E40" s="4"/>
      <c r="F40" s="4"/>
      <c r="G40" s="4"/>
      <c r="H40" s="4"/>
      <c r="I40" s="4"/>
      <c r="J40" s="4"/>
      <c r="K40" s="4"/>
      <c r="L40" s="4"/>
      <c r="M40" s="4"/>
      <c r="N40" s="4"/>
      <c r="O40" s="4"/>
      <c r="P40" s="4"/>
      <c r="Q40" s="4"/>
    </row>
    <row r="41" spans="2:17" x14ac:dyDescent="0.3">
      <c r="B41" s="4"/>
      <c r="C41" s="4"/>
      <c r="D41" s="4"/>
      <c r="E41" s="4"/>
      <c r="F41" s="4"/>
      <c r="G41" s="4"/>
      <c r="H41" s="4"/>
      <c r="I41" s="4"/>
      <c r="J41" s="4"/>
      <c r="K41" s="4"/>
      <c r="L41" s="4"/>
      <c r="M41" s="4"/>
      <c r="N41" s="4"/>
      <c r="O41" s="4"/>
      <c r="P41" s="4"/>
      <c r="Q41" s="4"/>
    </row>
    <row r="42" spans="2:17" x14ac:dyDescent="0.3">
      <c r="B42" s="4"/>
      <c r="C42" s="4"/>
      <c r="D42" s="4"/>
      <c r="E42" s="4"/>
      <c r="F42" s="4"/>
      <c r="G42" s="4"/>
      <c r="H42" s="4"/>
      <c r="I42" s="4"/>
      <c r="J42" s="4"/>
      <c r="K42" s="4"/>
      <c r="L42" s="4"/>
      <c r="M42" s="4"/>
      <c r="N42" s="4"/>
      <c r="O42" s="4"/>
      <c r="P42" s="4"/>
      <c r="Q42" s="4"/>
    </row>
    <row r="43" spans="2:17" x14ac:dyDescent="0.3">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J17" sqref="J17"/>
    </sheetView>
  </sheetViews>
  <sheetFormatPr defaultColWidth="11.5546875" defaultRowHeight="14.4" x14ac:dyDescent="0.3"/>
  <cols>
    <col min="1" max="1" width="33" customWidth="1"/>
    <col min="2" max="2" width="27.109375" customWidth="1"/>
  </cols>
  <sheetData>
    <row r="1" spans="1:11" x14ac:dyDescent="0.3">
      <c r="A1" s="76" t="s">
        <v>178</v>
      </c>
      <c r="B1" s="76" t="s">
        <v>179</v>
      </c>
      <c r="C1" s="147" t="s">
        <v>292</v>
      </c>
      <c r="D1" s="147" t="s">
        <v>293</v>
      </c>
      <c r="E1" s="147" t="s">
        <v>294</v>
      </c>
      <c r="F1" s="147" t="s">
        <v>295</v>
      </c>
      <c r="G1" s="76" t="s">
        <v>296</v>
      </c>
      <c r="H1" s="76" t="s">
        <v>180</v>
      </c>
      <c r="I1" s="76" t="s">
        <v>181</v>
      </c>
      <c r="J1" s="76" t="s">
        <v>182</v>
      </c>
      <c r="K1" s="76" t="s">
        <v>183</v>
      </c>
    </row>
    <row r="2" spans="1:11"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5" customHeight="1" x14ac:dyDescent="0.3">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c r="K3" s="36">
        <f>'Social Benefits'!R27</f>
        <v>1866.9240000000002</v>
      </c>
    </row>
    <row r="4" spans="1:11" ht="28.95" customHeight="1" x14ac:dyDescent="0.3">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
      <c r="A6" s="36" t="s">
        <v>201</v>
      </c>
      <c r="B6" s="36" t="s">
        <v>904</v>
      </c>
      <c r="C6" s="148">
        <f>Subsidies!J43</f>
        <v>0</v>
      </c>
      <c r="D6" s="148">
        <f>Subsidies!K43</f>
        <v>0</v>
      </c>
      <c r="E6" s="148">
        <f>Subsidies!L43</f>
        <v>0</v>
      </c>
      <c r="F6" s="148">
        <f>Subsidies!M43</f>
        <v>0</v>
      </c>
      <c r="G6" s="148">
        <f>Subsidies!N43</f>
        <v>58.782959999999989</v>
      </c>
      <c r="H6" s="148">
        <f>Subsidies!O43</f>
        <v>267.78904</v>
      </c>
      <c r="I6" s="148">
        <f>Subsidies!P43</f>
        <v>110.24799999999999</v>
      </c>
      <c r="J6" s="148">
        <f>Subsidies!Q43</f>
        <v>110.24799999999999</v>
      </c>
      <c r="K6" s="148">
        <f>Subsidies!R43</f>
        <v>110.24799999999999</v>
      </c>
    </row>
    <row r="7" spans="1:11" ht="28.95" customHeight="1" x14ac:dyDescent="0.3">
      <c r="A7" s="14" t="s">
        <v>946</v>
      </c>
      <c r="B7" t="s">
        <v>944</v>
      </c>
      <c r="C7" s="36"/>
      <c r="D7" s="36"/>
      <c r="E7" s="36"/>
      <c r="F7" s="36"/>
      <c r="G7" s="36"/>
      <c r="H7" s="36"/>
      <c r="J7" s="146"/>
      <c r="K7" s="146">
        <f>forecast!C21</f>
        <v>277.85999071270419</v>
      </c>
    </row>
    <row r="8" spans="1:11" x14ac:dyDescent="0.3">
      <c r="A8" t="s">
        <v>947</v>
      </c>
      <c r="B8" t="s">
        <v>945</v>
      </c>
      <c r="C8" s="36"/>
      <c r="D8" s="36"/>
      <c r="E8" s="36"/>
      <c r="F8" s="36"/>
      <c r="G8" s="36"/>
      <c r="H8" s="36"/>
      <c r="J8" s="146"/>
      <c r="K8" s="146">
        <f>forecast!C22</f>
        <v>122.20997037990983</v>
      </c>
    </row>
    <row r="9" spans="1:11" x14ac:dyDescent="0.3">
      <c r="A9" s="14" t="s">
        <v>1030</v>
      </c>
      <c r="B9" t="s">
        <v>1031</v>
      </c>
      <c r="C9">
        <f>Grants!J106</f>
        <v>75.275000000000006</v>
      </c>
      <c r="D9">
        <f>Grants!K106</f>
        <v>78.766999999999996</v>
      </c>
      <c r="E9">
        <f>Grants!L106</f>
        <v>76.995000000000005</v>
      </c>
      <c r="F9">
        <f>Grants!M106</f>
        <v>75.03</v>
      </c>
      <c r="G9">
        <f>Grants!N106</f>
        <v>77.703999999999994</v>
      </c>
      <c r="H9">
        <f>Grants!O106</f>
        <v>72.766999999999996</v>
      </c>
      <c r="I9">
        <f>Grants!P106</f>
        <v>74.768000000000001</v>
      </c>
      <c r="J9">
        <f>Grants!Q106</f>
        <v>76.48</v>
      </c>
      <c r="K9">
        <f>Grants!R106</f>
        <v>75.34842857142857</v>
      </c>
    </row>
    <row r="10" spans="1:11"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554687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47" t="s">
        <v>364</v>
      </c>
      <c r="I1" s="947"/>
      <c r="J1" s="947"/>
      <c r="K1" s="947"/>
      <c r="L1" s="947"/>
      <c r="M1" s="947"/>
      <c r="N1" s="947"/>
      <c r="O1" s="947"/>
      <c r="P1" s="947"/>
      <c r="Q1" s="947"/>
      <c r="R1" s="947"/>
      <c r="S1" s="947"/>
    </row>
    <row r="2" spans="8:22" x14ac:dyDescent="0.3">
      <c r="H2" s="946" t="s">
        <v>365</v>
      </c>
      <c r="I2" s="946"/>
      <c r="J2" s="946"/>
      <c r="K2" s="946"/>
      <c r="L2" s="946"/>
      <c r="M2" s="946"/>
      <c r="N2" s="946"/>
      <c r="O2" s="946"/>
      <c r="P2" s="946"/>
      <c r="Q2" s="946"/>
      <c r="R2" s="946"/>
      <c r="S2" s="946"/>
    </row>
    <row r="3" spans="8:22" x14ac:dyDescent="0.3">
      <c r="H3" s="946"/>
      <c r="I3" s="946"/>
      <c r="J3" s="946"/>
      <c r="K3" s="946"/>
      <c r="L3" s="946"/>
      <c r="M3" s="946"/>
      <c r="N3" s="946"/>
      <c r="O3" s="946"/>
      <c r="P3" s="946"/>
      <c r="Q3" s="946"/>
      <c r="R3" s="946"/>
      <c r="S3" s="946"/>
    </row>
    <row r="4" spans="8:22" x14ac:dyDescent="0.3">
      <c r="H4" s="946"/>
      <c r="I4" s="946"/>
      <c r="J4" s="946"/>
      <c r="K4" s="946"/>
      <c r="L4" s="946"/>
      <c r="M4" s="946"/>
      <c r="N4" s="946"/>
      <c r="O4" s="946"/>
      <c r="P4" s="946"/>
      <c r="Q4" s="946"/>
      <c r="R4" s="946"/>
      <c r="S4" s="946"/>
    </row>
    <row r="5" spans="8:22" ht="54.75" customHeight="1" x14ac:dyDescent="0.3">
      <c r="H5" s="946"/>
      <c r="I5" s="946"/>
      <c r="J5" s="946"/>
      <c r="K5" s="946"/>
      <c r="L5" s="946"/>
      <c r="M5" s="946"/>
      <c r="N5" s="946"/>
      <c r="O5" s="946"/>
      <c r="P5" s="946"/>
      <c r="Q5" s="946"/>
      <c r="R5" s="946"/>
      <c r="S5" s="946"/>
    </row>
    <row r="6" spans="8:22" x14ac:dyDescent="0.3">
      <c r="H6" s="183"/>
      <c r="I6" s="183"/>
      <c r="J6" s="183"/>
      <c r="K6" s="183"/>
      <c r="L6" s="183"/>
      <c r="M6" s="183"/>
      <c r="N6" s="183"/>
      <c r="O6" s="183"/>
      <c r="P6" s="183"/>
      <c r="Q6" s="183"/>
      <c r="R6" s="183"/>
      <c r="S6" s="183"/>
    </row>
    <row r="7" spans="8:22" x14ac:dyDescent="0.3">
      <c r="H7" s="164" t="s">
        <v>366</v>
      </c>
    </row>
    <row r="8" spans="8:22" ht="16.2" customHeight="1" x14ac:dyDescent="0.3"/>
    <row r="9" spans="8:22" ht="15.75" customHeight="1" x14ac:dyDescent="0.3">
      <c r="L9" s="948">
        <v>2020</v>
      </c>
      <c r="M9" s="949"/>
      <c r="N9" s="949"/>
      <c r="O9" s="191">
        <v>2021</v>
      </c>
      <c r="P9" s="191"/>
      <c r="Q9" s="191"/>
      <c r="R9" s="190"/>
    </row>
    <row r="10" spans="8:22" ht="41.4" customHeight="1" x14ac:dyDescent="0.3">
      <c r="H10" s="195" t="s">
        <v>367</v>
      </c>
      <c r="I10" s="195" t="s">
        <v>368</v>
      </c>
      <c r="J10" s="196" t="s">
        <v>369</v>
      </c>
      <c r="K10" s="152"/>
      <c r="L10" s="187" t="s">
        <v>329</v>
      </c>
      <c r="M10" s="189" t="s">
        <v>238</v>
      </c>
      <c r="N10" s="189" t="s">
        <v>327</v>
      </c>
      <c r="O10" s="189" t="s">
        <v>328</v>
      </c>
      <c r="P10" s="189" t="s">
        <v>329</v>
      </c>
      <c r="Q10" s="189" t="s">
        <v>238</v>
      </c>
      <c r="R10" s="192" t="s">
        <v>327</v>
      </c>
      <c r="S10" s="183" t="s">
        <v>370</v>
      </c>
      <c r="T10" s="152"/>
      <c r="U10" s="152"/>
      <c r="V10" s="152"/>
    </row>
    <row r="11" spans="8:22" x14ac:dyDescent="0.3">
      <c r="H11" s="197">
        <v>43934</v>
      </c>
      <c r="I11" s="149">
        <v>248</v>
      </c>
      <c r="J11" s="156">
        <f>I11</f>
        <v>248</v>
      </c>
      <c r="K11" s="149"/>
      <c r="L11" s="172">
        <f>S11/26*J11</f>
        <v>95.384615384615387</v>
      </c>
      <c r="M11" s="168">
        <f>13/26*J11</f>
        <v>124</v>
      </c>
      <c r="N11" s="168">
        <f>J11-SUM(L11:M11)</f>
        <v>28.615384615384613</v>
      </c>
      <c r="O11" s="168"/>
      <c r="P11" s="168"/>
      <c r="Q11" s="168"/>
      <c r="R11" s="173"/>
      <c r="S11" s="149">
        <v>10</v>
      </c>
      <c r="T11" s="149"/>
      <c r="U11" s="169"/>
      <c r="V11" s="149"/>
    </row>
    <row r="12" spans="8:22" x14ac:dyDescent="0.3">
      <c r="H12" s="170">
        <v>43937</v>
      </c>
      <c r="I12" s="149">
        <v>342</v>
      </c>
      <c r="J12" s="156">
        <f>I12-I11</f>
        <v>94</v>
      </c>
      <c r="K12" s="149"/>
      <c r="L12" s="172">
        <f t="shared" ref="L12:L20" si="0">S12/26*J12</f>
        <v>36.153846153846153</v>
      </c>
      <c r="M12" s="168">
        <f t="shared" ref="M12:M20" si="1">13/26*J12</f>
        <v>47</v>
      </c>
      <c r="N12" s="168">
        <f t="shared" ref="N12:N21" si="2">J12-SUM(L12:M12)</f>
        <v>10.84615384615384</v>
      </c>
      <c r="O12" s="168"/>
      <c r="P12" s="168"/>
      <c r="Q12" s="168"/>
      <c r="R12" s="173"/>
      <c r="S12" s="149">
        <v>10</v>
      </c>
      <c r="T12" s="149"/>
      <c r="U12" s="149"/>
      <c r="V12" s="149"/>
    </row>
    <row r="13" spans="8:22" x14ac:dyDescent="0.3">
      <c r="H13" s="170">
        <v>43952</v>
      </c>
      <c r="I13" s="149">
        <v>518</v>
      </c>
      <c r="J13" s="156">
        <f>I13-I12</f>
        <v>176</v>
      </c>
      <c r="K13" s="149"/>
      <c r="L13" s="172">
        <f t="shared" si="0"/>
        <v>54.15384615384616</v>
      </c>
      <c r="M13" s="168">
        <f t="shared" si="1"/>
        <v>88</v>
      </c>
      <c r="N13" s="168">
        <f t="shared" si="2"/>
        <v>33.84615384615384</v>
      </c>
      <c r="O13" s="168"/>
      <c r="P13" s="168"/>
      <c r="Q13" s="168"/>
      <c r="R13" s="173"/>
      <c r="S13" s="149">
        <v>8</v>
      </c>
      <c r="T13" s="149"/>
      <c r="U13" s="149"/>
      <c r="V13" s="149"/>
    </row>
    <row r="14" spans="8:22" x14ac:dyDescent="0.3">
      <c r="H14" s="170">
        <v>43959</v>
      </c>
      <c r="I14" s="149">
        <v>531</v>
      </c>
      <c r="J14" s="156">
        <f t="shared" ref="J14:J45" si="3">I14-I13</f>
        <v>13</v>
      </c>
      <c r="K14" s="149"/>
      <c r="L14" s="172">
        <f t="shared" si="0"/>
        <v>3.5</v>
      </c>
      <c r="M14" s="168">
        <f t="shared" si="1"/>
        <v>6.5</v>
      </c>
      <c r="N14" s="168">
        <f t="shared" si="2"/>
        <v>3</v>
      </c>
      <c r="O14" s="168"/>
      <c r="P14" s="168"/>
      <c r="Q14" s="168"/>
      <c r="R14" s="173"/>
      <c r="S14" s="149">
        <f t="shared" ref="S14:S20" si="4">S13-1</f>
        <v>7</v>
      </c>
      <c r="T14" s="149"/>
      <c r="U14" s="149"/>
      <c r="V14" s="149"/>
    </row>
    <row r="15" spans="8:22" x14ac:dyDescent="0.3">
      <c r="H15" s="170">
        <v>43967</v>
      </c>
      <c r="I15" s="149">
        <v>513</v>
      </c>
      <c r="J15" s="156">
        <f t="shared" si="3"/>
        <v>-18</v>
      </c>
      <c r="K15" s="149"/>
      <c r="L15" s="172">
        <f t="shared" ref="L15:L17" si="5">S15/26*J15</f>
        <v>-4.1538461538461542</v>
      </c>
      <c r="M15" s="168">
        <f t="shared" ref="M15:M17" si="6">13/26*J15</f>
        <v>-9</v>
      </c>
      <c r="N15" s="168">
        <f t="shared" ref="N15:N17" si="7">J15-SUM(L15:M15)</f>
        <v>-4.8461538461538467</v>
      </c>
      <c r="O15" s="168"/>
      <c r="P15" s="168"/>
      <c r="Q15" s="168"/>
      <c r="R15" s="173"/>
      <c r="S15" s="149">
        <f t="shared" si="4"/>
        <v>6</v>
      </c>
      <c r="T15" s="149"/>
      <c r="U15" s="149"/>
      <c r="V15" s="149"/>
    </row>
    <row r="16" spans="8:22" x14ac:dyDescent="0.3">
      <c r="H16" s="170">
        <v>43974</v>
      </c>
      <c r="I16" s="149">
        <v>511</v>
      </c>
      <c r="J16" s="156">
        <f t="shared" si="3"/>
        <v>-2</v>
      </c>
      <c r="K16" s="149"/>
      <c r="L16" s="172">
        <f t="shared" si="5"/>
        <v>-0.38461538461538464</v>
      </c>
      <c r="M16" s="168">
        <f t="shared" si="6"/>
        <v>-1</v>
      </c>
      <c r="N16" s="168">
        <f t="shared" si="7"/>
        <v>-0.61538461538461542</v>
      </c>
      <c r="O16" s="168"/>
      <c r="P16" s="168"/>
      <c r="Q16" s="168"/>
      <c r="R16" s="173"/>
      <c r="S16" s="149">
        <f t="shared" si="4"/>
        <v>5</v>
      </c>
      <c r="T16" s="149"/>
      <c r="U16" s="149"/>
      <c r="V16" s="149"/>
    </row>
    <row r="17" spans="8:22" x14ac:dyDescent="0.3">
      <c r="H17" s="170">
        <v>43981</v>
      </c>
      <c r="I17" s="149">
        <v>510</v>
      </c>
      <c r="J17" s="156">
        <f t="shared" si="3"/>
        <v>-1</v>
      </c>
      <c r="K17" s="149"/>
      <c r="L17" s="172">
        <f t="shared" si="5"/>
        <v>-0.15384615384615385</v>
      </c>
      <c r="M17" s="168">
        <f t="shared" si="6"/>
        <v>-0.5</v>
      </c>
      <c r="N17" s="168">
        <f t="shared" si="7"/>
        <v>-0.34615384615384615</v>
      </c>
      <c r="O17" s="168"/>
      <c r="P17" s="168"/>
      <c r="Q17" s="168"/>
      <c r="R17" s="173"/>
      <c r="S17" s="149">
        <f t="shared" si="4"/>
        <v>4</v>
      </c>
      <c r="T17" s="149"/>
      <c r="U17" s="149"/>
      <c r="V17" s="149"/>
    </row>
    <row r="18" spans="8:22" x14ac:dyDescent="0.3">
      <c r="H18" s="170">
        <v>43988</v>
      </c>
      <c r="I18" s="149">
        <v>511</v>
      </c>
      <c r="J18" s="156">
        <f t="shared" si="3"/>
        <v>1</v>
      </c>
      <c r="K18" s="149"/>
      <c r="L18" s="172">
        <f t="shared" si="0"/>
        <v>0.11538461538461539</v>
      </c>
      <c r="M18" s="168">
        <f t="shared" si="1"/>
        <v>0.5</v>
      </c>
      <c r="N18" s="168">
        <f t="shared" si="2"/>
        <v>0.38461538461538458</v>
      </c>
      <c r="O18" s="168"/>
      <c r="P18" s="168"/>
      <c r="Q18" s="168"/>
      <c r="R18" s="173"/>
      <c r="S18" s="149">
        <f t="shared" si="4"/>
        <v>3</v>
      </c>
      <c r="T18" s="149"/>
      <c r="U18" s="149"/>
      <c r="V18" s="149"/>
    </row>
    <row r="19" spans="8:22" x14ac:dyDescent="0.3">
      <c r="H19" s="170">
        <v>43994</v>
      </c>
      <c r="I19" s="149">
        <v>512</v>
      </c>
      <c r="J19" s="156">
        <f t="shared" si="3"/>
        <v>1</v>
      </c>
      <c r="K19" s="149"/>
      <c r="L19" s="172">
        <f t="shared" si="0"/>
        <v>7.6923076923076927E-2</v>
      </c>
      <c r="M19" s="168">
        <f t="shared" si="1"/>
        <v>0.5</v>
      </c>
      <c r="N19" s="168">
        <f t="shared" si="2"/>
        <v>0.42307692307692313</v>
      </c>
      <c r="O19" s="168"/>
      <c r="P19" s="168"/>
      <c r="Q19" s="168"/>
      <c r="R19" s="173"/>
      <c r="S19" s="149">
        <f t="shared" si="4"/>
        <v>2</v>
      </c>
      <c r="T19" s="149"/>
      <c r="U19" s="149"/>
      <c r="V19" s="149"/>
    </row>
    <row r="20" spans="8:22" x14ac:dyDescent="0.3">
      <c r="H20" s="170">
        <v>44002</v>
      </c>
      <c r="I20" s="149">
        <v>515</v>
      </c>
      <c r="J20" s="156">
        <f t="shared" si="3"/>
        <v>3</v>
      </c>
      <c r="K20" s="149"/>
      <c r="L20" s="172">
        <f t="shared" si="0"/>
        <v>0.11538461538461539</v>
      </c>
      <c r="M20" s="168">
        <f t="shared" si="1"/>
        <v>1.5</v>
      </c>
      <c r="N20" s="168">
        <f t="shared" si="2"/>
        <v>1.3846153846153846</v>
      </c>
      <c r="O20" s="168"/>
      <c r="P20" s="168"/>
      <c r="Q20" s="168"/>
      <c r="R20" s="173"/>
      <c r="S20" s="149">
        <f t="shared" si="4"/>
        <v>1</v>
      </c>
      <c r="T20" s="149"/>
      <c r="U20" s="149"/>
      <c r="V20" s="149"/>
    </row>
    <row r="21" spans="8:22" x14ac:dyDescent="0.3">
      <c r="H21" s="170">
        <v>44009</v>
      </c>
      <c r="I21" s="149">
        <v>519</v>
      </c>
      <c r="J21" s="156">
        <f t="shared" si="3"/>
        <v>4</v>
      </c>
      <c r="K21" s="149"/>
      <c r="L21" s="172"/>
      <c r="M21" s="168">
        <f>S21/26*J21</f>
        <v>2</v>
      </c>
      <c r="N21" s="168">
        <f t="shared" si="2"/>
        <v>2</v>
      </c>
      <c r="O21" s="168"/>
      <c r="P21" s="168"/>
      <c r="Q21" s="168"/>
      <c r="R21" s="173"/>
      <c r="S21" s="149">
        <v>13</v>
      </c>
      <c r="T21" s="149"/>
      <c r="U21" s="149"/>
      <c r="V21" s="149"/>
    </row>
    <row r="22" spans="8:22" x14ac:dyDescent="0.3">
      <c r="H22" s="170">
        <v>44012</v>
      </c>
      <c r="I22" s="149">
        <v>521</v>
      </c>
      <c r="J22" s="156">
        <f t="shared" si="3"/>
        <v>2</v>
      </c>
      <c r="K22" s="149"/>
      <c r="L22" s="172"/>
      <c r="M22" s="168">
        <f t="shared" ref="M22:M26" si="8">S22/26*J22</f>
        <v>1</v>
      </c>
      <c r="N22" s="168">
        <f>J22-SUM(L22:M22)</f>
        <v>1</v>
      </c>
      <c r="O22" s="168"/>
      <c r="P22" s="168"/>
      <c r="Q22" s="168"/>
      <c r="R22" s="173"/>
      <c r="S22" s="149">
        <v>13</v>
      </c>
      <c r="T22" s="149"/>
      <c r="U22" s="149"/>
      <c r="V22" s="149"/>
    </row>
    <row r="23" spans="8:22" x14ac:dyDescent="0.3">
      <c r="H23" s="170">
        <v>44029</v>
      </c>
      <c r="I23" s="149">
        <v>518</v>
      </c>
      <c r="J23" s="156">
        <f t="shared" si="3"/>
        <v>-3</v>
      </c>
      <c r="K23" s="149"/>
      <c r="L23" s="172"/>
      <c r="M23" s="168">
        <f t="shared" ref="M23" si="9">S23/26*J23</f>
        <v>-1.153846153846154</v>
      </c>
      <c r="N23" s="168">
        <f t="shared" ref="N23" si="10">13/26*J23</f>
        <v>-1.5</v>
      </c>
      <c r="O23" s="168">
        <f t="shared" ref="O23" si="11">J23-N23-M23</f>
        <v>-0.34615384615384603</v>
      </c>
      <c r="P23" s="168"/>
      <c r="Q23" s="168"/>
      <c r="R23" s="173"/>
      <c r="S23" s="149">
        <f>S22-3</f>
        <v>10</v>
      </c>
      <c r="T23" s="149"/>
      <c r="U23" s="149"/>
      <c r="V23" s="149"/>
    </row>
    <row r="24" spans="8:22" x14ac:dyDescent="0.3">
      <c r="H24" s="170">
        <v>44036</v>
      </c>
      <c r="I24" s="149">
        <v>520</v>
      </c>
      <c r="J24" s="156">
        <f t="shared" si="3"/>
        <v>2</v>
      </c>
      <c r="K24" s="149"/>
      <c r="L24" s="172"/>
      <c r="M24" s="168">
        <f t="shared" si="8"/>
        <v>0.69230769230769229</v>
      </c>
      <c r="N24" s="168">
        <f t="shared" ref="N24:N26" si="12">13/26*J24</f>
        <v>1</v>
      </c>
      <c r="O24" s="168">
        <f t="shared" ref="O24:O26" si="13">J24-N24-M24</f>
        <v>0.30769230769230771</v>
      </c>
      <c r="P24" s="168"/>
      <c r="Q24" s="168"/>
      <c r="R24" s="173"/>
      <c r="S24" s="149">
        <f>S23-1</f>
        <v>9</v>
      </c>
      <c r="T24" s="149"/>
      <c r="U24" s="149"/>
      <c r="V24" s="149"/>
    </row>
    <row r="25" spans="8:22" x14ac:dyDescent="0.3">
      <c r="H25" s="170">
        <v>44043</v>
      </c>
      <c r="I25" s="149">
        <v>521</v>
      </c>
      <c r="J25" s="156">
        <f t="shared" si="3"/>
        <v>1</v>
      </c>
      <c r="K25" s="149"/>
      <c r="L25" s="172"/>
      <c r="M25" s="168">
        <f t="shared" si="8"/>
        <v>0.30769230769230771</v>
      </c>
      <c r="N25" s="168">
        <f t="shared" si="12"/>
        <v>0.5</v>
      </c>
      <c r="O25" s="168">
        <f t="shared" si="13"/>
        <v>0.19230769230769229</v>
      </c>
      <c r="P25" s="168"/>
      <c r="Q25" s="168"/>
      <c r="R25" s="173"/>
      <c r="S25" s="149">
        <f>S24-1</f>
        <v>8</v>
      </c>
      <c r="T25" s="149"/>
      <c r="U25" s="149"/>
      <c r="V25" s="149"/>
    </row>
    <row r="26" spans="8:22" x14ac:dyDescent="0.3">
      <c r="H26" s="170">
        <v>44051</v>
      </c>
      <c r="I26" s="149">
        <v>525</v>
      </c>
      <c r="J26" s="156">
        <f t="shared" si="3"/>
        <v>4</v>
      </c>
      <c r="K26" s="149"/>
      <c r="L26" s="172"/>
      <c r="M26" s="168">
        <f t="shared" si="8"/>
        <v>1.0769230769230769</v>
      </c>
      <c r="N26" s="168">
        <f t="shared" si="12"/>
        <v>2</v>
      </c>
      <c r="O26" s="168">
        <f t="shared" si="13"/>
        <v>0.92307692307692313</v>
      </c>
      <c r="P26" s="168"/>
      <c r="Q26" s="168"/>
      <c r="R26" s="173"/>
      <c r="S26" s="149">
        <f>S25-1</f>
        <v>7</v>
      </c>
      <c r="T26" s="149"/>
      <c r="U26" s="149"/>
      <c r="V26" s="149"/>
    </row>
    <row r="27" spans="8:22" x14ac:dyDescent="0.3">
      <c r="H27" s="170">
        <v>44220</v>
      </c>
      <c r="I27" s="149">
        <v>558</v>
      </c>
      <c r="J27" s="156">
        <f t="shared" si="3"/>
        <v>33</v>
      </c>
      <c r="K27" s="149"/>
      <c r="L27" s="172"/>
      <c r="M27" s="168"/>
      <c r="N27" s="168"/>
      <c r="O27" s="168">
        <f>S27/26*J27</f>
        <v>12.692307692307693</v>
      </c>
      <c r="P27" s="168">
        <f>J27/2</f>
        <v>16.5</v>
      </c>
      <c r="Q27" s="168">
        <f>J27-P27-O27</f>
        <v>3.8076923076923066</v>
      </c>
      <c r="R27" s="173"/>
      <c r="S27" s="149">
        <v>10</v>
      </c>
      <c r="T27" s="149">
        <v>10</v>
      </c>
      <c r="U27" s="149"/>
      <c r="V27" s="149"/>
    </row>
    <row r="28" spans="8:22" x14ac:dyDescent="0.3">
      <c r="H28" s="170">
        <v>44227</v>
      </c>
      <c r="I28" s="149">
        <v>596</v>
      </c>
      <c r="J28" s="156">
        <f t="shared" si="3"/>
        <v>38</v>
      </c>
      <c r="K28" s="149"/>
      <c r="L28" s="172"/>
      <c r="M28" s="168"/>
      <c r="N28" s="168"/>
      <c r="O28" s="168">
        <f t="shared" ref="O28:O36" si="14">S28/26*J28</f>
        <v>13.153846153846153</v>
      </c>
      <c r="P28" s="168">
        <f t="shared" ref="P28:P36" si="15">J28/2</f>
        <v>19</v>
      </c>
      <c r="Q28" s="168">
        <f t="shared" ref="Q28:Q36" si="16">J28-P28-O28</f>
        <v>5.8461538461538467</v>
      </c>
      <c r="R28" s="173"/>
      <c r="S28" s="149">
        <f>S27-1</f>
        <v>9</v>
      </c>
      <c r="T28" s="149">
        <f>T27-1</f>
        <v>9</v>
      </c>
      <c r="U28" s="149"/>
      <c r="V28" s="149"/>
    </row>
    <row r="29" spans="8:22" x14ac:dyDescent="0.3">
      <c r="H29" s="170">
        <v>44234</v>
      </c>
      <c r="I29" s="149">
        <v>623</v>
      </c>
      <c r="J29" s="156">
        <f t="shared" si="3"/>
        <v>27</v>
      </c>
      <c r="K29" s="149"/>
      <c r="L29" s="172"/>
      <c r="M29" s="168"/>
      <c r="N29" s="168"/>
      <c r="O29" s="168">
        <f t="shared" si="14"/>
        <v>8.3076923076923084</v>
      </c>
      <c r="P29" s="168">
        <f t="shared" si="15"/>
        <v>13.5</v>
      </c>
      <c r="Q29" s="168">
        <f t="shared" si="16"/>
        <v>5.1923076923076916</v>
      </c>
      <c r="R29" s="173"/>
      <c r="S29" s="149">
        <f t="shared" ref="S29:S36" si="17">S28-1</f>
        <v>8</v>
      </c>
      <c r="T29" s="149">
        <f t="shared" ref="T29:T36" si="18">T28-1</f>
        <v>8</v>
      </c>
      <c r="U29" s="149"/>
      <c r="V29" s="149"/>
    </row>
    <row r="30" spans="8:22" x14ac:dyDescent="0.3">
      <c r="H30" s="170">
        <v>44242</v>
      </c>
      <c r="I30" s="149">
        <v>648</v>
      </c>
      <c r="J30" s="156">
        <f t="shared" si="3"/>
        <v>25</v>
      </c>
      <c r="K30" s="149"/>
      <c r="L30" s="172"/>
      <c r="M30" s="168"/>
      <c r="N30" s="168"/>
      <c r="O30" s="168">
        <f t="shared" si="14"/>
        <v>6.7307692307692308</v>
      </c>
      <c r="P30" s="168">
        <f t="shared" si="15"/>
        <v>12.5</v>
      </c>
      <c r="Q30" s="168">
        <f t="shared" si="16"/>
        <v>5.7692307692307692</v>
      </c>
      <c r="R30" s="173"/>
      <c r="S30" s="149">
        <f t="shared" si="17"/>
        <v>7</v>
      </c>
      <c r="T30" s="149">
        <f t="shared" si="18"/>
        <v>7</v>
      </c>
      <c r="U30" s="149"/>
      <c r="V30" s="149"/>
    </row>
    <row r="31" spans="8:22" x14ac:dyDescent="0.3">
      <c r="H31" s="170">
        <v>44248</v>
      </c>
      <c r="I31" s="149">
        <v>663</v>
      </c>
      <c r="J31" s="156">
        <f t="shared" si="3"/>
        <v>15</v>
      </c>
      <c r="K31" s="149"/>
      <c r="L31" s="172"/>
      <c r="M31" s="168"/>
      <c r="N31" s="168"/>
      <c r="O31" s="168">
        <f t="shared" si="14"/>
        <v>3.4615384615384617</v>
      </c>
      <c r="P31" s="168">
        <f t="shared" si="15"/>
        <v>7.5</v>
      </c>
      <c r="Q31" s="168">
        <f t="shared" si="16"/>
        <v>4.0384615384615383</v>
      </c>
      <c r="R31" s="173"/>
      <c r="S31" s="149">
        <f t="shared" si="17"/>
        <v>6</v>
      </c>
      <c r="T31" s="149">
        <f t="shared" si="18"/>
        <v>6</v>
      </c>
      <c r="U31" s="149"/>
      <c r="V31" s="149"/>
    </row>
    <row r="32" spans="8:22" x14ac:dyDescent="0.3">
      <c r="H32" s="170">
        <v>44255</v>
      </c>
      <c r="I32" s="149">
        <v>679</v>
      </c>
      <c r="J32" s="156">
        <f t="shared" si="3"/>
        <v>16</v>
      </c>
      <c r="K32" s="149"/>
      <c r="L32" s="172"/>
      <c r="M32" s="168"/>
      <c r="N32" s="168"/>
      <c r="O32" s="168">
        <f t="shared" si="14"/>
        <v>3.0769230769230771</v>
      </c>
      <c r="P32" s="168">
        <f t="shared" si="15"/>
        <v>8</v>
      </c>
      <c r="Q32" s="168">
        <f t="shared" si="16"/>
        <v>4.9230769230769234</v>
      </c>
      <c r="R32" s="173"/>
      <c r="S32" s="149">
        <f t="shared" si="17"/>
        <v>5</v>
      </c>
      <c r="T32" s="149">
        <f t="shared" si="18"/>
        <v>5</v>
      </c>
      <c r="U32" s="149"/>
      <c r="V32" s="149"/>
    </row>
    <row r="33" spans="8:22" x14ac:dyDescent="0.3">
      <c r="H33" s="170">
        <v>44262</v>
      </c>
      <c r="I33" s="149">
        <v>687</v>
      </c>
      <c r="J33" s="156">
        <f t="shared" si="3"/>
        <v>8</v>
      </c>
      <c r="K33" s="149"/>
      <c r="L33" s="172"/>
      <c r="M33" s="168"/>
      <c r="N33" s="168"/>
      <c r="O33" s="168">
        <f t="shared" si="14"/>
        <v>1.2307692307692308</v>
      </c>
      <c r="P33" s="168">
        <f t="shared" si="15"/>
        <v>4</v>
      </c>
      <c r="Q33" s="168">
        <f t="shared" si="16"/>
        <v>2.7692307692307692</v>
      </c>
      <c r="R33" s="173"/>
      <c r="S33" s="149">
        <f t="shared" si="17"/>
        <v>4</v>
      </c>
      <c r="T33" s="149">
        <f t="shared" si="18"/>
        <v>4</v>
      </c>
      <c r="U33" s="149"/>
      <c r="V33" s="149"/>
    </row>
    <row r="34" spans="8:22" x14ac:dyDescent="0.3">
      <c r="H34" s="170">
        <v>44269</v>
      </c>
      <c r="I34" s="149">
        <v>704</v>
      </c>
      <c r="J34" s="156">
        <f t="shared" si="3"/>
        <v>17</v>
      </c>
      <c r="K34" s="149"/>
      <c r="L34" s="172"/>
      <c r="M34" s="168"/>
      <c r="N34" s="168"/>
      <c r="O34" s="168">
        <f t="shared" si="14"/>
        <v>1.9615384615384617</v>
      </c>
      <c r="P34" s="168">
        <f t="shared" si="15"/>
        <v>8.5</v>
      </c>
      <c r="Q34" s="168">
        <f t="shared" si="16"/>
        <v>6.5384615384615383</v>
      </c>
      <c r="R34" s="173"/>
      <c r="S34" s="149">
        <f t="shared" si="17"/>
        <v>3</v>
      </c>
      <c r="T34" s="149">
        <f t="shared" si="18"/>
        <v>3</v>
      </c>
      <c r="U34" s="149"/>
      <c r="V34" s="149"/>
    </row>
    <row r="35" spans="8:22" x14ac:dyDescent="0.3">
      <c r="H35" s="170">
        <v>44276</v>
      </c>
      <c r="I35" s="149">
        <v>718</v>
      </c>
      <c r="J35" s="156">
        <f t="shared" si="3"/>
        <v>14</v>
      </c>
      <c r="K35" s="149"/>
      <c r="L35" s="172"/>
      <c r="M35" s="168"/>
      <c r="N35" s="168"/>
      <c r="O35" s="168">
        <f t="shared" si="14"/>
        <v>1.0769230769230771</v>
      </c>
      <c r="P35" s="168">
        <f t="shared" si="15"/>
        <v>7</v>
      </c>
      <c r="Q35" s="168">
        <f t="shared" si="16"/>
        <v>5.9230769230769234</v>
      </c>
      <c r="R35" s="173"/>
      <c r="S35" s="149">
        <f t="shared" si="17"/>
        <v>2</v>
      </c>
      <c r="T35" s="149">
        <f t="shared" si="18"/>
        <v>2</v>
      </c>
      <c r="U35" s="149"/>
      <c r="V35" s="149"/>
    </row>
    <row r="36" spans="8:22" x14ac:dyDescent="0.3">
      <c r="H36" s="170">
        <v>44283</v>
      </c>
      <c r="I36" s="149">
        <v>734</v>
      </c>
      <c r="J36" s="156">
        <f t="shared" si="3"/>
        <v>16</v>
      </c>
      <c r="K36" s="149"/>
      <c r="L36" s="172"/>
      <c r="M36" s="168"/>
      <c r="N36" s="168"/>
      <c r="O36" s="168">
        <f t="shared" si="14"/>
        <v>0.61538461538461542</v>
      </c>
      <c r="P36" s="168">
        <f t="shared" si="15"/>
        <v>8</v>
      </c>
      <c r="Q36" s="168">
        <f t="shared" si="16"/>
        <v>7.384615384615385</v>
      </c>
      <c r="R36" s="173"/>
      <c r="S36" s="149">
        <f t="shared" si="17"/>
        <v>1</v>
      </c>
      <c r="T36" s="149">
        <f t="shared" si="18"/>
        <v>1</v>
      </c>
      <c r="U36" s="149"/>
      <c r="V36" s="149"/>
    </row>
    <row r="37" spans="8:22" x14ac:dyDescent="0.3">
      <c r="H37" s="170">
        <v>44290</v>
      </c>
      <c r="I37" s="149">
        <v>746</v>
      </c>
      <c r="J37" s="156">
        <f t="shared" si="3"/>
        <v>12</v>
      </c>
      <c r="K37" s="149"/>
      <c r="L37" s="172"/>
      <c r="M37" s="168"/>
      <c r="N37" s="168"/>
      <c r="O37" s="168"/>
      <c r="P37" s="168">
        <f>T37/26*J37</f>
        <v>6</v>
      </c>
      <c r="Q37" s="168">
        <f>J37/2</f>
        <v>6</v>
      </c>
      <c r="R37" s="173">
        <f>J37-Q37-P37</f>
        <v>0</v>
      </c>
      <c r="S37" s="149">
        <v>13</v>
      </c>
      <c r="T37" s="149">
        <v>13</v>
      </c>
      <c r="U37" s="149"/>
      <c r="V37" s="149"/>
    </row>
    <row r="38" spans="8:22" x14ac:dyDescent="0.3">
      <c r="H38" s="170">
        <v>44297</v>
      </c>
      <c r="I38" s="149">
        <v>755</v>
      </c>
      <c r="J38" s="156">
        <f t="shared" si="3"/>
        <v>9</v>
      </c>
      <c r="K38" s="149"/>
      <c r="L38" s="172"/>
      <c r="M38" s="168"/>
      <c r="N38" s="168"/>
      <c r="O38" s="168"/>
      <c r="P38" s="168">
        <f t="shared" ref="P38:P45" si="19">T38/26*J38</f>
        <v>4.1538461538461542</v>
      </c>
      <c r="Q38" s="168">
        <f t="shared" ref="Q38:Q45" si="20">J38/2</f>
        <v>4.5</v>
      </c>
      <c r="R38" s="173">
        <f t="shared" ref="R38:R45" si="21">J38-Q38-P38</f>
        <v>0.34615384615384581</v>
      </c>
      <c r="S38" s="149">
        <f>S37-1</f>
        <v>12</v>
      </c>
      <c r="T38" s="149">
        <f>T37-1</f>
        <v>12</v>
      </c>
      <c r="U38" s="149"/>
      <c r="V38" s="149"/>
    </row>
    <row r="39" spans="8:22" x14ac:dyDescent="0.3">
      <c r="H39" s="170">
        <v>44304</v>
      </c>
      <c r="I39" s="149">
        <v>762</v>
      </c>
      <c r="J39" s="156">
        <f t="shared" si="3"/>
        <v>7</v>
      </c>
      <c r="K39" s="149"/>
      <c r="L39" s="172"/>
      <c r="M39" s="168"/>
      <c r="N39" s="168"/>
      <c r="O39" s="168"/>
      <c r="P39" s="168">
        <f t="shared" si="19"/>
        <v>2.9615384615384617</v>
      </c>
      <c r="Q39" s="168">
        <f t="shared" si="20"/>
        <v>3.5</v>
      </c>
      <c r="R39" s="173">
        <f t="shared" si="21"/>
        <v>0.53846153846153832</v>
      </c>
      <c r="S39" s="149">
        <f t="shared" ref="S39:S45" si="22">S38-1</f>
        <v>11</v>
      </c>
      <c r="T39" s="149">
        <f t="shared" ref="T39:T45" si="23">T38-1</f>
        <v>11</v>
      </c>
      <c r="U39" s="149"/>
      <c r="V39" s="149"/>
    </row>
    <row r="40" spans="8:22" x14ac:dyDescent="0.3">
      <c r="H40" s="170">
        <v>44311</v>
      </c>
      <c r="I40" s="149">
        <v>771</v>
      </c>
      <c r="J40" s="156">
        <f t="shared" si="3"/>
        <v>9</v>
      </c>
      <c r="K40" s="149"/>
      <c r="L40" s="172"/>
      <c r="M40" s="168"/>
      <c r="N40" s="168"/>
      <c r="O40" s="168"/>
      <c r="P40" s="168">
        <f t="shared" si="19"/>
        <v>3.4615384615384617</v>
      </c>
      <c r="Q40" s="168">
        <f t="shared" si="20"/>
        <v>4.5</v>
      </c>
      <c r="R40" s="173">
        <f t="shared" si="21"/>
        <v>1.0384615384615383</v>
      </c>
      <c r="S40" s="149">
        <f t="shared" si="22"/>
        <v>10</v>
      </c>
      <c r="T40" s="149">
        <f t="shared" si="23"/>
        <v>10</v>
      </c>
      <c r="U40" s="149"/>
      <c r="V40" s="149"/>
    </row>
    <row r="41" spans="8:22" x14ac:dyDescent="0.3">
      <c r="H41" s="170">
        <v>44318</v>
      </c>
      <c r="I41" s="149">
        <v>780</v>
      </c>
      <c r="J41" s="156">
        <f t="shared" si="3"/>
        <v>9</v>
      </c>
      <c r="K41" s="149"/>
      <c r="L41" s="172"/>
      <c r="M41" s="168"/>
      <c r="N41" s="168"/>
      <c r="O41" s="168"/>
      <c r="P41" s="168">
        <f t="shared" si="19"/>
        <v>3.1153846153846154</v>
      </c>
      <c r="Q41" s="168">
        <f t="shared" si="20"/>
        <v>4.5</v>
      </c>
      <c r="R41" s="173">
        <f t="shared" si="21"/>
        <v>1.3846153846153846</v>
      </c>
      <c r="S41" s="149">
        <f t="shared" si="22"/>
        <v>9</v>
      </c>
      <c r="T41" s="149">
        <f t="shared" si="23"/>
        <v>9</v>
      </c>
      <c r="U41" s="149"/>
      <c r="V41" s="149"/>
    </row>
    <row r="42" spans="8:22" x14ac:dyDescent="0.3">
      <c r="H42" s="170">
        <v>44325</v>
      </c>
      <c r="I42" s="149">
        <v>782</v>
      </c>
      <c r="J42" s="156">
        <f t="shared" si="3"/>
        <v>2</v>
      </c>
      <c r="K42" s="149"/>
      <c r="L42" s="172"/>
      <c r="M42" s="168"/>
      <c r="N42" s="168"/>
      <c r="O42" s="168"/>
      <c r="P42" s="168">
        <f t="shared" si="19"/>
        <v>0.61538461538461542</v>
      </c>
      <c r="Q42" s="168">
        <f t="shared" si="20"/>
        <v>1</v>
      </c>
      <c r="R42" s="173">
        <f t="shared" si="21"/>
        <v>0.38461538461538458</v>
      </c>
      <c r="S42" s="149">
        <f t="shared" si="22"/>
        <v>8</v>
      </c>
      <c r="T42" s="149">
        <f t="shared" si="23"/>
        <v>8</v>
      </c>
      <c r="U42" s="149"/>
      <c r="V42" s="149"/>
    </row>
    <row r="43" spans="8:22" x14ac:dyDescent="0.3">
      <c r="H43" s="170">
        <v>44332</v>
      </c>
      <c r="I43" s="149">
        <v>788</v>
      </c>
      <c r="J43" s="156">
        <f t="shared" si="3"/>
        <v>6</v>
      </c>
      <c r="K43" s="149"/>
      <c r="L43" s="172"/>
      <c r="M43" s="168"/>
      <c r="N43" s="168"/>
      <c r="O43" s="168"/>
      <c r="P43" s="168">
        <f t="shared" si="19"/>
        <v>1.6153846153846154</v>
      </c>
      <c r="Q43" s="168">
        <f t="shared" si="20"/>
        <v>3</v>
      </c>
      <c r="R43" s="173">
        <f t="shared" si="21"/>
        <v>1.3846153846153846</v>
      </c>
      <c r="S43" s="149">
        <f t="shared" si="22"/>
        <v>7</v>
      </c>
      <c r="T43" s="149">
        <f t="shared" si="23"/>
        <v>7</v>
      </c>
      <c r="U43" s="149"/>
      <c r="V43" s="149"/>
    </row>
    <row r="44" spans="8:22" x14ac:dyDescent="0.3">
      <c r="H44" s="170">
        <v>44339</v>
      </c>
      <c r="I44" s="149">
        <v>796</v>
      </c>
      <c r="J44" s="156">
        <f t="shared" si="3"/>
        <v>8</v>
      </c>
      <c r="K44" s="149"/>
      <c r="L44" s="172"/>
      <c r="M44" s="168"/>
      <c r="N44" s="168"/>
      <c r="O44" s="168"/>
      <c r="P44" s="168">
        <f t="shared" si="19"/>
        <v>1.8461538461538463</v>
      </c>
      <c r="Q44" s="168">
        <f t="shared" si="20"/>
        <v>4</v>
      </c>
      <c r="R44" s="173">
        <f t="shared" si="21"/>
        <v>2.1538461538461537</v>
      </c>
      <c r="S44" s="149">
        <f t="shared" si="22"/>
        <v>6</v>
      </c>
      <c r="T44" s="149">
        <f t="shared" si="23"/>
        <v>6</v>
      </c>
      <c r="U44" s="149"/>
      <c r="V44" s="149"/>
    </row>
    <row r="45" spans="8:22" x14ac:dyDescent="0.3">
      <c r="H45" s="171">
        <v>44347</v>
      </c>
      <c r="I45" s="159">
        <v>800</v>
      </c>
      <c r="J45" s="163">
        <f t="shared" si="3"/>
        <v>4</v>
      </c>
      <c r="K45" s="149"/>
      <c r="L45" s="172"/>
      <c r="M45" s="168"/>
      <c r="N45" s="168"/>
      <c r="O45" s="168"/>
      <c r="P45" s="168">
        <f t="shared" si="19"/>
        <v>0.76923076923076927</v>
      </c>
      <c r="Q45" s="168">
        <f t="shared" si="20"/>
        <v>2</v>
      </c>
      <c r="R45" s="173">
        <f t="shared" si="21"/>
        <v>1.2307692307692308</v>
      </c>
      <c r="S45" s="149">
        <f t="shared" si="22"/>
        <v>5</v>
      </c>
      <c r="T45" s="149">
        <f t="shared" si="23"/>
        <v>5</v>
      </c>
      <c r="U45" s="149"/>
      <c r="V45" s="149"/>
    </row>
    <row r="46" spans="8:22" x14ac:dyDescent="0.3">
      <c r="H46" s="149"/>
      <c r="I46" s="149"/>
      <c r="J46" s="149"/>
      <c r="K46" s="149"/>
      <c r="L46" s="172">
        <f>SUM(L11:L45)</f>
        <v>184.80769230769229</v>
      </c>
      <c r="M46" s="168">
        <f t="shared" ref="M46:R46" si="24">SUM(M11:M45)</f>
        <v>261.42307692307696</v>
      </c>
      <c r="N46" s="168">
        <f t="shared" si="24"/>
        <v>77.692307692307693</v>
      </c>
      <c r="O46" s="168">
        <f t="shared" si="24"/>
        <v>53.384615384615394</v>
      </c>
      <c r="P46" s="168">
        <f t="shared" si="24"/>
        <v>129.03846153846155</v>
      </c>
      <c r="Q46" s="168">
        <f t="shared" si="24"/>
        <v>85.192307692307693</v>
      </c>
      <c r="R46" s="173">
        <f t="shared" si="24"/>
        <v>8.4615384615384599</v>
      </c>
      <c r="S46" s="149"/>
      <c r="T46" s="149"/>
      <c r="U46" s="149"/>
      <c r="V46" s="149"/>
    </row>
    <row r="47" spans="8:22" x14ac:dyDescent="0.3">
      <c r="H47" s="149"/>
      <c r="I47" s="149"/>
      <c r="J47" s="149"/>
      <c r="K47" s="149"/>
      <c r="L47" s="174">
        <f>L46*4</f>
        <v>739.23076923076917</v>
      </c>
      <c r="M47" s="175">
        <f t="shared" ref="M47:R47" si="25">M46*4</f>
        <v>1045.6923076923078</v>
      </c>
      <c r="N47" s="175">
        <f t="shared" si="25"/>
        <v>310.76923076923077</v>
      </c>
      <c r="O47" s="175">
        <f t="shared" si="25"/>
        <v>213.53846153846158</v>
      </c>
      <c r="P47" s="175">
        <f t="shared" si="25"/>
        <v>516.15384615384619</v>
      </c>
      <c r="Q47" s="175">
        <f t="shared" si="25"/>
        <v>340.76923076923077</v>
      </c>
      <c r="R47" s="177">
        <f t="shared" si="25"/>
        <v>33.84615384615384</v>
      </c>
      <c r="S47" s="149" t="s">
        <v>371</v>
      </c>
      <c r="T47" s="149"/>
      <c r="U47" s="149"/>
      <c r="V47" s="149"/>
    </row>
    <row r="48" spans="8:22" x14ac:dyDescent="0.3">
      <c r="J48" s="157" t="s">
        <v>372</v>
      </c>
      <c r="L48" s="157">
        <v>634</v>
      </c>
      <c r="M48" s="198">
        <f>K55</f>
        <v>900.7</v>
      </c>
      <c r="N48" s="198">
        <f t="shared" ref="N48:P48" si="26">L55</f>
        <v>270.7</v>
      </c>
      <c r="O48" s="198">
        <f t="shared" si="26"/>
        <v>195.4</v>
      </c>
      <c r="P48" s="198">
        <f t="shared" si="26"/>
        <v>451.9</v>
      </c>
      <c r="Q48" s="198">
        <v>279</v>
      </c>
      <c r="R48" s="198"/>
    </row>
    <row r="50" spans="8:29" x14ac:dyDescent="0.3">
      <c r="H50" s="950" t="s">
        <v>373</v>
      </c>
      <c r="I50" s="951"/>
      <c r="J50" s="957" t="s">
        <v>325</v>
      </c>
      <c r="K50" s="958"/>
      <c r="L50" s="958"/>
      <c r="M50" s="959"/>
      <c r="N50" s="959"/>
      <c r="O50" s="959"/>
      <c r="P50" s="960"/>
      <c r="Q50" s="182"/>
      <c r="R50" s="182"/>
      <c r="S50" s="182"/>
      <c r="T50" s="182"/>
      <c r="U50" s="182"/>
      <c r="V50" s="182"/>
      <c r="W50" s="182"/>
      <c r="X50" s="182"/>
      <c r="Y50" s="182"/>
    </row>
    <row r="51" spans="8:29" x14ac:dyDescent="0.3">
      <c r="H51" s="952"/>
      <c r="I51" s="953"/>
      <c r="J51" s="948">
        <v>2020</v>
      </c>
      <c r="K51" s="949"/>
      <c r="L51" s="949"/>
      <c r="M51" s="948">
        <v>2021</v>
      </c>
      <c r="N51" s="949"/>
      <c r="O51" s="949"/>
      <c r="P51" s="956"/>
      <c r="Q51" s="945"/>
      <c r="R51" s="945"/>
      <c r="S51" s="945"/>
      <c r="T51" s="945"/>
      <c r="U51" s="945"/>
      <c r="V51" s="945"/>
      <c r="W51" s="945"/>
      <c r="X51" s="945"/>
    </row>
    <row r="52" spans="8:29" x14ac:dyDescent="0.3">
      <c r="H52" s="954"/>
      <c r="I52" s="955"/>
      <c r="J52" s="155" t="s">
        <v>329</v>
      </c>
      <c r="K52" s="154" t="s">
        <v>238</v>
      </c>
      <c r="L52" s="154" t="s">
        <v>327</v>
      </c>
      <c r="M52" s="176" t="s">
        <v>328</v>
      </c>
      <c r="N52" s="178" t="s">
        <v>329</v>
      </c>
      <c r="O52" s="178" t="s">
        <v>238</v>
      </c>
      <c r="P52" s="158" t="s">
        <v>327</v>
      </c>
      <c r="Q52" s="149"/>
      <c r="S52" s="157"/>
      <c r="T52" s="157"/>
      <c r="U52" s="149"/>
      <c r="V52" s="157"/>
      <c r="W52" s="157"/>
      <c r="X52" s="157"/>
      <c r="Y52" s="157"/>
      <c r="Z52" s="157"/>
      <c r="AA52" s="157"/>
    </row>
    <row r="53" spans="8:29" ht="32.700000000000003" customHeight="1" x14ac:dyDescent="0.3">
      <c r="H53" s="188" t="s">
        <v>374</v>
      </c>
      <c r="I53" s="149" t="s">
        <v>375</v>
      </c>
      <c r="J53" s="193">
        <f>'Haver Pivoted'!GU47</f>
        <v>57.2</v>
      </c>
      <c r="K53" s="194">
        <f>'Haver Pivoted'!GV47</f>
        <v>81.2</v>
      </c>
      <c r="L53" s="194">
        <f>'Haver Pivoted'!GW47</f>
        <v>24.4</v>
      </c>
      <c r="M53" s="160">
        <f>'Haver Pivoted'!GX47</f>
        <v>10.8</v>
      </c>
      <c r="N53" s="160">
        <f>'Haver Pivoted'!GY47</f>
        <v>24.7</v>
      </c>
      <c r="O53" s="153">
        <f>'Haver Pivoted'!GZ47</f>
        <v>14</v>
      </c>
      <c r="P53" s="153">
        <f>'Haver Pivoted'!HA47</f>
        <v>2</v>
      </c>
      <c r="Q53" s="160"/>
      <c r="S53" s="157"/>
      <c r="T53" s="157"/>
      <c r="U53" s="157"/>
      <c r="V53" s="157"/>
      <c r="W53" s="157"/>
      <c r="X53" s="157"/>
      <c r="Y53" s="157"/>
      <c r="Z53" s="157"/>
      <c r="AA53" s="157"/>
    </row>
    <row r="54" spans="8:29" ht="33.75" customHeight="1" x14ac:dyDescent="0.3">
      <c r="H54" s="188" t="s">
        <v>376</v>
      </c>
      <c r="I54" s="150" t="s">
        <v>377</v>
      </c>
      <c r="J54" s="165">
        <f>'Haver Pivoted'!GU49</f>
        <v>576.9</v>
      </c>
      <c r="K54" s="160">
        <f>'Haver Pivoted'!GV49</f>
        <v>819.5</v>
      </c>
      <c r="L54" s="160">
        <f>'Haver Pivoted'!GW49</f>
        <v>246.3</v>
      </c>
      <c r="M54" s="160">
        <f>'Haver Pivoted'!GX49</f>
        <v>184.6</v>
      </c>
      <c r="N54" s="160">
        <f>'Haver Pivoted'!GY49</f>
        <v>427.2</v>
      </c>
      <c r="O54" s="153">
        <f>'Haver Pivoted'!GZ49</f>
        <v>265</v>
      </c>
      <c r="P54" s="153">
        <f>'Haver Pivoted'!HA49</f>
        <v>28.6</v>
      </c>
      <c r="Q54" s="160"/>
      <c r="R54" s="160"/>
    </row>
    <row r="55" spans="8:29" x14ac:dyDescent="0.3">
      <c r="H55" s="180" t="s">
        <v>360</v>
      </c>
      <c r="I55" s="149"/>
      <c r="J55" s="165">
        <f>J54+J53</f>
        <v>634.1</v>
      </c>
      <c r="K55" s="160">
        <f t="shared" ref="K55:M55" si="27">K54+K53</f>
        <v>900.7</v>
      </c>
      <c r="L55" s="160">
        <f t="shared" si="27"/>
        <v>270.7</v>
      </c>
      <c r="M55" s="160">
        <f t="shared" si="27"/>
        <v>195.4</v>
      </c>
      <c r="N55" s="160">
        <f t="shared" ref="N55:P55" si="28">N54+N53</f>
        <v>451.9</v>
      </c>
      <c r="O55" s="153">
        <f t="shared" si="28"/>
        <v>279</v>
      </c>
      <c r="P55" s="153">
        <f t="shared" si="28"/>
        <v>30.6</v>
      </c>
      <c r="Q55" s="160"/>
      <c r="R55" s="160"/>
    </row>
    <row r="56" spans="8:29" x14ac:dyDescent="0.3">
      <c r="H56" s="151" t="s">
        <v>378</v>
      </c>
      <c r="I56" s="159"/>
      <c r="J56" s="184">
        <f t="shared" ref="J56:P56" si="29">J53/J55</f>
        <v>9.0206592020186091E-2</v>
      </c>
      <c r="K56" s="185">
        <f t="shared" si="29"/>
        <v>9.015210391917397E-2</v>
      </c>
      <c r="L56" s="185">
        <f t="shared" si="29"/>
        <v>9.0136682674547469E-2</v>
      </c>
      <c r="M56" s="185">
        <f t="shared" si="29"/>
        <v>5.527123848515865E-2</v>
      </c>
      <c r="N56" s="185">
        <f t="shared" si="29"/>
        <v>5.4658110201371984E-2</v>
      </c>
      <c r="O56" s="186">
        <f t="shared" si="29"/>
        <v>5.0179211469534052E-2</v>
      </c>
      <c r="P56" s="186">
        <f t="shared" si="29"/>
        <v>6.535947712418301E-2</v>
      </c>
      <c r="Q56" s="166"/>
      <c r="R56" s="167"/>
    </row>
    <row r="58" spans="8:29" x14ac:dyDescent="0.3">
      <c r="H58" s="157" t="s">
        <v>891</v>
      </c>
    </row>
    <row r="59" spans="8:29" x14ac:dyDescent="0.3">
      <c r="H59" s="179"/>
      <c r="I59" s="149"/>
      <c r="J59" s="160"/>
      <c r="K59" s="160"/>
      <c r="L59" s="160"/>
      <c r="M59" s="160"/>
      <c r="N59" s="160"/>
      <c r="O59" s="160"/>
      <c r="P59" s="161"/>
      <c r="Q59" s="160"/>
      <c r="R59" s="160"/>
      <c r="S59" s="160"/>
      <c r="T59" s="157"/>
      <c r="U59" s="157"/>
      <c r="V59" s="157"/>
      <c r="W59" s="157"/>
      <c r="X59" s="157"/>
      <c r="Y59" s="157"/>
      <c r="Z59" s="157"/>
      <c r="AA59" s="157"/>
      <c r="AB59" s="157"/>
      <c r="AC59" s="157"/>
    </row>
    <row r="60" spans="8:29" x14ac:dyDescent="0.3">
      <c r="P60" s="160"/>
      <c r="Q60" s="157"/>
      <c r="R60" s="157"/>
      <c r="S60" s="157"/>
      <c r="T60" s="157"/>
      <c r="U60" s="157"/>
      <c r="V60" s="157"/>
      <c r="W60" s="157"/>
      <c r="X60" s="157"/>
      <c r="Y60" s="157"/>
      <c r="Z60" s="157"/>
      <c r="AA60" s="157"/>
      <c r="AB60" s="157"/>
      <c r="AC60" s="157"/>
    </row>
    <row r="61" spans="8:29" x14ac:dyDescent="0.3">
      <c r="P61" s="160"/>
      <c r="Q61" s="162"/>
      <c r="R61" s="162"/>
      <c r="S61" s="162"/>
      <c r="T61" s="162"/>
      <c r="U61" s="162"/>
      <c r="V61" s="162"/>
      <c r="W61" s="162"/>
      <c r="X61" s="162"/>
      <c r="Y61" s="162"/>
      <c r="Z61" s="162"/>
      <c r="AA61" s="162"/>
      <c r="AB61" s="162"/>
      <c r="AC61" s="157"/>
    </row>
    <row r="62" spans="8:29" x14ac:dyDescent="0.3">
      <c r="P62" s="160"/>
      <c r="Q62" s="162"/>
      <c r="R62" s="162"/>
      <c r="S62" s="162"/>
      <c r="T62" s="162"/>
      <c r="U62" s="162"/>
      <c r="V62" s="162"/>
      <c r="W62" s="162"/>
      <c r="X62" s="162"/>
      <c r="Y62" s="162"/>
      <c r="Z62" s="162"/>
      <c r="AA62" s="162"/>
      <c r="AB62" s="162"/>
      <c r="AC62" s="157"/>
    </row>
    <row r="63" spans="8:29" x14ac:dyDescent="0.3">
      <c r="I63" s="157" t="s">
        <v>328</v>
      </c>
      <c r="J63" s="157" t="s">
        <v>329</v>
      </c>
      <c r="K63" s="157" t="s">
        <v>238</v>
      </c>
      <c r="L63" s="157" t="s">
        <v>327</v>
      </c>
      <c r="P63" s="167"/>
      <c r="Q63" s="162"/>
      <c r="R63" s="162"/>
      <c r="S63" s="162"/>
      <c r="T63" s="162"/>
      <c r="U63" s="162"/>
      <c r="V63" s="162"/>
      <c r="W63" s="162"/>
      <c r="X63" s="162"/>
      <c r="Y63" s="162"/>
      <c r="Z63" s="162"/>
      <c r="AA63" s="162"/>
      <c r="AB63" s="162"/>
      <c r="AC63" s="157"/>
    </row>
    <row r="64" spans="8:29" x14ac:dyDescent="0.3">
      <c r="H64" s="157" t="s">
        <v>892</v>
      </c>
      <c r="I64" s="157">
        <v>81.599999999999994</v>
      </c>
      <c r="J64" s="157">
        <v>188.9</v>
      </c>
      <c r="K64" s="157">
        <v>117.2</v>
      </c>
      <c r="L64" s="157" t="e">
        <f>#REF!+#REF!</f>
        <v>#REF!</v>
      </c>
      <c r="P64" s="157"/>
      <c r="Q64" s="157"/>
      <c r="R64" s="157"/>
      <c r="S64" s="157"/>
      <c r="T64" s="157"/>
      <c r="U64" s="157"/>
      <c r="V64" s="157"/>
      <c r="W64" s="157"/>
      <c r="X64" s="157"/>
      <c r="Y64" s="157"/>
      <c r="Z64" s="157"/>
      <c r="AA64" s="157"/>
      <c r="AB64" s="157"/>
      <c r="AC64" s="157"/>
    </row>
    <row r="65" spans="7:29" x14ac:dyDescent="0.3">
      <c r="H65" s="157" t="s">
        <v>533</v>
      </c>
      <c r="I65" s="198">
        <f>M53</f>
        <v>10.8</v>
      </c>
      <c r="J65" s="198">
        <f t="shared" ref="J65:K65" si="30">N53</f>
        <v>24.7</v>
      </c>
      <c r="K65" s="198">
        <f t="shared" si="30"/>
        <v>14</v>
      </c>
      <c r="L65" s="157" t="e">
        <f>#REF!</f>
        <v>#REF!</v>
      </c>
      <c r="P65" s="157"/>
      <c r="Q65" s="157"/>
      <c r="R65" s="157"/>
      <c r="S65" s="157"/>
      <c r="T65" s="157"/>
      <c r="U65" s="157"/>
      <c r="V65" s="157"/>
      <c r="W65" s="157"/>
      <c r="X65" s="157"/>
      <c r="Y65" s="157"/>
      <c r="Z65" s="157"/>
      <c r="AA65" s="157"/>
      <c r="AB65" s="157"/>
      <c r="AC65" s="157"/>
    </row>
    <row r="66" spans="7:29" x14ac:dyDescent="0.3">
      <c r="H66" s="157" t="s">
        <v>893</v>
      </c>
      <c r="I66" s="198">
        <f>I67-SUM(I64:I65)</f>
        <v>103.00000000000001</v>
      </c>
      <c r="J66" s="198">
        <f t="shared" ref="J66:K66" si="31">J67-SUM(J64:J65)</f>
        <v>238.29999999999998</v>
      </c>
      <c r="K66" s="198">
        <f t="shared" si="31"/>
        <v>147.80000000000001</v>
      </c>
      <c r="L66" s="198" t="e">
        <f>1.26*L64</f>
        <v>#REF!</v>
      </c>
      <c r="P66" s="157"/>
      <c r="Q66" s="157"/>
      <c r="R66" s="157"/>
      <c r="S66" s="157"/>
      <c r="T66" s="157"/>
      <c r="U66" s="157"/>
      <c r="V66" s="157"/>
      <c r="W66" s="157"/>
      <c r="X66" s="157"/>
      <c r="Y66" s="157"/>
      <c r="Z66" s="157"/>
      <c r="AA66" s="157"/>
      <c r="AB66" s="157"/>
      <c r="AC66" s="157"/>
    </row>
    <row r="67" spans="7:29" x14ac:dyDescent="0.3">
      <c r="H67" s="157" t="s">
        <v>360</v>
      </c>
      <c r="I67" s="198">
        <f>M55</f>
        <v>195.4</v>
      </c>
      <c r="J67" s="198">
        <f>N55</f>
        <v>451.9</v>
      </c>
      <c r="K67" s="198">
        <f>O55</f>
        <v>279</v>
      </c>
      <c r="L67" s="198" t="e">
        <f>SUM(L64:L66)</f>
        <v>#REF!</v>
      </c>
    </row>
    <row r="68" spans="7:29" x14ac:dyDescent="0.3">
      <c r="G68" s="157" t="s">
        <v>894</v>
      </c>
    </row>
    <row r="69" spans="7:29" x14ac:dyDescent="0.3">
      <c r="H69" s="157" t="s">
        <v>892</v>
      </c>
      <c r="I69" s="181">
        <f>I64/I$67</f>
        <v>0.4176049129989764</v>
      </c>
      <c r="J69" s="181">
        <f t="shared" ref="J69:L69" si="32">J64/J$67</f>
        <v>0.41801283469794204</v>
      </c>
      <c r="K69" s="181">
        <f t="shared" si="32"/>
        <v>0.42007168458781363</v>
      </c>
      <c r="L69" s="181" t="e">
        <f t="shared" si="32"/>
        <v>#REF!</v>
      </c>
    </row>
    <row r="70" spans="7:29" x14ac:dyDescent="0.3">
      <c r="H70" s="157" t="s">
        <v>533</v>
      </c>
      <c r="I70" s="181">
        <f t="shared" ref="I70:L71" si="33">I65/I$67</f>
        <v>5.527123848515865E-2</v>
      </c>
      <c r="J70" s="181">
        <f t="shared" si="33"/>
        <v>5.4658110201371984E-2</v>
      </c>
      <c r="K70" s="181">
        <f t="shared" si="33"/>
        <v>5.0179211469534052E-2</v>
      </c>
      <c r="L70" s="181" t="e">
        <f t="shared" si="33"/>
        <v>#REF!</v>
      </c>
    </row>
    <row r="71" spans="7:29" x14ac:dyDescent="0.3">
      <c r="H71" s="157" t="s">
        <v>893</v>
      </c>
      <c r="I71" s="181">
        <f t="shared" si="33"/>
        <v>0.52712384851586491</v>
      </c>
      <c r="J71" s="181">
        <f t="shared" si="33"/>
        <v>0.52732905510068595</v>
      </c>
      <c r="K71" s="181">
        <f t="shared" si="33"/>
        <v>0.5297491039426524</v>
      </c>
      <c r="L71" s="181" t="e">
        <f t="shared" si="33"/>
        <v>#REF!</v>
      </c>
    </row>
    <row r="73" spans="7:29" x14ac:dyDescent="0.3">
      <c r="H73" s="157" t="s">
        <v>895</v>
      </c>
      <c r="I73" s="157">
        <f>I66/I64</f>
        <v>1.2622549019607845</v>
      </c>
      <c r="J73" s="157">
        <f t="shared" ref="J73:K73" si="34">J66/J64</f>
        <v>1.2615140285865536</v>
      </c>
      <c r="K73" s="157">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V52"/>
  <sheetViews>
    <sheetView topLeftCell="C10" zoomScale="110" zoomScaleNormal="110" workbookViewId="0">
      <selection activeCell="S15" sqref="S15"/>
    </sheetView>
  </sheetViews>
  <sheetFormatPr defaultColWidth="11.5546875" defaultRowHeight="14.4" x14ac:dyDescent="0.3"/>
  <cols>
    <col min="2" max="2" width="38.6640625" customWidth="1"/>
    <col min="3" max="9" width="10.44140625" customWidth="1"/>
    <col min="10" max="20" width="7.109375" customWidth="1"/>
    <col min="21" max="21" width="22.109375" customWidth="1"/>
    <col min="22" max="22" width="11.6640625" customWidth="1"/>
  </cols>
  <sheetData>
    <row r="1" spans="1:22" x14ac:dyDescent="0.3">
      <c r="B1" s="934" t="s">
        <v>152</v>
      </c>
      <c r="C1" s="934"/>
      <c r="D1" s="934"/>
      <c r="E1" s="934"/>
      <c r="F1" s="934"/>
      <c r="G1" s="934"/>
      <c r="H1" s="934"/>
      <c r="I1" s="934"/>
      <c r="J1" s="934"/>
      <c r="K1" s="934"/>
      <c r="L1" s="934"/>
      <c r="M1" s="934"/>
      <c r="N1" s="934"/>
      <c r="O1" s="934"/>
      <c r="P1" s="934"/>
      <c r="Q1" s="934"/>
      <c r="R1" s="934"/>
      <c r="S1" s="934"/>
      <c r="T1" s="934"/>
    </row>
    <row r="2" spans="1:22" x14ac:dyDescent="0.3">
      <c r="B2" s="961" t="s">
        <v>936</v>
      </c>
      <c r="C2" s="961"/>
      <c r="D2" s="961"/>
      <c r="E2" s="961"/>
      <c r="F2" s="961"/>
      <c r="G2" s="961"/>
      <c r="H2" s="961"/>
      <c r="I2" s="961"/>
      <c r="J2" s="961"/>
      <c r="K2" s="961"/>
      <c r="L2" s="961"/>
      <c r="M2" s="961"/>
      <c r="N2" s="961"/>
      <c r="O2" s="961"/>
      <c r="P2" s="961"/>
      <c r="Q2" s="961"/>
      <c r="R2" s="961"/>
      <c r="S2" s="961"/>
      <c r="T2" s="961"/>
    </row>
    <row r="3" spans="1:22" x14ac:dyDescent="0.3">
      <c r="B3" s="961"/>
      <c r="C3" s="961"/>
      <c r="D3" s="961"/>
      <c r="E3" s="961"/>
      <c r="F3" s="961"/>
      <c r="G3" s="961"/>
      <c r="H3" s="961"/>
      <c r="I3" s="961"/>
      <c r="J3" s="961"/>
      <c r="K3" s="961"/>
      <c r="L3" s="961"/>
      <c r="M3" s="961"/>
      <c r="N3" s="961"/>
      <c r="O3" s="961"/>
      <c r="P3" s="961"/>
      <c r="Q3" s="961"/>
      <c r="R3" s="961"/>
      <c r="S3" s="961"/>
      <c r="T3" s="961"/>
    </row>
    <row r="4" spans="1:22" x14ac:dyDescent="0.3">
      <c r="B4" s="961"/>
      <c r="C4" s="961"/>
      <c r="D4" s="961"/>
      <c r="E4" s="961"/>
      <c r="F4" s="961"/>
      <c r="G4" s="961"/>
      <c r="H4" s="961"/>
      <c r="I4" s="961"/>
      <c r="J4" s="961"/>
      <c r="K4" s="961"/>
      <c r="L4" s="961"/>
      <c r="M4" s="961"/>
      <c r="N4" s="961"/>
      <c r="O4" s="961"/>
      <c r="P4" s="961"/>
      <c r="Q4" s="961"/>
      <c r="R4" s="961"/>
      <c r="S4" s="961"/>
      <c r="T4" s="961"/>
    </row>
    <row r="5" spans="1:22" x14ac:dyDescent="0.3">
      <c r="B5" s="961"/>
      <c r="C5" s="961"/>
      <c r="D5" s="961"/>
      <c r="E5" s="961"/>
      <c r="F5" s="961"/>
      <c r="G5" s="961"/>
      <c r="H5" s="961"/>
      <c r="I5" s="961"/>
      <c r="J5" s="961"/>
      <c r="K5" s="961"/>
      <c r="L5" s="961"/>
      <c r="M5" s="961"/>
      <c r="N5" s="961"/>
      <c r="O5" s="961"/>
      <c r="P5" s="961"/>
      <c r="Q5" s="961"/>
      <c r="R5" s="961"/>
      <c r="S5" s="961"/>
      <c r="T5" s="961"/>
    </row>
    <row r="6" spans="1:22" x14ac:dyDescent="0.3">
      <c r="B6" s="961"/>
      <c r="C6" s="961"/>
      <c r="D6" s="961"/>
      <c r="E6" s="961"/>
      <c r="F6" s="961"/>
      <c r="G6" s="961"/>
      <c r="H6" s="961"/>
      <c r="I6" s="961"/>
      <c r="J6" s="961"/>
      <c r="K6" s="961"/>
      <c r="L6" s="961"/>
      <c r="M6" s="961"/>
      <c r="N6" s="961"/>
      <c r="O6" s="961"/>
      <c r="P6" s="961"/>
      <c r="Q6" s="961"/>
      <c r="R6" s="961"/>
      <c r="S6" s="961"/>
      <c r="T6" s="961"/>
    </row>
    <row r="7" spans="1:22" x14ac:dyDescent="0.3">
      <c r="J7" s="148"/>
      <c r="K7" s="148"/>
      <c r="M7" s="148"/>
    </row>
    <row r="9" spans="1:22" ht="14.7" customHeight="1" x14ac:dyDescent="0.3">
      <c r="A9" s="123"/>
      <c r="B9" s="962" t="s">
        <v>352</v>
      </c>
      <c r="C9" s="963"/>
      <c r="D9" s="222">
        <v>2018</v>
      </c>
      <c r="E9" s="968">
        <v>2019</v>
      </c>
      <c r="F9" s="969"/>
      <c r="G9" s="969"/>
      <c r="H9" s="970"/>
      <c r="I9" s="966">
        <v>2020</v>
      </c>
      <c r="J9" s="967"/>
      <c r="K9" s="967"/>
      <c r="L9" s="967"/>
      <c r="M9" s="971">
        <v>2021</v>
      </c>
      <c r="N9" s="972"/>
      <c r="O9" s="972"/>
      <c r="P9" s="973"/>
      <c r="Q9" s="976">
        <v>2022</v>
      </c>
      <c r="R9" s="977"/>
      <c r="S9" s="974"/>
      <c r="T9" s="975"/>
    </row>
    <row r="10" spans="1:22" x14ac:dyDescent="0.3">
      <c r="B10" s="964"/>
      <c r="C10" s="965"/>
      <c r="D10" s="230" t="s">
        <v>327</v>
      </c>
      <c r="E10" s="231" t="s">
        <v>328</v>
      </c>
      <c r="F10" s="209" t="s">
        <v>329</v>
      </c>
      <c r="G10" s="209" t="s">
        <v>238</v>
      </c>
      <c r="H10" s="232" t="s">
        <v>327</v>
      </c>
      <c r="I10" s="231" t="s">
        <v>328</v>
      </c>
      <c r="J10" s="209" t="s">
        <v>329</v>
      </c>
      <c r="K10" s="209" t="s">
        <v>238</v>
      </c>
      <c r="L10" s="209" t="s">
        <v>327</v>
      </c>
      <c r="M10" s="155" t="s">
        <v>328</v>
      </c>
      <c r="N10" s="154" t="s">
        <v>329</v>
      </c>
      <c r="O10" s="154" t="s">
        <v>238</v>
      </c>
      <c r="P10" s="205" t="s">
        <v>327</v>
      </c>
      <c r="Q10" s="209" t="s">
        <v>328</v>
      </c>
      <c r="R10" s="209" t="s">
        <v>329</v>
      </c>
      <c r="S10" s="213" t="s">
        <v>238</v>
      </c>
      <c r="T10" s="217" t="s">
        <v>327</v>
      </c>
    </row>
    <row r="11" spans="1:22" ht="28.95" customHeight="1" x14ac:dyDescent="0.3">
      <c r="A11" s="216"/>
      <c r="B11" s="239" t="s">
        <v>139</v>
      </c>
      <c r="C11" s="227" t="s">
        <v>353</v>
      </c>
      <c r="D11" s="211"/>
      <c r="E11" s="227"/>
      <c r="F11" s="227"/>
      <c r="G11" s="227"/>
      <c r="H11" s="227"/>
      <c r="I11" s="227"/>
      <c r="J11" s="228">
        <f>'Haver Pivoted'!GU48</f>
        <v>160.9</v>
      </c>
      <c r="K11" s="228">
        <f>'Haver Pivoted'!GV48</f>
        <v>58.4</v>
      </c>
      <c r="L11" s="228">
        <f>'Haver Pivoted'!GW48</f>
        <v>34.5</v>
      </c>
      <c r="M11" s="228">
        <f>'Haver Pivoted'!GX48</f>
        <v>42.8</v>
      </c>
      <c r="N11" s="228">
        <f>'Haver Pivoted'!GY48</f>
        <v>26.6</v>
      </c>
      <c r="O11" s="228">
        <f>'Haver Pivoted'!GZ48</f>
        <v>37.4</v>
      </c>
      <c r="P11" s="207">
        <f>'Haver Pivoted'!HA48</f>
        <v>64.400000000000006</v>
      </c>
      <c r="Q11" s="240">
        <f>'Haver Pivoted'!HB48</f>
        <v>53.7</v>
      </c>
      <c r="R11" s="207">
        <f>'Haver Pivoted'!HC48</f>
        <v>44.2</v>
      </c>
      <c r="S11" s="225">
        <f t="shared" ref="S11:T11" si="0">S$14*S15</f>
        <v>15.102505694760818</v>
      </c>
      <c r="T11" s="225">
        <f t="shared" si="0"/>
        <v>0</v>
      </c>
    </row>
    <row r="12" spans="1:22" ht="28.95" customHeight="1" x14ac:dyDescent="0.3">
      <c r="A12" s="216"/>
      <c r="B12" s="212" t="s">
        <v>354</v>
      </c>
      <c r="C12" s="229" t="s">
        <v>355</v>
      </c>
      <c r="D12" s="212"/>
      <c r="E12" s="229"/>
      <c r="F12" s="229"/>
      <c r="G12" s="229"/>
      <c r="H12" s="229"/>
      <c r="I12" s="229"/>
      <c r="J12" s="233">
        <f>'Haver Pivoted'!GU58</f>
        <v>64.400000000000006</v>
      </c>
      <c r="K12" s="233">
        <f>'Haver Pivoted'!GV58</f>
        <v>23.4</v>
      </c>
      <c r="L12" s="233">
        <f>'Haver Pivoted'!GW58</f>
        <v>13.8</v>
      </c>
      <c r="M12" s="233">
        <f>'Haver Pivoted'!GX58</f>
        <v>17.100000000000001</v>
      </c>
      <c r="N12" s="233">
        <f>'Haver Pivoted'!GY58</f>
        <v>10.6</v>
      </c>
      <c r="O12" s="233">
        <f>'Haver Pivoted'!GZ58</f>
        <v>15</v>
      </c>
      <c r="P12" s="208">
        <f>'Haver Pivoted'!HA58</f>
        <v>25.8</v>
      </c>
      <c r="Q12" s="242">
        <f>'Haver Pivoted'!HB58</f>
        <v>21.5</v>
      </c>
      <c r="R12" s="208">
        <f>'Haver Pivoted'!HC58</f>
        <v>17.600000000000001</v>
      </c>
      <c r="S12" s="214">
        <f t="shared" ref="S12" si="1">S$14*S16</f>
        <v>6.0136674259681095</v>
      </c>
      <c r="T12" s="217"/>
    </row>
    <row r="13" spans="1:22" ht="46.8" customHeight="1" x14ac:dyDescent="0.3">
      <c r="A13" s="216"/>
      <c r="B13" s="212" t="s">
        <v>356</v>
      </c>
      <c r="C13" s="229" t="s">
        <v>357</v>
      </c>
      <c r="D13" s="212"/>
      <c r="E13" s="229"/>
      <c r="F13" s="229"/>
      <c r="G13" s="229"/>
      <c r="H13" s="229"/>
      <c r="I13" s="229"/>
      <c r="J13" s="233">
        <f>'Haver Pivoted'!GU54</f>
        <v>96.6</v>
      </c>
      <c r="K13" s="233">
        <f>'Haver Pivoted'!GV54</f>
        <v>35.1</v>
      </c>
      <c r="L13" s="233">
        <f>'Haver Pivoted'!GW54</f>
        <v>20.7</v>
      </c>
      <c r="M13" s="233">
        <f>'Haver Pivoted'!GX54</f>
        <v>25.7</v>
      </c>
      <c r="N13" s="233">
        <f>'Haver Pivoted'!GY54</f>
        <v>16</v>
      </c>
      <c r="O13" s="233">
        <f>'Haver Pivoted'!GZ54</f>
        <v>22.4</v>
      </c>
      <c r="P13" s="208">
        <f>'Haver Pivoted'!HA54</f>
        <v>38.700000000000003</v>
      </c>
      <c r="Q13" s="242">
        <f>'Haver Pivoted'!HB54</f>
        <v>32.200000000000003</v>
      </c>
      <c r="R13" s="208">
        <f>'Haver Pivoted'!HC54</f>
        <v>26</v>
      </c>
      <c r="S13" s="214">
        <f t="shared" ref="S13" si="2">S$14*S17</f>
        <v>8.8838268792710693</v>
      </c>
      <c r="T13" s="217"/>
      <c r="U13" s="224" t="s">
        <v>358</v>
      </c>
      <c r="V13" s="223" t="s">
        <v>359</v>
      </c>
    </row>
    <row r="14" spans="1:22" x14ac:dyDescent="0.3">
      <c r="B14" s="55" t="s">
        <v>360</v>
      </c>
      <c r="C14" s="57"/>
      <c r="D14" s="55"/>
      <c r="E14" s="57"/>
      <c r="F14" s="57"/>
      <c r="G14" s="57"/>
      <c r="H14" s="57"/>
      <c r="I14" s="57"/>
      <c r="J14" s="233">
        <f t="shared" ref="J14:R14" si="3">J13+J12+J11</f>
        <v>321.89999999999998</v>
      </c>
      <c r="K14" s="233">
        <f t="shared" si="3"/>
        <v>116.9</v>
      </c>
      <c r="L14" s="233">
        <f t="shared" si="3"/>
        <v>69</v>
      </c>
      <c r="M14" s="233">
        <f t="shared" si="3"/>
        <v>85.6</v>
      </c>
      <c r="N14" s="233">
        <f t="shared" si="3"/>
        <v>53.2</v>
      </c>
      <c r="O14" s="233">
        <f t="shared" si="3"/>
        <v>74.8</v>
      </c>
      <c r="P14" s="208">
        <f t="shared" si="3"/>
        <v>128.9</v>
      </c>
      <c r="Q14" s="242">
        <f t="shared" si="3"/>
        <v>107.4</v>
      </c>
      <c r="R14" s="208">
        <f t="shared" si="3"/>
        <v>87.800000000000011</v>
      </c>
      <c r="S14" s="213">
        <v>30</v>
      </c>
      <c r="T14" s="217"/>
      <c r="U14" s="236">
        <v>236</v>
      </c>
      <c r="V14" s="237">
        <f>SUM(J14:S14)/4</f>
        <v>268.875</v>
      </c>
    </row>
    <row r="15" spans="1:22" x14ac:dyDescent="0.3">
      <c r="B15" s="215" t="s">
        <v>361</v>
      </c>
      <c r="C15" s="59"/>
      <c r="D15" s="215"/>
      <c r="E15" s="59"/>
      <c r="F15" s="59"/>
      <c r="G15" s="59"/>
      <c r="H15" s="59"/>
      <c r="I15" s="59"/>
      <c r="J15" s="123">
        <f t="shared" ref="J15:N17" si="4">J11/J$14</f>
        <v>0.49984467225846541</v>
      </c>
      <c r="K15" s="123">
        <f t="shared" si="4"/>
        <v>0.49957228400342168</v>
      </c>
      <c r="L15" s="123">
        <f t="shared" si="4"/>
        <v>0.5</v>
      </c>
      <c r="M15" s="123">
        <f t="shared" si="4"/>
        <v>0.5</v>
      </c>
      <c r="N15" s="123">
        <f t="shared" si="4"/>
        <v>0.5</v>
      </c>
      <c r="O15" s="123">
        <f>O11/O$14</f>
        <v>0.5</v>
      </c>
      <c r="P15" s="234">
        <f t="shared" ref="P15:R15" si="5">P11/P$14</f>
        <v>0.49961210240496512</v>
      </c>
      <c r="Q15" s="238">
        <f t="shared" si="5"/>
        <v>0.5</v>
      </c>
      <c r="R15" s="238">
        <f t="shared" si="5"/>
        <v>0.50341685649202728</v>
      </c>
      <c r="S15" s="218">
        <f t="shared" ref="S15:S17" si="6">R15</f>
        <v>0.50341685649202728</v>
      </c>
      <c r="T15" s="217"/>
    </row>
    <row r="16" spans="1:22" x14ac:dyDescent="0.3">
      <c r="B16" s="215" t="s">
        <v>362</v>
      </c>
      <c r="C16" s="59"/>
      <c r="D16" s="215"/>
      <c r="E16" s="59"/>
      <c r="F16" s="59"/>
      <c r="G16" s="59"/>
      <c r="H16" s="59"/>
      <c r="I16" s="59"/>
      <c r="J16" s="123">
        <f t="shared" si="4"/>
        <v>0.20006213109661389</v>
      </c>
      <c r="K16" s="123">
        <f t="shared" si="4"/>
        <v>0.20017108639863129</v>
      </c>
      <c r="L16" s="123">
        <f t="shared" si="4"/>
        <v>0.2</v>
      </c>
      <c r="M16" s="123">
        <f t="shared" si="4"/>
        <v>0.19976635514018695</v>
      </c>
      <c r="N16" s="123">
        <f t="shared" si="4"/>
        <v>0.19924812030075187</v>
      </c>
      <c r="O16" s="123">
        <f t="shared" ref="O16:R16" si="7">O12/O$14</f>
        <v>0.20053475935828877</v>
      </c>
      <c r="P16" s="234">
        <f t="shared" si="7"/>
        <v>0.20015515903801395</v>
      </c>
      <c r="Q16" s="238">
        <f t="shared" si="7"/>
        <v>0.20018621973929235</v>
      </c>
      <c r="R16" s="238">
        <f t="shared" si="7"/>
        <v>0.20045558086560364</v>
      </c>
      <c r="S16" s="218">
        <f t="shared" si="6"/>
        <v>0.20045558086560364</v>
      </c>
      <c r="T16" s="217"/>
      <c r="U16" s="203"/>
    </row>
    <row r="17" spans="2:21" x14ac:dyDescent="0.3">
      <c r="B17" s="219" t="s">
        <v>363</v>
      </c>
      <c r="C17" s="226"/>
      <c r="D17" s="219"/>
      <c r="E17" s="226"/>
      <c r="F17" s="226"/>
      <c r="G17" s="226"/>
      <c r="H17" s="226"/>
      <c r="I17" s="226"/>
      <c r="J17" s="210">
        <f t="shared" si="4"/>
        <v>0.30009319664492079</v>
      </c>
      <c r="K17" s="210">
        <f t="shared" si="4"/>
        <v>0.30025662959794697</v>
      </c>
      <c r="L17" s="210">
        <f t="shared" si="4"/>
        <v>0.3</v>
      </c>
      <c r="M17" s="210">
        <f t="shared" si="4"/>
        <v>0.30023364485981308</v>
      </c>
      <c r="N17" s="210">
        <f t="shared" si="4"/>
        <v>0.3007518796992481</v>
      </c>
      <c r="O17" s="210">
        <f t="shared" ref="O17:R17" si="8">O13/O$14</f>
        <v>0.29946524064171121</v>
      </c>
      <c r="P17" s="235">
        <f t="shared" si="8"/>
        <v>0.30023273855702093</v>
      </c>
      <c r="Q17" s="241">
        <f t="shared" si="8"/>
        <v>0.29981378026070765</v>
      </c>
      <c r="R17" s="241">
        <f t="shared" si="8"/>
        <v>0.296127562642369</v>
      </c>
      <c r="S17" s="220">
        <f t="shared" si="6"/>
        <v>0.296127562642369</v>
      </c>
      <c r="T17" s="221"/>
    </row>
    <row r="18" spans="2:21" x14ac:dyDescent="0.3">
      <c r="B18" s="59"/>
      <c r="C18" s="59"/>
      <c r="D18" s="59"/>
      <c r="E18" s="59"/>
      <c r="F18" s="59"/>
      <c r="G18" s="59"/>
      <c r="H18" s="59"/>
      <c r="I18" s="59"/>
      <c r="J18" s="123"/>
      <c r="K18" s="123"/>
      <c r="L18" s="123"/>
      <c r="M18" s="123"/>
      <c r="N18" s="123"/>
      <c r="O18" s="123"/>
      <c r="P18" s="123"/>
      <c r="Q18" s="206"/>
      <c r="R18" s="206"/>
      <c r="S18" s="206"/>
      <c r="T18" s="123"/>
      <c r="U18" s="36"/>
    </row>
    <row r="19" spans="2:21" x14ac:dyDescent="0.3">
      <c r="Q19" s="209" t="s">
        <v>328</v>
      </c>
      <c r="R19" s="213" t="s">
        <v>329</v>
      </c>
      <c r="S19" s="213" t="s">
        <v>238</v>
      </c>
      <c r="T19" s="217" t="s">
        <v>327</v>
      </c>
    </row>
    <row r="20" spans="2:21" x14ac:dyDescent="0.3">
      <c r="Q20" s="207">
        <v>53.7</v>
      </c>
      <c r="R20" s="225">
        <v>35</v>
      </c>
      <c r="S20" s="225">
        <v>0</v>
      </c>
      <c r="T20" s="204"/>
    </row>
    <row r="21" spans="2:21" x14ac:dyDescent="0.3">
      <c r="Q21" s="208">
        <v>21.5</v>
      </c>
      <c r="R21" s="214">
        <v>14.013035381750464</v>
      </c>
      <c r="S21" s="214">
        <v>0</v>
      </c>
      <c r="T21" s="217"/>
    </row>
    <row r="22" spans="2:21" x14ac:dyDescent="0.3">
      <c r="Q22" s="208">
        <v>32.200000000000003</v>
      </c>
      <c r="R22" s="214">
        <v>20.986964618249537</v>
      </c>
      <c r="S22" s="214">
        <v>0</v>
      </c>
      <c r="T22" s="217"/>
    </row>
    <row r="23" spans="2:21" x14ac:dyDescent="0.3">
      <c r="Q23" s="208">
        <v>107.4</v>
      </c>
      <c r="R23" s="213">
        <v>70</v>
      </c>
      <c r="S23" s="213">
        <v>0</v>
      </c>
      <c r="T23" s="217"/>
    </row>
    <row r="24" spans="2:21" x14ac:dyDescent="0.3">
      <c r="Q24" s="234">
        <v>0.5</v>
      </c>
      <c r="R24" s="218">
        <v>0.5</v>
      </c>
      <c r="S24" s="218">
        <v>0.5</v>
      </c>
      <c r="T24" s="217"/>
    </row>
    <row r="25" spans="2:21" x14ac:dyDescent="0.3">
      <c r="Q25" s="234">
        <v>0.20018621973929235</v>
      </c>
      <c r="R25" s="218">
        <v>0.20018621973929235</v>
      </c>
      <c r="S25" s="218">
        <v>0.20018621973929235</v>
      </c>
      <c r="T25" s="217"/>
    </row>
    <row r="26" spans="2:21" x14ac:dyDescent="0.3">
      <c r="Q26" s="235">
        <v>0.29981378026070765</v>
      </c>
      <c r="R26" s="220">
        <v>0.29981378026070765</v>
      </c>
      <c r="S26" s="220">
        <v>0.29981378026070765</v>
      </c>
      <c r="T26" s="221"/>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J22" sqref="J22"/>
    </sheetView>
  </sheetViews>
  <sheetFormatPr defaultColWidth="11.5546875" defaultRowHeight="14.4" x14ac:dyDescent="0.3"/>
  <cols>
    <col min="1" max="2" width="70.6640625" customWidth="1"/>
  </cols>
  <sheetData>
    <row r="1" spans="1:45" ht="15.6" customHeight="1" x14ac:dyDescent="0.3">
      <c r="A1" s="978" t="s">
        <v>299</v>
      </c>
      <c r="B1" s="978"/>
      <c r="C1" s="978"/>
      <c r="D1" s="978"/>
      <c r="E1" s="978"/>
      <c r="F1" s="978"/>
      <c r="G1" s="978"/>
      <c r="H1" s="978"/>
      <c r="I1" s="978"/>
      <c r="J1" s="978"/>
      <c r="K1" s="978"/>
      <c r="L1" s="978"/>
      <c r="M1" s="978"/>
      <c r="N1" s="978"/>
      <c r="O1" s="978"/>
    </row>
    <row r="2" spans="1:45" ht="31.2" customHeight="1" x14ac:dyDescent="0.3">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 customHeight="1" x14ac:dyDescent="0.3">
      <c r="A3" s="245" t="s">
        <v>301</v>
      </c>
      <c r="B3" s="245" t="s">
        <v>302</v>
      </c>
      <c r="C3" s="252">
        <v>0.22500000000000001</v>
      </c>
      <c r="D3" s="252">
        <v>0.22500000000000001</v>
      </c>
      <c r="E3" s="252">
        <v>0.22500000000000001</v>
      </c>
      <c r="F3" s="252">
        <v>0.22500000000000001</v>
      </c>
      <c r="G3" s="251">
        <v>0</v>
      </c>
      <c r="H3" s="251">
        <v>0</v>
      </c>
      <c r="I3" s="251">
        <v>0</v>
      </c>
      <c r="J3" s="251">
        <v>0</v>
      </c>
      <c r="K3" s="251">
        <v>0</v>
      </c>
      <c r="L3" s="251">
        <v>0</v>
      </c>
      <c r="M3" s="251">
        <v>0</v>
      </c>
      <c r="N3" s="251">
        <v>0</v>
      </c>
      <c r="O3" s="244"/>
      <c r="P3" s="252"/>
      <c r="Q3" s="252"/>
      <c r="R3" s="252"/>
      <c r="S3" s="252"/>
      <c r="T3" s="251"/>
      <c r="U3" s="251"/>
      <c r="V3" s="251"/>
      <c r="W3" s="251"/>
      <c r="X3" s="251"/>
      <c r="Y3" s="251"/>
      <c r="Z3" s="251"/>
      <c r="AA3" s="251"/>
      <c r="AC3" s="75"/>
      <c r="AD3" s="75"/>
      <c r="AE3" s="75"/>
      <c r="AF3" s="75"/>
      <c r="AG3" s="75"/>
      <c r="AH3" s="75"/>
      <c r="AI3" s="75"/>
      <c r="AJ3" s="75"/>
      <c r="AK3" s="75"/>
      <c r="AL3" s="75"/>
      <c r="AM3" s="75"/>
      <c r="AN3" s="75"/>
      <c r="AO3" s="75"/>
      <c r="AP3" s="75"/>
      <c r="AQ3" s="75"/>
      <c r="AR3" s="75"/>
      <c r="AS3" s="75"/>
    </row>
    <row r="4" spans="1:45" ht="15.6" customHeight="1" x14ac:dyDescent="0.3">
      <c r="A4" s="247" t="s">
        <v>303</v>
      </c>
      <c r="B4" s="247" t="s">
        <v>304</v>
      </c>
      <c r="C4" s="252">
        <v>-3.3333333333333333E-2</v>
      </c>
      <c r="D4" s="252">
        <v>-3.3333333333333333E-2</v>
      </c>
      <c r="E4" s="252">
        <v>-3.3333333333333333E-2</v>
      </c>
      <c r="F4" s="252">
        <v>-3.3333333333333333E-2</v>
      </c>
      <c r="G4" s="252">
        <v>-3.3333333333333333E-2</v>
      </c>
      <c r="H4" s="252">
        <v>-3.3333333333333333E-2</v>
      </c>
      <c r="I4" s="252">
        <v>-3.3333333333333333E-2</v>
      </c>
      <c r="J4" s="252">
        <v>-3.3333333333333333E-2</v>
      </c>
      <c r="K4" s="252">
        <v>-3.3333333333333333E-2</v>
      </c>
      <c r="L4" s="252">
        <v>-3.3333333333333333E-2</v>
      </c>
      <c r="M4" s="252">
        <v>-3.3333333333333333E-2</v>
      </c>
      <c r="N4" s="252">
        <v>-3.3333333333333333E-2</v>
      </c>
      <c r="O4" s="249">
        <f>SUM(C4:N4)</f>
        <v>-0.39999999999999997</v>
      </c>
      <c r="P4" s="252"/>
      <c r="Q4" s="252"/>
      <c r="R4" s="252"/>
      <c r="S4" s="252"/>
      <c r="T4" s="252"/>
      <c r="U4" s="252"/>
      <c r="V4" s="252"/>
      <c r="W4" s="252"/>
      <c r="X4" s="252"/>
      <c r="Y4" s="252"/>
      <c r="Z4" s="252"/>
      <c r="AA4" s="252"/>
      <c r="AC4" s="75"/>
      <c r="AD4" s="75"/>
      <c r="AE4" s="75"/>
      <c r="AF4" s="75"/>
      <c r="AG4" s="75"/>
      <c r="AH4" s="75"/>
      <c r="AI4" s="75"/>
      <c r="AJ4" s="75"/>
      <c r="AK4" s="75"/>
      <c r="AL4" s="75"/>
      <c r="AM4" s="75"/>
      <c r="AN4" s="75"/>
    </row>
    <row r="5" spans="1:45" ht="15.6" customHeight="1" x14ac:dyDescent="0.3">
      <c r="A5" s="247" t="s">
        <v>305</v>
      </c>
      <c r="B5" s="247" t="s">
        <v>306</v>
      </c>
      <c r="C5" s="252">
        <v>-0.12</v>
      </c>
      <c r="D5" s="252">
        <v>-0.12</v>
      </c>
      <c r="E5" s="252">
        <v>-0.06</v>
      </c>
      <c r="F5" s="252">
        <v>-0.06</v>
      </c>
      <c r="G5" s="252">
        <v>-0.06</v>
      </c>
      <c r="H5" s="252">
        <v>-0.06</v>
      </c>
      <c r="I5" s="252">
        <v>-0.06</v>
      </c>
      <c r="J5" s="252">
        <v>-0.06</v>
      </c>
      <c r="K5" s="252">
        <v>0</v>
      </c>
      <c r="L5" s="252">
        <v>0</v>
      </c>
      <c r="M5" s="252">
        <v>0</v>
      </c>
      <c r="N5" s="252">
        <v>0</v>
      </c>
      <c r="O5" s="249">
        <f t="shared" ref="O5:O13" si="1">SUM(C5:N5)</f>
        <v>-0.60000000000000009</v>
      </c>
      <c r="P5" s="252"/>
      <c r="Q5" s="252"/>
      <c r="R5" s="252"/>
      <c r="S5" s="252"/>
      <c r="T5" s="252"/>
      <c r="U5" s="252"/>
      <c r="V5" s="252"/>
      <c r="W5" s="252"/>
      <c r="X5" s="252"/>
      <c r="Y5" s="252"/>
      <c r="Z5" s="252"/>
      <c r="AA5" s="252"/>
      <c r="AC5" s="75"/>
      <c r="AD5" s="75"/>
      <c r="AE5" s="75"/>
      <c r="AF5" s="75"/>
      <c r="AG5" s="75"/>
      <c r="AH5" s="75"/>
      <c r="AI5" s="75"/>
      <c r="AJ5" s="75"/>
      <c r="AK5" s="75"/>
      <c r="AL5" s="75"/>
      <c r="AM5" s="75"/>
      <c r="AN5" s="75"/>
    </row>
    <row r="6" spans="1:45" ht="15.6" customHeight="1" x14ac:dyDescent="0.3">
      <c r="A6" s="245" t="s">
        <v>307</v>
      </c>
      <c r="B6" s="245" t="s">
        <v>213</v>
      </c>
      <c r="C6" s="252">
        <v>0.24499999999999997</v>
      </c>
      <c r="D6" s="252">
        <v>0.105</v>
      </c>
      <c r="E6" s="252">
        <v>5.5999999999999994E-2</v>
      </c>
      <c r="F6" s="252">
        <v>5.5999999999999994E-2</v>
      </c>
      <c r="G6" s="252">
        <v>5.5999999999999994E-2</v>
      </c>
      <c r="H6" s="252">
        <v>5.5999999999999994E-2</v>
      </c>
      <c r="I6" s="252">
        <v>5.5999999999999994E-2</v>
      </c>
      <c r="J6" s="252">
        <v>5.5999999999999994E-2</v>
      </c>
      <c r="K6" s="252">
        <v>0</v>
      </c>
      <c r="L6" s="252">
        <v>0</v>
      </c>
      <c r="M6" s="252">
        <v>0</v>
      </c>
      <c r="N6" s="252">
        <v>0</v>
      </c>
      <c r="O6" s="249">
        <f t="shared" si="1"/>
        <v>0.68600000000000017</v>
      </c>
      <c r="P6" s="252"/>
      <c r="Q6" s="252"/>
      <c r="R6" s="252"/>
      <c r="S6" s="252"/>
      <c r="T6" s="252"/>
      <c r="U6" s="252"/>
      <c r="V6" s="252"/>
      <c r="W6" s="252"/>
      <c r="X6" s="252"/>
      <c r="Y6" s="252"/>
      <c r="Z6" s="252"/>
      <c r="AA6" s="252"/>
      <c r="AC6" s="75"/>
      <c r="AD6" s="75"/>
      <c r="AE6" s="75"/>
      <c r="AF6" s="75"/>
      <c r="AG6" s="75"/>
      <c r="AH6" s="75"/>
      <c r="AI6" s="75"/>
      <c r="AJ6" s="75"/>
      <c r="AK6" s="75"/>
      <c r="AL6" s="75"/>
      <c r="AM6" s="75"/>
      <c r="AN6" s="75"/>
    </row>
    <row r="7" spans="1:45" ht="15.6" customHeight="1" x14ac:dyDescent="0.3">
      <c r="A7" s="245" t="s">
        <v>308</v>
      </c>
      <c r="B7" s="245" t="s">
        <v>309</v>
      </c>
      <c r="C7" s="252">
        <v>0.315</v>
      </c>
      <c r="D7" s="252">
        <v>0.315</v>
      </c>
      <c r="E7" s="252">
        <v>9.0000000000000011E-2</v>
      </c>
      <c r="F7" s="252">
        <v>9.0000000000000011E-2</v>
      </c>
      <c r="G7" s="252">
        <v>4.5000000000000005E-2</v>
      </c>
      <c r="H7" s="252">
        <v>4.5000000000000005E-2</v>
      </c>
      <c r="I7" s="252">
        <v>0</v>
      </c>
      <c r="J7" s="252">
        <v>0</v>
      </c>
      <c r="K7" s="252">
        <v>0</v>
      </c>
      <c r="L7" s="252">
        <v>0</v>
      </c>
      <c r="M7" s="252">
        <v>0</v>
      </c>
      <c r="N7" s="252">
        <v>0</v>
      </c>
      <c r="O7" s="249">
        <f t="shared" si="1"/>
        <v>0.9</v>
      </c>
      <c r="P7" s="252"/>
      <c r="Q7" s="252"/>
      <c r="R7" s="252"/>
      <c r="S7" s="252"/>
      <c r="T7" s="252"/>
      <c r="U7" s="252"/>
      <c r="V7" s="252"/>
      <c r="W7" s="252"/>
      <c r="X7" s="252"/>
      <c r="Y7" s="252"/>
      <c r="Z7" s="252"/>
      <c r="AA7" s="252"/>
      <c r="AC7" s="75"/>
      <c r="AD7" s="75"/>
      <c r="AE7" s="75"/>
      <c r="AF7" s="75"/>
      <c r="AG7" s="75"/>
      <c r="AH7" s="75"/>
      <c r="AI7" s="75"/>
      <c r="AJ7" s="75"/>
      <c r="AK7" s="75"/>
      <c r="AL7" s="75"/>
      <c r="AM7" s="75"/>
      <c r="AN7" s="75"/>
    </row>
    <row r="8" spans="1:45" ht="15.6" customHeight="1" x14ac:dyDescent="0.3">
      <c r="A8" s="245" t="s">
        <v>310</v>
      </c>
      <c r="B8" s="245" t="s">
        <v>311</v>
      </c>
      <c r="C8" s="252">
        <v>0.22500000000000001</v>
      </c>
      <c r="D8" s="252">
        <v>0.22500000000000001</v>
      </c>
      <c r="E8" s="252">
        <v>0.22500000000000001</v>
      </c>
      <c r="F8" s="252">
        <v>0.22500000000000001</v>
      </c>
      <c r="G8" s="252">
        <v>0</v>
      </c>
      <c r="H8" s="252">
        <v>0</v>
      </c>
      <c r="I8" s="252">
        <v>0</v>
      </c>
      <c r="J8" s="252">
        <v>0</v>
      </c>
      <c r="K8" s="252">
        <v>0</v>
      </c>
      <c r="L8" s="252">
        <v>0</v>
      </c>
      <c r="M8" s="252">
        <v>0</v>
      </c>
      <c r="N8" s="252">
        <v>0</v>
      </c>
      <c r="O8" s="249">
        <f t="shared" si="1"/>
        <v>0.9</v>
      </c>
      <c r="P8" s="252"/>
      <c r="Q8" s="252"/>
      <c r="R8" s="252"/>
      <c r="S8" s="252"/>
      <c r="T8" s="252"/>
      <c r="U8" s="252"/>
      <c r="V8" s="252"/>
      <c r="W8" s="252"/>
      <c r="X8" s="252"/>
      <c r="Y8" s="252"/>
      <c r="Z8" s="252"/>
      <c r="AA8" s="252"/>
      <c r="AC8" s="75"/>
      <c r="AD8" s="75"/>
      <c r="AE8" s="75"/>
      <c r="AF8" s="75"/>
      <c r="AG8" s="75"/>
      <c r="AH8" s="75"/>
      <c r="AI8" s="75"/>
      <c r="AJ8" s="75"/>
      <c r="AK8" s="75"/>
      <c r="AL8" s="75"/>
      <c r="AM8" s="75"/>
      <c r="AN8" s="75"/>
    </row>
    <row r="9" spans="1:45" ht="15.6" customHeight="1" x14ac:dyDescent="0.3">
      <c r="A9" s="245" t="s">
        <v>312</v>
      </c>
      <c r="B9" s="245" t="s">
        <v>313</v>
      </c>
      <c r="C9" s="252">
        <v>4.9500000000000002E-2</v>
      </c>
      <c r="D9" s="252">
        <v>4.2750000000000003E-2</v>
      </c>
      <c r="E9" s="252">
        <v>4.0500000000000001E-2</v>
      </c>
      <c r="F9" s="252">
        <v>3.8250000000000006E-2</v>
      </c>
      <c r="G9" s="252">
        <v>3.6000000000000004E-2</v>
      </c>
      <c r="H9" s="252">
        <v>3.6000000000000004E-2</v>
      </c>
      <c r="I9" s="252">
        <v>3.6000000000000004E-2</v>
      </c>
      <c r="J9" s="252">
        <v>3.6000000000000004E-2</v>
      </c>
      <c r="K9" s="252">
        <v>3.3750000000000002E-2</v>
      </c>
      <c r="L9" s="252">
        <v>3.3750000000000002E-2</v>
      </c>
      <c r="M9" s="252">
        <v>3.3750000000000002E-2</v>
      </c>
      <c r="N9" s="252">
        <v>3.3750000000000002E-2</v>
      </c>
      <c r="O9" s="249">
        <f t="shared" si="1"/>
        <v>0.45000000000000007</v>
      </c>
      <c r="P9" s="252"/>
      <c r="Q9" s="252"/>
      <c r="R9" s="252"/>
      <c r="S9" s="252"/>
      <c r="T9" s="252"/>
      <c r="U9" s="252"/>
      <c r="V9" s="252"/>
      <c r="W9" s="252"/>
      <c r="X9" s="252"/>
      <c r="Y9" s="252"/>
      <c r="Z9" s="252"/>
      <c r="AA9" s="252"/>
      <c r="AC9" s="75"/>
      <c r="AD9" s="75"/>
      <c r="AE9" s="75"/>
      <c r="AF9" s="75"/>
      <c r="AG9" s="75"/>
      <c r="AH9" s="75"/>
      <c r="AI9" s="75"/>
      <c r="AJ9" s="75"/>
      <c r="AK9" s="75"/>
      <c r="AL9" s="75"/>
      <c r="AM9" s="75"/>
      <c r="AN9" s="75"/>
    </row>
    <row r="10" spans="1:45" ht="15.6" customHeight="1" x14ac:dyDescent="0.3">
      <c r="A10" s="245" t="s">
        <v>314</v>
      </c>
      <c r="B10" s="245" t="s">
        <v>215</v>
      </c>
      <c r="C10" s="252">
        <v>0.14000000000000001</v>
      </c>
      <c r="D10" s="252">
        <v>0.1</v>
      </c>
      <c r="E10" s="252">
        <v>0.1</v>
      </c>
      <c r="F10" s="252">
        <v>0.05</v>
      </c>
      <c r="G10" s="252">
        <v>0.05</v>
      </c>
      <c r="H10" s="252">
        <v>0.05</v>
      </c>
      <c r="I10" s="252">
        <v>0.05</v>
      </c>
      <c r="J10" s="252">
        <v>0.05</v>
      </c>
      <c r="K10" s="252">
        <v>0.05</v>
      </c>
      <c r="L10" s="252">
        <v>0</v>
      </c>
      <c r="M10" s="252">
        <v>0</v>
      </c>
      <c r="N10" s="252">
        <v>0</v>
      </c>
      <c r="O10" s="249">
        <f>SUM(C10:N10)</f>
        <v>0.64000000000000012</v>
      </c>
      <c r="P10" s="252"/>
      <c r="Q10" s="252"/>
      <c r="R10" s="252"/>
      <c r="S10" s="252"/>
      <c r="T10" s="252"/>
      <c r="U10" s="252"/>
      <c r="V10" s="252"/>
      <c r="W10" s="252"/>
      <c r="X10" s="252"/>
      <c r="Y10" s="252"/>
      <c r="Z10" s="252"/>
      <c r="AA10" s="252"/>
      <c r="AC10" s="75"/>
      <c r="AD10" s="75"/>
      <c r="AE10" s="75"/>
      <c r="AF10" s="75"/>
      <c r="AG10" s="75"/>
      <c r="AH10" s="75"/>
      <c r="AI10" s="75"/>
      <c r="AJ10" s="75"/>
      <c r="AK10" s="75"/>
      <c r="AL10" s="75"/>
      <c r="AM10" s="75"/>
      <c r="AN10" s="75"/>
    </row>
    <row r="11" spans="1:45" ht="15.6" customHeight="1" x14ac:dyDescent="0.3">
      <c r="A11" s="245" t="s">
        <v>315</v>
      </c>
      <c r="B11" s="245" t="s">
        <v>316</v>
      </c>
      <c r="C11" s="252">
        <v>0.2</v>
      </c>
      <c r="D11" s="252">
        <v>0.17</v>
      </c>
      <c r="E11" s="252">
        <v>0.16</v>
      </c>
      <c r="F11" s="252">
        <v>0.15</v>
      </c>
      <c r="G11" s="252">
        <v>0.09</v>
      </c>
      <c r="H11" s="252">
        <v>0.05</v>
      </c>
      <c r="I11" s="252">
        <v>0.05</v>
      </c>
      <c r="J11" s="252">
        <v>0.04</v>
      </c>
      <c r="K11" s="252">
        <v>0</v>
      </c>
      <c r="L11" s="252">
        <v>0</v>
      </c>
      <c r="M11" s="252">
        <v>0</v>
      </c>
      <c r="N11" s="252">
        <v>0</v>
      </c>
      <c r="O11" s="249">
        <f>SUM(C11:N11)</f>
        <v>0.91000000000000014</v>
      </c>
      <c r="P11" s="252"/>
      <c r="Q11" s="252"/>
      <c r="R11" s="252"/>
      <c r="S11" s="252"/>
      <c r="T11" s="252"/>
      <c r="U11" s="252"/>
      <c r="V11" s="252"/>
      <c r="W11" s="252"/>
      <c r="X11" s="252"/>
      <c r="Y11" s="252"/>
      <c r="Z11" s="252"/>
      <c r="AA11" s="252"/>
      <c r="AC11" s="75"/>
      <c r="AD11" s="75"/>
      <c r="AE11" s="75"/>
      <c r="AF11" s="75"/>
      <c r="AG11" s="75"/>
      <c r="AH11" s="75"/>
      <c r="AI11" s="75"/>
      <c r="AJ11" s="75"/>
      <c r="AK11" s="75"/>
      <c r="AL11" s="75"/>
      <c r="AM11" s="75"/>
      <c r="AN11" s="75"/>
    </row>
    <row r="12" spans="1:45" ht="46.95" customHeight="1" x14ac:dyDescent="0.3">
      <c r="A12" s="246" t="s">
        <v>317</v>
      </c>
      <c r="B12" s="246" t="s">
        <v>318</v>
      </c>
      <c r="C12" s="252">
        <v>0.2</v>
      </c>
      <c r="D12" s="252">
        <v>0.17</v>
      </c>
      <c r="E12" s="252">
        <v>0.16</v>
      </c>
      <c r="F12" s="252">
        <v>0.15</v>
      </c>
      <c r="G12" s="252">
        <v>0.09</v>
      </c>
      <c r="H12" s="252">
        <v>0.05</v>
      </c>
      <c r="I12" s="252">
        <v>0.05</v>
      </c>
      <c r="J12" s="252">
        <v>0.04</v>
      </c>
      <c r="K12" s="252">
        <v>0</v>
      </c>
      <c r="L12" s="252">
        <v>0</v>
      </c>
      <c r="M12" s="252">
        <v>0</v>
      </c>
      <c r="N12" s="252">
        <v>0</v>
      </c>
      <c r="O12" s="249">
        <f t="shared" si="1"/>
        <v>0.91000000000000014</v>
      </c>
      <c r="P12" s="252"/>
      <c r="Q12" s="252"/>
      <c r="R12" s="252"/>
      <c r="S12" s="252"/>
      <c r="T12" s="252"/>
      <c r="U12" s="252"/>
      <c r="V12" s="252"/>
      <c r="W12" s="252"/>
      <c r="X12" s="252"/>
      <c r="Y12" s="252"/>
      <c r="Z12" s="252"/>
      <c r="AA12" s="252"/>
      <c r="AC12" s="75"/>
      <c r="AD12" s="75"/>
      <c r="AE12" s="75"/>
      <c r="AF12" s="75"/>
      <c r="AG12" s="75"/>
      <c r="AH12" s="75"/>
      <c r="AI12" s="75"/>
      <c r="AJ12" s="75"/>
      <c r="AK12" s="75"/>
      <c r="AL12" s="75"/>
      <c r="AM12" s="75"/>
      <c r="AN12" s="75"/>
    </row>
    <row r="13" spans="1:45" ht="31.2" customHeight="1" x14ac:dyDescent="0.3">
      <c r="A13" s="246" t="s">
        <v>319</v>
      </c>
      <c r="B13" s="246" t="s">
        <v>320</v>
      </c>
      <c r="C13" s="252">
        <v>0.14000000000000001</v>
      </c>
      <c r="D13" s="252">
        <v>0.1</v>
      </c>
      <c r="E13" s="252">
        <v>0.1</v>
      </c>
      <c r="F13" s="252">
        <v>0.05</v>
      </c>
      <c r="G13" s="252">
        <v>0.05</v>
      </c>
      <c r="H13" s="252">
        <v>0.05</v>
      </c>
      <c r="I13" s="252">
        <v>0.05</v>
      </c>
      <c r="J13" s="252">
        <v>0.05</v>
      </c>
      <c r="K13" s="252">
        <v>0.05</v>
      </c>
      <c r="L13" s="252">
        <v>0</v>
      </c>
      <c r="M13" s="252">
        <v>0</v>
      </c>
      <c r="N13" s="252">
        <v>0</v>
      </c>
      <c r="O13" s="249">
        <f t="shared" si="1"/>
        <v>0.64000000000000012</v>
      </c>
      <c r="P13" s="252"/>
      <c r="Q13" s="252"/>
      <c r="R13" s="252"/>
      <c r="S13" s="252"/>
      <c r="T13" s="252"/>
      <c r="U13" s="252"/>
      <c r="V13" s="252"/>
      <c r="W13" s="252"/>
      <c r="X13" s="252"/>
      <c r="Y13" s="252"/>
      <c r="Z13" s="252"/>
      <c r="AA13" s="252"/>
      <c r="AC13" s="75"/>
      <c r="AD13" s="75"/>
      <c r="AE13" s="75"/>
      <c r="AF13" s="75"/>
      <c r="AG13" s="75"/>
      <c r="AH13" s="75"/>
      <c r="AI13" s="75"/>
      <c r="AJ13" s="75"/>
      <c r="AK13" s="75"/>
      <c r="AL13" s="75"/>
      <c r="AM13" s="75"/>
      <c r="AN13" s="75"/>
    </row>
    <row r="14" spans="1:45" ht="46.95" customHeight="1" x14ac:dyDescent="0.3">
      <c r="A14" s="246" t="s">
        <v>321</v>
      </c>
      <c r="B14" s="246" t="s">
        <v>322</v>
      </c>
      <c r="C14" s="252">
        <v>0.04</v>
      </c>
      <c r="D14" s="252">
        <v>0.04</v>
      </c>
      <c r="E14" s="252">
        <v>1.7000000000000001E-2</v>
      </c>
      <c r="F14" s="252">
        <v>1.7000000000000001E-2</v>
      </c>
      <c r="G14" s="252">
        <v>1.7000000000000001E-2</v>
      </c>
      <c r="H14" s="252">
        <v>1.7000000000000001E-2</v>
      </c>
      <c r="I14" s="252">
        <v>1.7000000000000001E-2</v>
      </c>
      <c r="J14" s="252">
        <v>1.7000000000000001E-2</v>
      </c>
      <c r="K14" s="252">
        <v>1.7000000000000001E-2</v>
      </c>
      <c r="L14" s="252">
        <v>1.7000000000000001E-2</v>
      </c>
      <c r="M14" s="252">
        <v>1.7000000000000001E-2</v>
      </c>
      <c r="N14" s="252">
        <v>1.7000000000000001E-2</v>
      </c>
      <c r="O14" s="249">
        <f>SUM(C14:N14)</f>
        <v>0.25000000000000011</v>
      </c>
      <c r="P14" s="252"/>
      <c r="Q14" s="252"/>
      <c r="R14" s="252"/>
      <c r="S14" s="252"/>
      <c r="T14" s="252"/>
      <c r="U14" s="252"/>
      <c r="V14" s="252"/>
      <c r="W14" s="252"/>
      <c r="X14" s="252"/>
      <c r="Y14" s="252"/>
      <c r="Z14" s="252"/>
      <c r="AA14" s="252"/>
      <c r="AC14" s="75"/>
      <c r="AD14" s="75"/>
      <c r="AE14" s="75"/>
      <c r="AF14" s="75"/>
      <c r="AG14" s="75"/>
      <c r="AH14" s="75"/>
      <c r="AI14" s="75"/>
      <c r="AJ14" s="75"/>
      <c r="AK14" s="75"/>
      <c r="AL14" s="75"/>
      <c r="AM14" s="75"/>
      <c r="AN14" s="75"/>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C4" zoomScale="90" zoomScaleNormal="90" workbookViewId="0">
      <selection activeCell="S22" sqref="S22"/>
    </sheetView>
  </sheetViews>
  <sheetFormatPr defaultColWidth="11.554687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47" t="s">
        <v>53</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30" ht="14.25" customHeight="1" x14ac:dyDescent="0.3">
      <c r="B2" s="979" t="s">
        <v>323</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2:30"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2:30"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2:30" x14ac:dyDescent="0.3">
      <c r="B5" s="979"/>
      <c r="C5" s="979"/>
      <c r="D5" s="979"/>
      <c r="E5" s="979"/>
      <c r="F5" s="979"/>
      <c r="G5" s="979"/>
      <c r="H5" s="979"/>
      <c r="I5" s="979"/>
      <c r="J5" s="979"/>
      <c r="K5" s="979"/>
      <c r="L5" s="979"/>
      <c r="M5" s="979"/>
      <c r="N5" s="979"/>
      <c r="O5" s="979"/>
      <c r="P5" s="979"/>
      <c r="Q5" s="979"/>
      <c r="R5" s="979"/>
      <c r="S5" s="979"/>
      <c r="T5" s="979"/>
      <c r="U5" s="979"/>
      <c r="V5" s="979"/>
      <c r="W5" s="979"/>
      <c r="X5" s="979"/>
      <c r="Y5" s="979"/>
      <c r="Z5" s="979"/>
      <c r="AA5" s="979"/>
      <c r="AB5" s="979"/>
      <c r="AC5" s="979"/>
    </row>
    <row r="6" spans="2:30" ht="38.700000000000003" customHeight="1" x14ac:dyDescent="0.3">
      <c r="B6" s="979"/>
      <c r="C6" s="979"/>
      <c r="D6" s="979"/>
      <c r="E6" s="979"/>
      <c r="F6" s="979"/>
      <c r="G6" s="979"/>
      <c r="H6" s="979"/>
      <c r="I6" s="979"/>
      <c r="J6" s="979"/>
      <c r="K6" s="979"/>
      <c r="L6" s="979"/>
      <c r="M6" s="979"/>
      <c r="N6" s="979"/>
      <c r="O6" s="979"/>
      <c r="P6" s="979"/>
      <c r="Q6" s="979"/>
      <c r="R6" s="979"/>
      <c r="S6" s="979"/>
      <c r="T6" s="979"/>
      <c r="U6" s="979"/>
      <c r="V6" s="979"/>
      <c r="W6" s="979"/>
      <c r="X6" s="979"/>
      <c r="Y6" s="979"/>
      <c r="Z6" s="979"/>
      <c r="AA6" s="979"/>
      <c r="AB6" s="979"/>
      <c r="AC6" s="979"/>
    </row>
    <row r="7" spans="2:30" x14ac:dyDescent="0.3">
      <c r="B7" s="273"/>
      <c r="C7" s="273"/>
      <c r="D7" s="273"/>
      <c r="E7" s="273"/>
      <c r="F7" s="273"/>
      <c r="G7" s="273"/>
      <c r="H7" s="274"/>
      <c r="I7" s="274"/>
      <c r="J7" s="274"/>
      <c r="K7" s="274"/>
      <c r="L7" s="274"/>
      <c r="M7" s="274"/>
      <c r="N7" s="274"/>
      <c r="O7" s="274"/>
      <c r="P7" s="274"/>
      <c r="Q7" s="274"/>
      <c r="R7" s="274"/>
      <c r="S7" s="274"/>
      <c r="T7" s="274"/>
      <c r="U7" s="274"/>
      <c r="V7" s="274"/>
      <c r="W7" s="274"/>
      <c r="X7" s="274"/>
      <c r="Y7" s="274"/>
    </row>
    <row r="8" spans="2:30" ht="14.7" customHeight="1" x14ac:dyDescent="0.3">
      <c r="B8" s="980" t="s">
        <v>324</v>
      </c>
      <c r="C8" s="960"/>
      <c r="D8" s="957" t="s">
        <v>325</v>
      </c>
      <c r="E8" s="958"/>
      <c r="F8" s="958"/>
      <c r="G8" s="958"/>
      <c r="H8" s="958"/>
      <c r="I8" s="958"/>
      <c r="J8" s="958"/>
      <c r="K8" s="958"/>
      <c r="L8" s="958"/>
      <c r="M8" s="958"/>
      <c r="N8" s="958"/>
      <c r="O8" s="958"/>
      <c r="P8" s="958"/>
      <c r="Q8" s="958"/>
      <c r="R8" s="988"/>
      <c r="S8" s="989" t="s">
        <v>326</v>
      </c>
      <c r="T8" s="990"/>
      <c r="U8" s="990"/>
      <c r="V8" s="990"/>
      <c r="W8" s="990"/>
      <c r="X8" s="990"/>
      <c r="Y8" s="990"/>
      <c r="Z8" s="990"/>
      <c r="AA8" s="990"/>
      <c r="AB8" s="990"/>
      <c r="AC8" s="991"/>
    </row>
    <row r="9" spans="2:30" ht="12.75" customHeight="1" x14ac:dyDescent="0.3">
      <c r="B9" s="981"/>
      <c r="C9" s="982"/>
      <c r="D9" s="201">
        <v>2018</v>
      </c>
      <c r="E9" s="948">
        <v>2019</v>
      </c>
      <c r="F9" s="949"/>
      <c r="G9" s="949"/>
      <c r="H9" s="956"/>
      <c r="I9" s="949">
        <v>2020</v>
      </c>
      <c r="J9" s="949"/>
      <c r="K9" s="949"/>
      <c r="L9" s="949"/>
      <c r="M9" s="948">
        <v>2021</v>
      </c>
      <c r="N9" s="949"/>
      <c r="O9" s="949"/>
      <c r="P9" s="956"/>
      <c r="Q9" s="986">
        <v>2022</v>
      </c>
      <c r="R9" s="987"/>
      <c r="S9" s="295"/>
      <c r="T9" s="296"/>
      <c r="U9" s="983">
        <v>2023</v>
      </c>
      <c r="V9" s="984"/>
      <c r="W9" s="984"/>
      <c r="X9" s="985"/>
      <c r="Y9" s="983">
        <v>2024</v>
      </c>
      <c r="Z9" s="984"/>
      <c r="AA9" s="984"/>
      <c r="AB9" s="984"/>
      <c r="AC9" s="262">
        <v>2025</v>
      </c>
    </row>
    <row r="10" spans="2:30" ht="14.7" customHeight="1" x14ac:dyDescent="0.3">
      <c r="B10" s="981"/>
      <c r="C10" s="982"/>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8" t="s">
        <v>327</v>
      </c>
      <c r="Q10" s="176" t="s">
        <v>328</v>
      </c>
      <c r="R10" s="158" t="s">
        <v>329</v>
      </c>
      <c r="S10" s="280" t="s">
        <v>238</v>
      </c>
      <c r="T10" s="280" t="s">
        <v>327</v>
      </c>
      <c r="U10" s="279" t="s">
        <v>328</v>
      </c>
      <c r="V10" s="280" t="s">
        <v>329</v>
      </c>
      <c r="W10" s="280" t="s">
        <v>238</v>
      </c>
      <c r="X10" s="281" t="s">
        <v>327</v>
      </c>
      <c r="Y10" s="279" t="s">
        <v>328</v>
      </c>
      <c r="Z10" s="275" t="s">
        <v>329</v>
      </c>
      <c r="AA10" s="280" t="s">
        <v>238</v>
      </c>
      <c r="AB10" s="280" t="s">
        <v>327</v>
      </c>
      <c r="AC10" s="283" t="s">
        <v>328</v>
      </c>
    </row>
    <row r="11" spans="2:30" x14ac:dyDescent="0.3">
      <c r="B11" s="266" t="s">
        <v>102</v>
      </c>
      <c r="C11" s="285" t="s">
        <v>330</v>
      </c>
      <c r="D11" s="292">
        <f>'Haver Pivoted'!GO14</f>
        <v>27.1</v>
      </c>
      <c r="E11" s="288">
        <f>'Haver Pivoted'!GP14</f>
        <v>28.4</v>
      </c>
      <c r="F11" s="288">
        <f>'Haver Pivoted'!GQ14</f>
        <v>27.8</v>
      </c>
      <c r="G11" s="288">
        <f>'Haver Pivoted'!GR14</f>
        <v>27.4</v>
      </c>
      <c r="H11" s="288">
        <f>'Haver Pivoted'!GS14</f>
        <v>26.8</v>
      </c>
      <c r="I11" s="288">
        <f>'Haver Pivoted'!GT14</f>
        <v>39.5</v>
      </c>
      <c r="J11" s="288">
        <f>'Haver Pivoted'!GU14</f>
        <v>1039.4000000000001</v>
      </c>
      <c r="K11" s="288">
        <f>'Haver Pivoted'!GV14</f>
        <v>767.8</v>
      </c>
      <c r="L11" s="288">
        <f>'Haver Pivoted'!GW14</f>
        <v>299.89999999999998</v>
      </c>
      <c r="M11" s="288">
        <f>'Haver Pivoted'!GX14</f>
        <v>565.79999999999995</v>
      </c>
      <c r="N11" s="288">
        <f>'Haver Pivoted'!GY14</f>
        <v>480.4</v>
      </c>
      <c r="O11" s="288">
        <f>'Haver Pivoted'!GZ14</f>
        <v>272.3</v>
      </c>
      <c r="P11" s="149">
        <f>'Haver Pivoted'!HA14</f>
        <v>37.700000000000003</v>
      </c>
      <c r="Q11" s="288">
        <f>'Haver Pivoted'!HB14</f>
        <v>25.1</v>
      </c>
      <c r="R11" s="156">
        <f>'Haver Pivoted'!HC14</f>
        <v>20</v>
      </c>
      <c r="S11" s="286">
        <f t="shared" ref="S11:AC11" si="0">S12+S13+S20</f>
        <v>20.547619047619047</v>
      </c>
      <c r="T11" s="286">
        <f t="shared" si="0"/>
        <v>20.228174603174601</v>
      </c>
      <c r="U11" s="286">
        <f t="shared" si="0"/>
        <v>19.840237008045229</v>
      </c>
      <c r="V11" s="286">
        <f t="shared" si="0"/>
        <v>19.507719069362906</v>
      </c>
      <c r="W11" s="286">
        <f t="shared" si="0"/>
        <v>19.568680691454663</v>
      </c>
      <c r="X11" s="286">
        <f t="shared" si="0"/>
        <v>19.67952000434877</v>
      </c>
      <c r="Y11" s="286">
        <f t="shared" si="0"/>
        <v>20.072999565122849</v>
      </c>
      <c r="Z11" s="286">
        <f t="shared" si="0"/>
        <v>22.012687540769733</v>
      </c>
      <c r="AA11" s="286">
        <f t="shared" si="0"/>
        <v>22.284243857360295</v>
      </c>
      <c r="AB11" s="286">
        <f t="shared" si="0"/>
        <v>22.62230376168732</v>
      </c>
      <c r="AC11" s="260">
        <f t="shared" si="0"/>
        <v>22.949279734724939</v>
      </c>
      <c r="AD11" s="157" t="s">
        <v>331</v>
      </c>
    </row>
    <row r="12" spans="2:30" x14ac:dyDescent="0.3">
      <c r="B12" s="263" t="s">
        <v>332</v>
      </c>
      <c r="C12" s="264" t="s">
        <v>333</v>
      </c>
      <c r="D12" s="289">
        <f>'Haver Pivoted'!GO63</f>
        <v>0</v>
      </c>
      <c r="E12" s="149">
        <f>'Haver Pivoted'!GP63</f>
        <v>0</v>
      </c>
      <c r="F12" s="149">
        <f>'Haver Pivoted'!GQ63</f>
        <v>0</v>
      </c>
      <c r="G12" s="149">
        <f>'Haver Pivoted'!GR63</f>
        <v>0</v>
      </c>
      <c r="H12" s="149">
        <f>'Haver Pivoted'!GS63</f>
        <v>0</v>
      </c>
      <c r="I12" s="149">
        <f>'Haver Pivoted'!GT63</f>
        <v>0</v>
      </c>
      <c r="J12" s="149">
        <f>'Haver Pivoted'!GU63</f>
        <v>0.1</v>
      </c>
      <c r="K12" s="149">
        <f>'Haver Pivoted'!GV63</f>
        <v>3.7</v>
      </c>
      <c r="L12" s="149">
        <f>'Haver Pivoted'!GW63</f>
        <v>12.9</v>
      </c>
      <c r="M12" s="149">
        <f>'Haver Pivoted'!GX63</f>
        <v>25</v>
      </c>
      <c r="N12" s="149">
        <f>'Haver Pivoted'!GY63</f>
        <v>5.8</v>
      </c>
      <c r="O12" s="149">
        <f>'Haver Pivoted'!GZ63</f>
        <v>5.7</v>
      </c>
      <c r="P12" s="149">
        <f>'Haver Pivoted'!HA63</f>
        <v>2.4</v>
      </c>
      <c r="Q12" s="149">
        <f>'Haver Pivoted'!HB63</f>
        <v>0.7</v>
      </c>
      <c r="R12" s="156">
        <f>'Haver Pivoted'!HC63</f>
        <v>0.5</v>
      </c>
      <c r="S12" s="272">
        <f>MAX(R12*(S22-5)/(R22-5),0)</f>
        <v>0.45714285714285713</v>
      </c>
      <c r="T12" s="272">
        <f>MAX(S12*(T22-5)/(S22-5),0)</f>
        <v>0.48214285714285726</v>
      </c>
      <c r="U12" s="272">
        <f t="shared" ref="U12:AB12" si="1">T12*U22/T22</f>
        <v>0.4728962818003915</v>
      </c>
      <c r="V12" s="272">
        <f t="shared" si="1"/>
        <v>0.46497064579256375</v>
      </c>
      <c r="W12" s="272">
        <f t="shared" si="1"/>
        <v>0.46642367906066556</v>
      </c>
      <c r="X12" s="272">
        <f t="shared" si="1"/>
        <v>0.46906555772994152</v>
      </c>
      <c r="Y12" s="272">
        <f t="shared" si="1"/>
        <v>0.47844422700587103</v>
      </c>
      <c r="Z12" s="272">
        <f t="shared" si="1"/>
        <v>0.52467710371819987</v>
      </c>
      <c r="AA12" s="272">
        <f t="shared" si="1"/>
        <v>0.53114970645792592</v>
      </c>
      <c r="AB12" s="272">
        <f t="shared" si="1"/>
        <v>0.53920743639921742</v>
      </c>
      <c r="AC12" s="254">
        <f>AB12*AC22/AB22</f>
        <v>0.54700097847358153</v>
      </c>
    </row>
    <row r="13" spans="2:30" x14ac:dyDescent="0.3">
      <c r="B13" s="263" t="s">
        <v>334</v>
      </c>
      <c r="C13" s="264"/>
      <c r="D13" s="289"/>
      <c r="E13" s="149"/>
      <c r="F13" s="149"/>
      <c r="G13" s="149"/>
      <c r="H13" s="150">
        <f>SUM(H14:H17)</f>
        <v>0</v>
      </c>
      <c r="I13" s="150">
        <f t="shared" ref="I13:M13" si="2">SUM(I14:I17)</f>
        <v>0</v>
      </c>
      <c r="J13" s="150">
        <f t="shared" si="2"/>
        <v>779.7</v>
      </c>
      <c r="K13" s="150">
        <f t="shared" si="2"/>
        <v>582.6</v>
      </c>
      <c r="L13" s="150">
        <f t="shared" si="2"/>
        <v>216.5</v>
      </c>
      <c r="M13" s="150">
        <f t="shared" si="2"/>
        <v>505</v>
      </c>
      <c r="N13" s="160">
        <f>SUM(N14:N17)</f>
        <v>429.59999999999997</v>
      </c>
      <c r="O13" s="160">
        <f t="shared" ref="O13:AC13" si="3">SUM(O14:O17)</f>
        <v>230.4</v>
      </c>
      <c r="P13" s="160">
        <f t="shared" si="3"/>
        <v>8.1</v>
      </c>
      <c r="Q13" s="160">
        <v>0</v>
      </c>
      <c r="R13" s="153">
        <f t="shared" si="3"/>
        <v>1.7</v>
      </c>
      <c r="S13" s="272">
        <f t="shared" si="3"/>
        <v>1.6971428571428571</v>
      </c>
      <c r="T13" s="272">
        <f t="shared" si="3"/>
        <v>1.698809523809524</v>
      </c>
      <c r="U13" s="272">
        <f t="shared" si="3"/>
        <v>1.6662296151337248</v>
      </c>
      <c r="V13" s="272">
        <f t="shared" si="3"/>
        <v>1.6383039791258971</v>
      </c>
      <c r="W13" s="272">
        <f t="shared" si="3"/>
        <v>1.6434236790606656</v>
      </c>
      <c r="X13" s="272">
        <f t="shared" si="3"/>
        <v>1.6527322243966081</v>
      </c>
      <c r="Y13" s="272">
        <f t="shared" si="3"/>
        <v>1.6857775603392042</v>
      </c>
      <c r="Z13" s="272">
        <f t="shared" si="3"/>
        <v>1.8486771037181997</v>
      </c>
      <c r="AA13" s="272">
        <f t="shared" si="3"/>
        <v>1.8714830397912592</v>
      </c>
      <c r="AB13" s="272">
        <f t="shared" si="3"/>
        <v>1.8998741030658841</v>
      </c>
      <c r="AC13" s="254">
        <f t="shared" si="3"/>
        <v>1.9273343118069151</v>
      </c>
    </row>
    <row r="14" spans="2:30" ht="18" customHeight="1" x14ac:dyDescent="0.3">
      <c r="B14" s="265" t="s">
        <v>335</v>
      </c>
      <c r="C14" s="199" t="s">
        <v>333</v>
      </c>
      <c r="D14" s="287">
        <f>'Haver Pivoted'!GO63</f>
        <v>0</v>
      </c>
      <c r="E14" s="152">
        <f>'Haver Pivoted'!GP63</f>
        <v>0</v>
      </c>
      <c r="F14" s="152">
        <f>'Haver Pivoted'!GQ63</f>
        <v>0</v>
      </c>
      <c r="G14" s="152">
        <f>'Haver Pivoted'!GR63</f>
        <v>0</v>
      </c>
      <c r="H14" s="152">
        <f>'Haver Pivoted'!GS63</f>
        <v>0</v>
      </c>
      <c r="I14" s="152">
        <f>'Haver Pivoted'!GT63</f>
        <v>0</v>
      </c>
      <c r="J14" s="152">
        <f>'Haver Pivoted'!GU63</f>
        <v>0.1</v>
      </c>
      <c r="K14" s="152">
        <f>'Haver Pivoted'!GV63</f>
        <v>3.7</v>
      </c>
      <c r="L14" s="152">
        <f>'Haver Pivoted'!GW63</f>
        <v>12.9</v>
      </c>
      <c r="M14" s="152">
        <f>'Haver Pivoted'!GX63</f>
        <v>25</v>
      </c>
      <c r="N14" s="152">
        <f>'Haver Pivoted'!GY63</f>
        <v>5.8</v>
      </c>
      <c r="O14" s="152">
        <f>'Haver Pivoted'!GZ63</f>
        <v>5.7</v>
      </c>
      <c r="P14" s="152">
        <f>'Haver Pivoted'!HA63</f>
        <v>2.4</v>
      </c>
      <c r="Q14" s="152">
        <f>'Haver Pivoted'!HB63</f>
        <v>0.7</v>
      </c>
      <c r="R14" s="297">
        <f>'Haver Pivoted'!HC63</f>
        <v>0.5</v>
      </c>
      <c r="S14" s="272">
        <f t="shared" ref="S14:X14" si="4">S12</f>
        <v>0.45714285714285713</v>
      </c>
      <c r="T14" s="272">
        <f t="shared" si="4"/>
        <v>0.48214285714285726</v>
      </c>
      <c r="U14" s="272">
        <f t="shared" si="4"/>
        <v>0.4728962818003915</v>
      </c>
      <c r="V14" s="272">
        <f t="shared" si="4"/>
        <v>0.46497064579256375</v>
      </c>
      <c r="W14" s="272">
        <f t="shared" si="4"/>
        <v>0.46642367906066556</v>
      </c>
      <c r="X14" s="272">
        <f t="shared" si="4"/>
        <v>0.46906555772994152</v>
      </c>
      <c r="Y14" s="272">
        <f>Y12</f>
        <v>0.47844422700587103</v>
      </c>
      <c r="Z14" s="272">
        <f t="shared" ref="Z14:AC14" si="5">Z12</f>
        <v>0.52467710371819987</v>
      </c>
      <c r="AA14" s="272">
        <f t="shared" si="5"/>
        <v>0.53114970645792592</v>
      </c>
      <c r="AB14" s="272">
        <f t="shared" si="5"/>
        <v>0.53920743639921742</v>
      </c>
      <c r="AC14" s="254">
        <f t="shared" si="5"/>
        <v>0.54700097847358153</v>
      </c>
    </row>
    <row r="15" spans="2:30" ht="18" customHeight="1" x14ac:dyDescent="0.3">
      <c r="B15" s="265" t="s">
        <v>336</v>
      </c>
      <c r="C15" s="199" t="s">
        <v>337</v>
      </c>
      <c r="D15" s="287">
        <f>'Haver Pivoted'!GO59</f>
        <v>0</v>
      </c>
      <c r="E15" s="152">
        <f>'Haver Pivoted'!GP59</f>
        <v>0</v>
      </c>
      <c r="F15" s="152">
        <f>'Haver Pivoted'!GQ59</f>
        <v>0</v>
      </c>
      <c r="G15" s="152">
        <f>'Haver Pivoted'!GR59</f>
        <v>0</v>
      </c>
      <c r="H15" s="152">
        <f>'Haver Pivoted'!GS59</f>
        <v>0</v>
      </c>
      <c r="I15" s="152">
        <f>'Haver Pivoted'!GT59</f>
        <v>0</v>
      </c>
      <c r="J15" s="152">
        <f>'Haver Pivoted'!GU59</f>
        <v>6.3</v>
      </c>
      <c r="K15" s="152">
        <f>'Haver Pivoted'!GV59</f>
        <v>26.7</v>
      </c>
      <c r="L15" s="152">
        <f>'Haver Pivoted'!GW59</f>
        <v>82.1</v>
      </c>
      <c r="M15" s="152">
        <f>'Haver Pivoted'!GX59</f>
        <v>97.8</v>
      </c>
      <c r="N15" s="152">
        <f>'Haver Pivoted'!GY59</f>
        <v>104.5</v>
      </c>
      <c r="O15" s="152">
        <f>'Haver Pivoted'!GZ59</f>
        <v>61.5</v>
      </c>
      <c r="P15" s="152">
        <f>'Haver Pivoted'!HA59</f>
        <v>3.3</v>
      </c>
      <c r="Q15" s="152">
        <f>'Haver Pivoted'!HB59</f>
        <v>1</v>
      </c>
      <c r="R15" s="297">
        <f>'Haver Pivoted'!HC59</f>
        <v>0.7</v>
      </c>
      <c r="S15" s="272">
        <f t="shared" ref="S15:T17" si="6">R15*S$22/R$22</f>
        <v>0.72333333333333338</v>
      </c>
      <c r="T15" s="272">
        <f t="shared" si="6"/>
        <v>0.70972222222222225</v>
      </c>
      <c r="U15" s="272">
        <f t="shared" ref="U15:AB15" si="7">T15*U$22/T$22</f>
        <v>0.69611111111111112</v>
      </c>
      <c r="V15" s="272">
        <f t="shared" si="7"/>
        <v>0.68444444444444441</v>
      </c>
      <c r="W15" s="272">
        <f t="shared" si="7"/>
        <v>0.68658333333333332</v>
      </c>
      <c r="X15" s="272">
        <f t="shared" si="7"/>
        <v>0.69047222222222215</v>
      </c>
      <c r="Y15" s="272">
        <f t="shared" si="7"/>
        <v>0.70427777777777767</v>
      </c>
      <c r="Z15" s="272">
        <f t="shared" si="7"/>
        <v>0.77233333333333321</v>
      </c>
      <c r="AA15" s="272">
        <f t="shared" si="7"/>
        <v>0.78186111111111101</v>
      </c>
      <c r="AB15" s="272">
        <f t="shared" si="7"/>
        <v>0.79372222222222211</v>
      </c>
      <c r="AC15" s="254">
        <f>AB15*AC$22/AB$22</f>
        <v>0.80519444444444443</v>
      </c>
    </row>
    <row r="16" spans="2:30" ht="18" customHeight="1" x14ac:dyDescent="0.3">
      <c r="B16" s="265" t="s">
        <v>338</v>
      </c>
      <c r="C16" s="199" t="s">
        <v>339</v>
      </c>
      <c r="D16" s="287">
        <f>'Haver Pivoted'!GO60</f>
        <v>0</v>
      </c>
      <c r="E16" s="152">
        <f>'Haver Pivoted'!GP60</f>
        <v>0</v>
      </c>
      <c r="F16" s="152">
        <f>'Haver Pivoted'!GQ60</f>
        <v>0</v>
      </c>
      <c r="G16" s="152">
        <f>'Haver Pivoted'!GR60</f>
        <v>0</v>
      </c>
      <c r="H16" s="152">
        <f>'Haver Pivoted'!GS60</f>
        <v>0</v>
      </c>
      <c r="I16" s="152">
        <f>'Haver Pivoted'!GT60</f>
        <v>0</v>
      </c>
      <c r="J16" s="152">
        <f>'Haver Pivoted'!GU60</f>
        <v>74.400000000000006</v>
      </c>
      <c r="K16" s="152">
        <f>'Haver Pivoted'!GV60</f>
        <v>138.30000000000001</v>
      </c>
      <c r="L16" s="152">
        <f>'Haver Pivoted'!GW60</f>
        <v>106.8</v>
      </c>
      <c r="M16" s="152">
        <f>'Haver Pivoted'!GX60</f>
        <v>95.3</v>
      </c>
      <c r="N16" s="152">
        <f>'Haver Pivoted'!GY60</f>
        <v>82.1</v>
      </c>
      <c r="O16" s="152">
        <f>'Haver Pivoted'!GZ60</f>
        <v>50</v>
      </c>
      <c r="P16" s="152">
        <f>'Haver Pivoted'!HA60</f>
        <v>2.4</v>
      </c>
      <c r="Q16" s="152">
        <f>'Haver Pivoted'!HB60</f>
        <v>0.9</v>
      </c>
      <c r="R16" s="297">
        <f>'Haver Pivoted'!HC60</f>
        <v>0.5</v>
      </c>
      <c r="S16" s="272">
        <f t="shared" si="6"/>
        <v>0.51666666666666672</v>
      </c>
      <c r="T16" s="272">
        <f t="shared" si="6"/>
        <v>0.50694444444444442</v>
      </c>
      <c r="U16" s="272">
        <f t="shared" ref="U16:AB16" si="8">T16*U$22/T$22</f>
        <v>0.49722222222222223</v>
      </c>
      <c r="V16" s="272">
        <f t="shared" si="8"/>
        <v>0.48888888888888893</v>
      </c>
      <c r="W16" s="272">
        <f t="shared" si="8"/>
        <v>0.49041666666666672</v>
      </c>
      <c r="X16" s="272">
        <f t="shared" si="8"/>
        <v>0.49319444444444449</v>
      </c>
      <c r="Y16" s="272">
        <f t="shared" si="8"/>
        <v>0.50305555555555559</v>
      </c>
      <c r="Z16" s="272">
        <f t="shared" si="8"/>
        <v>0.55166666666666675</v>
      </c>
      <c r="AA16" s="272">
        <f t="shared" si="8"/>
        <v>0.55847222222222226</v>
      </c>
      <c r="AB16" s="272">
        <f t="shared" si="8"/>
        <v>0.56694444444444447</v>
      </c>
      <c r="AC16" s="254">
        <f>AB16*AC$22/AB$22</f>
        <v>0.57513888888888898</v>
      </c>
    </row>
    <row r="17" spans="1:30" ht="18" customHeight="1" x14ac:dyDescent="0.3">
      <c r="B17" s="265" t="s">
        <v>340</v>
      </c>
      <c r="C17" s="199" t="s">
        <v>341</v>
      </c>
      <c r="D17" s="287">
        <f>'Haver Pivoted'!GO61</f>
        <v>0</v>
      </c>
      <c r="E17" s="152">
        <f>'Haver Pivoted'!GP61</f>
        <v>0</v>
      </c>
      <c r="F17" s="152">
        <f>'Haver Pivoted'!GQ61</f>
        <v>0</v>
      </c>
      <c r="G17" s="152">
        <f>'Haver Pivoted'!GR61</f>
        <v>0</v>
      </c>
      <c r="H17" s="152">
        <f>'Haver Pivoted'!GS61</f>
        <v>0</v>
      </c>
      <c r="I17" s="152">
        <f>'Haver Pivoted'!GT61</f>
        <v>0</v>
      </c>
      <c r="J17" s="152">
        <f>'Haver Pivoted'!GU61</f>
        <v>698.9</v>
      </c>
      <c r="K17" s="152">
        <f>'Haver Pivoted'!GV61</f>
        <v>413.9</v>
      </c>
      <c r="L17" s="152">
        <f>'Haver Pivoted'!GW61</f>
        <v>14.7</v>
      </c>
      <c r="M17" s="152">
        <f>'Haver Pivoted'!GX61</f>
        <v>286.89999999999998</v>
      </c>
      <c r="N17" s="152">
        <f>'Haver Pivoted'!GY61</f>
        <v>237.2</v>
      </c>
      <c r="O17" s="152">
        <f>'Haver Pivoted'!GZ61</f>
        <v>113.2</v>
      </c>
      <c r="P17" s="152">
        <f>'Haver Pivoted'!HA61</f>
        <v>0</v>
      </c>
      <c r="Q17" s="152">
        <f>'Haver Pivoted'!HB61</f>
        <v>0</v>
      </c>
      <c r="R17" s="297">
        <f>'Haver Pivoted'!HC61</f>
        <v>0</v>
      </c>
      <c r="S17" s="272">
        <f t="shared" si="6"/>
        <v>0</v>
      </c>
      <c r="T17" s="272">
        <f t="shared" si="6"/>
        <v>0</v>
      </c>
      <c r="U17" s="272">
        <f t="shared" ref="U17:AB17" si="9">T17*U$22/T$22</f>
        <v>0</v>
      </c>
      <c r="V17" s="272">
        <f t="shared" si="9"/>
        <v>0</v>
      </c>
      <c r="W17" s="272">
        <f t="shared" si="9"/>
        <v>0</v>
      </c>
      <c r="X17" s="272">
        <f t="shared" si="9"/>
        <v>0</v>
      </c>
      <c r="Y17" s="272">
        <f t="shared" si="9"/>
        <v>0</v>
      </c>
      <c r="Z17" s="272">
        <f t="shared" si="9"/>
        <v>0</v>
      </c>
      <c r="AA17" s="272">
        <f t="shared" si="9"/>
        <v>0</v>
      </c>
      <c r="AB17" s="272">
        <f t="shared" si="9"/>
        <v>0</v>
      </c>
      <c r="AC17" s="254">
        <f>AB17*AC$22/AB$22</f>
        <v>0</v>
      </c>
    </row>
    <row r="18" spans="1:30" x14ac:dyDescent="0.3">
      <c r="B18" s="276" t="s">
        <v>158</v>
      </c>
      <c r="C18" s="157" t="s">
        <v>342</v>
      </c>
      <c r="D18" s="289">
        <f>'Haver Pivoted'!GO64</f>
        <v>0</v>
      </c>
      <c r="E18" s="149">
        <f>'Haver Pivoted'!GP64</f>
        <v>0</v>
      </c>
      <c r="F18" s="149">
        <f>'Haver Pivoted'!GQ64</f>
        <v>0</v>
      </c>
      <c r="G18" s="149">
        <f>'Haver Pivoted'!GR64</f>
        <v>0</v>
      </c>
      <c r="H18" s="149">
        <f>'Haver Pivoted'!GS64</f>
        <v>0</v>
      </c>
      <c r="I18" s="149">
        <f>'Haver Pivoted'!GT64</f>
        <v>0</v>
      </c>
      <c r="J18" s="149">
        <f>'Haver Pivoted'!GU64</f>
        <v>0</v>
      </c>
      <c r="K18" s="149">
        <f>'Haver Pivoted'!GV64</f>
        <v>106.2</v>
      </c>
      <c r="L18" s="149">
        <f>'Haver Pivoted'!GW64</f>
        <v>35.9</v>
      </c>
      <c r="M18" s="149">
        <f>'Haver Pivoted'!GX64</f>
        <v>1.6</v>
      </c>
      <c r="N18" s="149">
        <f>'Haver Pivoted'!GY64</f>
        <v>0.6</v>
      </c>
      <c r="O18" s="149">
        <f>'Haver Pivoted'!GZ64</f>
        <v>0.1</v>
      </c>
      <c r="P18" s="149">
        <f>'Haver Pivoted'!HA64</f>
        <v>0</v>
      </c>
      <c r="Q18" s="152">
        <f>'Haver Pivoted'!HB64</f>
        <v>0</v>
      </c>
      <c r="R18" s="297">
        <f>'Haver Pivoted'!HC64</f>
        <v>0</v>
      </c>
      <c r="S18" s="272"/>
      <c r="T18" s="272"/>
      <c r="U18" s="272"/>
      <c r="V18" s="272"/>
      <c r="W18" s="272"/>
      <c r="X18" s="272"/>
      <c r="Y18" s="272"/>
      <c r="Z18" s="272"/>
      <c r="AA18" s="272"/>
      <c r="AB18" s="272"/>
      <c r="AC18" s="254"/>
    </row>
    <row r="19" spans="1:30" ht="14.4" customHeight="1" x14ac:dyDescent="0.3">
      <c r="B19" s="277" t="s">
        <v>343</v>
      </c>
      <c r="C19" s="284"/>
      <c r="D19" s="255">
        <f t="shared" ref="D19:N19" si="10">D11-D20</f>
        <v>0</v>
      </c>
      <c r="E19" s="256">
        <f t="shared" si="10"/>
        <v>0</v>
      </c>
      <c r="F19" s="256">
        <f t="shared" si="10"/>
        <v>0</v>
      </c>
      <c r="G19" s="256">
        <f t="shared" si="10"/>
        <v>0</v>
      </c>
      <c r="H19" s="256">
        <f t="shared" si="10"/>
        <v>0</v>
      </c>
      <c r="I19" s="256">
        <f t="shared" si="10"/>
        <v>0</v>
      </c>
      <c r="J19" s="256">
        <f t="shared" si="10"/>
        <v>779.80000000000007</v>
      </c>
      <c r="K19" s="256">
        <f t="shared" si="10"/>
        <v>586.29999999999995</v>
      </c>
      <c r="L19" s="256">
        <f t="shared" si="10"/>
        <v>229.4</v>
      </c>
      <c r="M19" s="256">
        <f t="shared" si="10"/>
        <v>530</v>
      </c>
      <c r="N19" s="257">
        <f t="shared" si="10"/>
        <v>435.4</v>
      </c>
      <c r="O19" s="257">
        <f>O11-O20</f>
        <v>236.1</v>
      </c>
      <c r="P19" s="257">
        <f t="shared" ref="P19" si="11">P11-P20</f>
        <v>10.5</v>
      </c>
      <c r="Q19" s="257">
        <f>Q11-Q20</f>
        <v>0.69999999999999929</v>
      </c>
      <c r="R19" s="298">
        <f>R11-R20</f>
        <v>2.1999999999999993</v>
      </c>
      <c r="S19" s="258">
        <v>0</v>
      </c>
      <c r="T19" s="258">
        <v>0</v>
      </c>
      <c r="U19" s="258">
        <v>0</v>
      </c>
      <c r="V19" s="258">
        <v>0</v>
      </c>
      <c r="W19" s="258">
        <v>0</v>
      </c>
      <c r="X19" s="258">
        <v>0</v>
      </c>
      <c r="Y19" s="258">
        <v>0</v>
      </c>
      <c r="Z19" s="258">
        <v>0</v>
      </c>
      <c r="AA19" s="258">
        <v>0</v>
      </c>
      <c r="AB19" s="258">
        <v>0</v>
      </c>
      <c r="AC19" s="258">
        <v>0</v>
      </c>
    </row>
    <row r="20" spans="1:30" ht="14.4" customHeight="1" x14ac:dyDescent="0.3">
      <c r="B20" s="277" t="s">
        <v>344</v>
      </c>
      <c r="C20" s="284"/>
      <c r="D20" s="255">
        <f t="shared" ref="D20:H20" si="12">D11</f>
        <v>27.1</v>
      </c>
      <c r="E20" s="256">
        <f t="shared" si="12"/>
        <v>28.4</v>
      </c>
      <c r="F20" s="256">
        <f t="shared" si="12"/>
        <v>27.8</v>
      </c>
      <c r="G20" s="256">
        <f t="shared" si="12"/>
        <v>27.4</v>
      </c>
      <c r="H20" s="256">
        <f t="shared" si="12"/>
        <v>26.8</v>
      </c>
      <c r="I20" s="256">
        <f>I11</f>
        <v>39.5</v>
      </c>
      <c r="J20" s="256">
        <f>J11-J13-J12</f>
        <v>259.60000000000002</v>
      </c>
      <c r="K20" s="256">
        <f>K11-K13-K12</f>
        <v>181.49999999999994</v>
      </c>
      <c r="L20" s="256">
        <f>L11-L13-L12</f>
        <v>70.499999999999972</v>
      </c>
      <c r="M20" s="256">
        <f>M11-M13-M12</f>
        <v>35.799999999999955</v>
      </c>
      <c r="N20" s="257">
        <f>N11-N12-N13</f>
        <v>45</v>
      </c>
      <c r="O20" s="257">
        <f>O11-O12-O13</f>
        <v>36.200000000000017</v>
      </c>
      <c r="P20" s="257">
        <f>P11-P12-P13</f>
        <v>27.200000000000003</v>
      </c>
      <c r="Q20" s="152">
        <f>Q11-Q12-Q13</f>
        <v>24.400000000000002</v>
      </c>
      <c r="R20" s="297">
        <f>R11-R12-R13</f>
        <v>17.8</v>
      </c>
      <c r="S20" s="258">
        <f>R20*S22/R22</f>
        <v>18.393333333333334</v>
      </c>
      <c r="T20" s="258">
        <f>S20*T22/S22</f>
        <v>18.047222222222221</v>
      </c>
      <c r="U20" s="258">
        <f t="shared" ref="U20:AB20" si="13">T20*U22/T22</f>
        <v>17.701111111111111</v>
      </c>
      <c r="V20" s="258">
        <f t="shared" si="13"/>
        <v>17.404444444444444</v>
      </c>
      <c r="W20" s="258">
        <f t="shared" si="13"/>
        <v>17.458833333333331</v>
      </c>
      <c r="X20" s="258">
        <f t="shared" si="13"/>
        <v>17.557722222222221</v>
      </c>
      <c r="Y20" s="258">
        <f t="shared" si="13"/>
        <v>17.908777777777775</v>
      </c>
      <c r="Z20" s="258">
        <f t="shared" si="13"/>
        <v>19.639333333333333</v>
      </c>
      <c r="AA20" s="258">
        <f t="shared" si="13"/>
        <v>19.881611111111109</v>
      </c>
      <c r="AB20" s="258">
        <f t="shared" si="13"/>
        <v>20.18322222222222</v>
      </c>
      <c r="AC20" s="259">
        <f>AB20*AC22/AB22</f>
        <v>20.474944444444443</v>
      </c>
      <c r="AD20" s="261" t="s">
        <v>345</v>
      </c>
    </row>
    <row r="21" spans="1:30" x14ac:dyDescent="0.3">
      <c r="B21" s="276"/>
      <c r="C21" s="267"/>
      <c r="D21" s="287"/>
      <c r="E21" s="152"/>
      <c r="F21" s="152"/>
      <c r="G21" s="152"/>
      <c r="H21" s="150"/>
      <c r="I21" s="150"/>
      <c r="J21" s="150"/>
      <c r="K21" s="150"/>
      <c r="L21" s="150"/>
      <c r="M21" s="150"/>
      <c r="N21" s="150"/>
      <c r="O21" s="150"/>
      <c r="P21" s="150"/>
      <c r="Q21" s="150"/>
      <c r="R21" s="150"/>
      <c r="S21" s="293"/>
      <c r="T21" s="269"/>
      <c r="U21" s="269"/>
      <c r="V21" s="269"/>
      <c r="W21" s="269"/>
      <c r="X21" s="269"/>
      <c r="Y21" s="269"/>
      <c r="Z21" s="269"/>
      <c r="AA21" s="269"/>
      <c r="AB21" s="269"/>
      <c r="AC21" s="270"/>
    </row>
    <row r="22" spans="1:30" x14ac:dyDescent="0.3">
      <c r="B22" s="151" t="s">
        <v>346</v>
      </c>
      <c r="C22" s="268"/>
      <c r="D22" s="290"/>
      <c r="E22" s="159"/>
      <c r="F22" s="159"/>
      <c r="G22" s="159"/>
      <c r="H22" s="291"/>
      <c r="I22" s="291"/>
      <c r="J22" s="291"/>
      <c r="K22" s="291"/>
      <c r="L22" s="291"/>
      <c r="M22" s="291">
        <f>D28</f>
        <v>6.166666666666667</v>
      </c>
      <c r="N22" s="291">
        <f>D31</f>
        <v>5.7666666666666657</v>
      </c>
      <c r="O22" s="291">
        <f>D34</f>
        <v>5.1333333333333337</v>
      </c>
      <c r="P22" s="291">
        <f>D37</f>
        <v>4.2333333333333334</v>
      </c>
      <c r="Q22" s="291">
        <f>D40</f>
        <v>3.8000000000000003</v>
      </c>
      <c r="R22" s="300">
        <f>D43</f>
        <v>3.6</v>
      </c>
      <c r="S22" s="299">
        <v>3.72</v>
      </c>
      <c r="T22" s="271">
        <v>3.65</v>
      </c>
      <c r="U22" s="271">
        <v>3.58</v>
      </c>
      <c r="V22" s="271">
        <v>3.52</v>
      </c>
      <c r="W22" s="271">
        <v>3.5310000000000001</v>
      </c>
      <c r="X22" s="271">
        <v>3.5510000000000002</v>
      </c>
      <c r="Y22" s="271">
        <v>3.6219999999999999</v>
      </c>
      <c r="Z22" s="271">
        <v>3.972</v>
      </c>
      <c r="AA22" s="271">
        <v>4.0209999999999999</v>
      </c>
      <c r="AB22" s="271">
        <v>4.0819999999999999</v>
      </c>
      <c r="AC22" s="282">
        <v>4.141</v>
      </c>
      <c r="AD22" s="278" t="s">
        <v>347</v>
      </c>
    </row>
    <row r="23" spans="1:30" x14ac:dyDescent="0.3">
      <c r="C23" s="157"/>
      <c r="D23" s="149"/>
      <c r="E23" s="149"/>
      <c r="F23" s="149"/>
      <c r="G23" s="149"/>
      <c r="H23" s="150"/>
      <c r="I23" s="150"/>
      <c r="J23" s="150"/>
      <c r="K23" s="150"/>
      <c r="L23" s="150"/>
      <c r="M23" s="150"/>
      <c r="N23" s="150"/>
      <c r="O23" s="150"/>
      <c r="P23" s="150"/>
      <c r="AD23" s="278"/>
    </row>
    <row r="24" spans="1:30" x14ac:dyDescent="0.3">
      <c r="M24" s="278"/>
      <c r="N24" s="278"/>
      <c r="O24" s="278"/>
      <c r="Q24" s="253" t="s">
        <v>328</v>
      </c>
      <c r="R24" s="280" t="s">
        <v>329</v>
      </c>
      <c r="S24" s="280" t="s">
        <v>238</v>
      </c>
      <c r="T24" s="280" t="s">
        <v>327</v>
      </c>
      <c r="U24" s="279" t="s">
        <v>328</v>
      </c>
      <c r="V24" s="280" t="s">
        <v>329</v>
      </c>
      <c r="W24" s="280" t="s">
        <v>238</v>
      </c>
      <c r="X24" s="281" t="s">
        <v>327</v>
      </c>
      <c r="Y24" s="279" t="s">
        <v>328</v>
      </c>
      <c r="Z24" s="275" t="s">
        <v>329</v>
      </c>
      <c r="AA24" s="280" t="s">
        <v>238</v>
      </c>
      <c r="AB24" s="280" t="s">
        <v>327</v>
      </c>
      <c r="AC24" s="283" t="s">
        <v>328</v>
      </c>
    </row>
    <row r="25" spans="1:30" x14ac:dyDescent="0.3">
      <c r="M25" s="157"/>
      <c r="N25" s="157"/>
      <c r="O25" s="157"/>
      <c r="Q25" s="156">
        <v>25.1</v>
      </c>
      <c r="R25" s="286">
        <v>19.11578947368421</v>
      </c>
      <c r="S25" s="286">
        <v>19.55120467836257</v>
      </c>
      <c r="T25" s="286">
        <v>19.312257309941518</v>
      </c>
      <c r="U25" s="286">
        <v>19.445005847953212</v>
      </c>
      <c r="V25" s="286">
        <v>19.74236257309941</v>
      </c>
      <c r="W25" s="286">
        <v>20.045029239766077</v>
      </c>
      <c r="X25" s="286">
        <v>20.363625730994144</v>
      </c>
      <c r="Y25" s="286">
        <v>20.761871345029231</v>
      </c>
      <c r="Z25" s="286">
        <v>21.091087719298237</v>
      </c>
      <c r="AA25" s="286">
        <v>21.351274853801161</v>
      </c>
      <c r="AB25" s="286">
        <v>21.675181286549698</v>
      </c>
      <c r="AC25" s="260">
        <v>21.988467836257303</v>
      </c>
    </row>
    <row r="26" spans="1:30" x14ac:dyDescent="0.3">
      <c r="M26" s="157"/>
      <c r="N26" s="157"/>
      <c r="O26" s="157"/>
      <c r="Q26" s="156">
        <v>0.7</v>
      </c>
      <c r="R26" s="272">
        <v>0</v>
      </c>
      <c r="S26" s="272">
        <v>0</v>
      </c>
      <c r="T26" s="272">
        <v>0</v>
      </c>
      <c r="U26" s="272">
        <v>0</v>
      </c>
      <c r="V26" s="272">
        <v>0</v>
      </c>
      <c r="W26" s="272">
        <v>0</v>
      </c>
      <c r="X26" s="272">
        <v>0</v>
      </c>
      <c r="Y26" s="272">
        <v>0</v>
      </c>
      <c r="Z26" s="272">
        <v>0</v>
      </c>
      <c r="AA26" s="272">
        <v>0</v>
      </c>
      <c r="AB26" s="272">
        <v>0</v>
      </c>
      <c r="AC26" s="254">
        <v>0</v>
      </c>
    </row>
    <row r="27" spans="1:30" ht="30.75" customHeight="1" x14ac:dyDescent="0.3">
      <c r="B27" s="301" t="s">
        <v>348</v>
      </c>
      <c r="C27" s="308" t="s">
        <v>349</v>
      </c>
      <c r="D27" s="302" t="s">
        <v>350</v>
      </c>
      <c r="M27" s="157"/>
      <c r="N27" s="157"/>
      <c r="O27" s="157"/>
      <c r="Q27" s="153">
        <v>0</v>
      </c>
      <c r="R27" s="272">
        <v>0</v>
      </c>
      <c r="S27" s="272">
        <v>0</v>
      </c>
      <c r="T27" s="272">
        <v>0</v>
      </c>
      <c r="U27" s="272">
        <v>0</v>
      </c>
      <c r="V27" s="272">
        <v>0</v>
      </c>
      <c r="W27" s="272">
        <v>0</v>
      </c>
      <c r="X27" s="272">
        <v>0</v>
      </c>
      <c r="Y27" s="272">
        <v>0</v>
      </c>
      <c r="Z27" s="272">
        <v>0</v>
      </c>
      <c r="AA27" s="272">
        <v>0</v>
      </c>
      <c r="AB27" s="272">
        <v>0</v>
      </c>
      <c r="AC27" s="254">
        <v>0</v>
      </c>
    </row>
    <row r="28" spans="1:30" x14ac:dyDescent="0.3">
      <c r="A28" s="294"/>
      <c r="B28" s="303">
        <v>44197</v>
      </c>
      <c r="C28" s="305">
        <v>6.3</v>
      </c>
      <c r="D28" s="304">
        <f>AVERAGE(C28:C30)</f>
        <v>6.166666666666667</v>
      </c>
      <c r="E28" s="294"/>
      <c r="M28" s="157"/>
      <c r="N28" s="157"/>
      <c r="O28" s="157"/>
      <c r="Q28" s="297">
        <v>0.7</v>
      </c>
      <c r="R28" s="272">
        <v>0</v>
      </c>
      <c r="S28" s="272">
        <v>0</v>
      </c>
      <c r="T28" s="272">
        <v>0</v>
      </c>
      <c r="U28" s="272">
        <v>0</v>
      </c>
      <c r="V28" s="272">
        <v>0</v>
      </c>
      <c r="W28" s="272">
        <v>0</v>
      </c>
      <c r="X28" s="272">
        <v>0</v>
      </c>
      <c r="Y28" s="272">
        <v>0</v>
      </c>
      <c r="Z28" s="272">
        <v>0</v>
      </c>
      <c r="AA28" s="272">
        <v>0</v>
      </c>
      <c r="AB28" s="272">
        <v>0</v>
      </c>
      <c r="AC28" s="254">
        <v>0</v>
      </c>
    </row>
    <row r="29" spans="1:30" x14ac:dyDescent="0.3">
      <c r="A29" s="294"/>
      <c r="B29" s="303">
        <v>44228</v>
      </c>
      <c r="C29" s="305">
        <v>6.2</v>
      </c>
      <c r="D29" s="304"/>
      <c r="E29" s="294"/>
      <c r="M29" s="157"/>
      <c r="N29" s="157"/>
      <c r="O29" s="157"/>
      <c r="Q29" s="297">
        <v>1</v>
      </c>
      <c r="R29" s="272">
        <v>0</v>
      </c>
      <c r="S29" s="272">
        <v>0</v>
      </c>
      <c r="T29" s="272">
        <v>0</v>
      </c>
      <c r="U29" s="272">
        <v>0</v>
      </c>
      <c r="V29" s="272">
        <v>0</v>
      </c>
      <c r="W29" s="272">
        <v>0</v>
      </c>
      <c r="X29" s="272">
        <v>0</v>
      </c>
      <c r="Y29" s="272">
        <v>0</v>
      </c>
      <c r="Z29" s="272">
        <v>0</v>
      </c>
      <c r="AA29" s="272">
        <v>0</v>
      </c>
      <c r="AB29" s="272">
        <v>0</v>
      </c>
      <c r="AC29" s="254">
        <v>0</v>
      </c>
    </row>
    <row r="30" spans="1:30" x14ac:dyDescent="0.3">
      <c r="A30" s="294"/>
      <c r="B30" s="303">
        <v>44256</v>
      </c>
      <c r="C30" s="305">
        <v>6</v>
      </c>
      <c r="D30" s="304"/>
      <c r="E30" s="294"/>
      <c r="M30" s="157"/>
      <c r="N30" s="157"/>
      <c r="O30" s="157"/>
      <c r="Q30" s="297">
        <v>0.9</v>
      </c>
      <c r="R30" s="272">
        <v>0</v>
      </c>
      <c r="S30" s="272">
        <v>0</v>
      </c>
      <c r="T30" s="272">
        <v>0</v>
      </c>
      <c r="U30" s="272">
        <v>0</v>
      </c>
      <c r="V30" s="272">
        <v>0</v>
      </c>
      <c r="W30" s="272">
        <v>0</v>
      </c>
      <c r="X30" s="272">
        <v>0</v>
      </c>
      <c r="Y30" s="272">
        <v>0</v>
      </c>
      <c r="Z30" s="272">
        <v>0</v>
      </c>
      <c r="AA30" s="272">
        <v>0</v>
      </c>
      <c r="AB30" s="272">
        <v>0</v>
      </c>
      <c r="AC30" s="254">
        <v>0</v>
      </c>
    </row>
    <row r="31" spans="1:30" x14ac:dyDescent="0.3">
      <c r="A31" s="294"/>
      <c r="B31" s="303">
        <v>44287</v>
      </c>
      <c r="C31" s="305">
        <v>6.1</v>
      </c>
      <c r="D31" s="304">
        <f>AVERAGE(C31:C33)</f>
        <v>5.7666666666666657</v>
      </c>
      <c r="E31" s="294"/>
      <c r="M31" s="157"/>
      <c r="N31" s="157"/>
      <c r="O31" s="157"/>
      <c r="Q31" s="297">
        <v>0</v>
      </c>
      <c r="R31" s="272">
        <v>0</v>
      </c>
      <c r="S31" s="272">
        <v>0</v>
      </c>
      <c r="T31" s="272">
        <v>0</v>
      </c>
      <c r="U31" s="272">
        <v>0</v>
      </c>
      <c r="V31" s="272">
        <v>0</v>
      </c>
      <c r="W31" s="272">
        <v>0</v>
      </c>
      <c r="X31" s="272">
        <v>0</v>
      </c>
      <c r="Y31" s="272">
        <v>0</v>
      </c>
      <c r="Z31" s="272">
        <v>0</v>
      </c>
      <c r="AA31" s="272">
        <v>0</v>
      </c>
      <c r="AB31" s="272">
        <v>0</v>
      </c>
      <c r="AC31" s="254">
        <v>0</v>
      </c>
    </row>
    <row r="32" spans="1:30" x14ac:dyDescent="0.3">
      <c r="A32" s="294"/>
      <c r="B32" s="303">
        <v>44317</v>
      </c>
      <c r="C32" s="305">
        <v>5.8</v>
      </c>
      <c r="D32" s="304"/>
      <c r="E32" s="294"/>
      <c r="M32" s="157"/>
      <c r="N32" s="157"/>
      <c r="O32" s="157"/>
      <c r="Q32" s="297">
        <v>0</v>
      </c>
      <c r="R32" s="272"/>
      <c r="S32" s="272"/>
      <c r="T32" s="272"/>
      <c r="U32" s="272"/>
      <c r="V32" s="272"/>
      <c r="W32" s="272"/>
      <c r="X32" s="272"/>
      <c r="Y32" s="272"/>
      <c r="Z32" s="272"/>
      <c r="AA32" s="272"/>
      <c r="AB32" s="272"/>
      <c r="AC32" s="254"/>
    </row>
    <row r="33" spans="1:38" x14ac:dyDescent="0.3">
      <c r="A33" s="294"/>
      <c r="B33" s="303">
        <v>44348</v>
      </c>
      <c r="C33" s="305">
        <v>5.4</v>
      </c>
      <c r="D33" s="304"/>
      <c r="E33" s="294"/>
      <c r="M33" s="157"/>
      <c r="N33" s="157"/>
      <c r="O33" s="157"/>
      <c r="Q33" s="298">
        <v>0.69999999999999929</v>
      </c>
      <c r="R33" s="258">
        <v>0</v>
      </c>
      <c r="S33" s="258">
        <v>0</v>
      </c>
      <c r="T33" s="258">
        <v>0</v>
      </c>
      <c r="U33" s="258">
        <v>0</v>
      </c>
      <c r="V33" s="258">
        <v>0</v>
      </c>
      <c r="W33" s="258">
        <v>0</v>
      </c>
      <c r="X33" s="258">
        <v>0</v>
      </c>
      <c r="Y33" s="258">
        <v>0</v>
      </c>
      <c r="Z33" s="258">
        <v>0</v>
      </c>
      <c r="AA33" s="258">
        <v>0</v>
      </c>
      <c r="AB33" s="258">
        <v>0</v>
      </c>
      <c r="AC33" s="258">
        <v>0</v>
      </c>
    </row>
    <row r="34" spans="1:38" x14ac:dyDescent="0.3">
      <c r="A34" s="294"/>
      <c r="B34" s="303">
        <v>44378</v>
      </c>
      <c r="C34" s="305">
        <v>5.4</v>
      </c>
      <c r="D34" s="304">
        <f>AVERAGE(C34:C36)</f>
        <v>5.1333333333333337</v>
      </c>
      <c r="E34" s="157" t="s">
        <v>351</v>
      </c>
      <c r="M34" s="157"/>
      <c r="N34" s="157"/>
      <c r="O34" s="157"/>
      <c r="Q34" s="297">
        <v>24.400000000000002</v>
      </c>
      <c r="R34" s="258">
        <v>19.11578947368421</v>
      </c>
      <c r="S34" s="258">
        <v>19.55120467836257</v>
      </c>
      <c r="T34" s="258">
        <v>19.312257309941518</v>
      </c>
      <c r="U34" s="258">
        <v>19.445005847953212</v>
      </c>
      <c r="V34" s="258">
        <v>19.74236257309941</v>
      </c>
      <c r="W34" s="258">
        <v>20.045029239766077</v>
      </c>
      <c r="X34" s="258">
        <v>20.363625730994144</v>
      </c>
      <c r="Y34" s="258">
        <v>20.761871345029231</v>
      </c>
      <c r="Z34" s="258">
        <v>21.091087719298237</v>
      </c>
      <c r="AA34" s="258">
        <v>21.351274853801161</v>
      </c>
      <c r="AB34" s="258">
        <v>21.675181286549698</v>
      </c>
      <c r="AC34" s="259">
        <v>21.988467836257303</v>
      </c>
    </row>
    <row r="35" spans="1:38" x14ac:dyDescent="0.3">
      <c r="A35" s="294"/>
      <c r="B35" s="303">
        <v>44409</v>
      </c>
      <c r="C35" s="305">
        <v>5.2</v>
      </c>
      <c r="D35" s="304"/>
      <c r="E35" s="294"/>
      <c r="M35" s="157"/>
      <c r="N35" s="157"/>
      <c r="O35" s="157"/>
      <c r="Q35" s="309"/>
      <c r="R35" s="269"/>
      <c r="S35" s="269"/>
      <c r="T35" s="269"/>
      <c r="U35" s="269"/>
      <c r="V35" s="269"/>
      <c r="W35" s="269"/>
      <c r="X35" s="269"/>
      <c r="Y35" s="269"/>
      <c r="Z35" s="269"/>
      <c r="AA35" s="269"/>
      <c r="AB35" s="269"/>
      <c r="AC35" s="270"/>
    </row>
    <row r="36" spans="1:38" x14ac:dyDescent="0.3">
      <c r="A36" s="294"/>
      <c r="B36" s="303">
        <v>44440</v>
      </c>
      <c r="C36" s="305">
        <v>4.8</v>
      </c>
      <c r="D36" s="304"/>
      <c r="E36" s="294"/>
      <c r="M36" s="157"/>
      <c r="N36" s="157"/>
      <c r="O36" s="157"/>
      <c r="Q36" s="310">
        <v>3.8000000000000003</v>
      </c>
      <c r="R36" s="271">
        <v>3.6</v>
      </c>
      <c r="S36" s="271">
        <v>3.6819999999999999</v>
      </c>
      <c r="T36" s="271">
        <v>3.637</v>
      </c>
      <c r="U36" s="271">
        <v>3.6619999999999999</v>
      </c>
      <c r="V36" s="271">
        <v>3.718</v>
      </c>
      <c r="W36" s="271">
        <v>3.7749999999999999</v>
      </c>
      <c r="X36" s="271">
        <v>3.835</v>
      </c>
      <c r="Y36" s="271">
        <v>3.91</v>
      </c>
      <c r="Z36" s="271">
        <v>3.972</v>
      </c>
      <c r="AA36" s="271">
        <v>4.0209999999999999</v>
      </c>
      <c r="AB36" s="271">
        <v>4.0819999999999999</v>
      </c>
      <c r="AC36" s="282">
        <v>4.141</v>
      </c>
    </row>
    <row r="37" spans="1:38" x14ac:dyDescent="0.3">
      <c r="A37" s="294"/>
      <c r="B37" s="303">
        <v>44470</v>
      </c>
      <c r="C37" s="305">
        <v>4.5999999999999996</v>
      </c>
      <c r="D37" s="304">
        <f>AVERAGE(C37:C39)</f>
        <v>4.2333333333333334</v>
      </c>
      <c r="E37" s="294"/>
      <c r="M37" s="157"/>
      <c r="N37" s="157"/>
      <c r="O37" s="157"/>
    </row>
    <row r="38" spans="1:38" x14ac:dyDescent="0.3">
      <c r="A38" s="294"/>
      <c r="B38" s="303">
        <v>44501</v>
      </c>
      <c r="C38" s="305">
        <v>4.2</v>
      </c>
      <c r="D38" s="304"/>
      <c r="E38" s="294"/>
      <c r="M38" s="157"/>
      <c r="N38" s="157"/>
      <c r="O38" s="157"/>
      <c r="AD38" s="157"/>
      <c r="AE38" s="157"/>
      <c r="AF38" s="157"/>
      <c r="AG38" s="157"/>
      <c r="AH38" s="157"/>
      <c r="AI38" s="157"/>
      <c r="AJ38" s="157"/>
      <c r="AK38" s="157"/>
      <c r="AL38" s="157"/>
    </row>
    <row r="39" spans="1:38" x14ac:dyDescent="0.3">
      <c r="A39" s="294"/>
      <c r="B39" s="303">
        <v>44531</v>
      </c>
      <c r="C39" s="305">
        <v>3.9</v>
      </c>
      <c r="D39" s="304"/>
      <c r="E39" s="294"/>
      <c r="M39" s="157"/>
      <c r="N39" s="157"/>
      <c r="O39" s="157"/>
      <c r="AD39" s="157"/>
      <c r="AE39" s="157"/>
      <c r="AF39" s="157"/>
      <c r="AG39" s="157"/>
      <c r="AH39" s="157"/>
      <c r="AI39" s="157"/>
      <c r="AJ39" s="157"/>
      <c r="AK39" s="157"/>
      <c r="AL39" s="157"/>
    </row>
    <row r="40" spans="1:38" x14ac:dyDescent="0.3">
      <c r="A40" s="294"/>
      <c r="B40" s="303">
        <v>44562</v>
      </c>
      <c r="C40" s="305">
        <v>4</v>
      </c>
      <c r="D40" s="305">
        <f>AVERAGE(C40:C42)</f>
        <v>3.8000000000000003</v>
      </c>
      <c r="E40" s="294"/>
      <c r="M40" s="157"/>
      <c r="N40" s="157"/>
      <c r="O40" s="157"/>
    </row>
    <row r="41" spans="1:38" x14ac:dyDescent="0.3">
      <c r="A41" s="294"/>
      <c r="B41" s="303">
        <v>44593</v>
      </c>
      <c r="C41" s="305">
        <v>3.8</v>
      </c>
      <c r="D41" s="305"/>
      <c r="E41" s="294"/>
    </row>
    <row r="42" spans="1:38" x14ac:dyDescent="0.3">
      <c r="A42" s="294"/>
      <c r="B42" s="303">
        <v>44621</v>
      </c>
      <c r="C42" s="305">
        <v>3.6</v>
      </c>
      <c r="D42" s="305"/>
      <c r="E42" s="294"/>
    </row>
    <row r="43" spans="1:38" x14ac:dyDescent="0.3">
      <c r="A43" s="294"/>
      <c r="B43" s="303">
        <v>44652</v>
      </c>
      <c r="C43" s="305">
        <v>3.6</v>
      </c>
      <c r="D43" s="305">
        <f>AVERAGE(C43:C45)</f>
        <v>3.6</v>
      </c>
      <c r="E43" s="294"/>
    </row>
    <row r="44" spans="1:38" x14ac:dyDescent="0.3">
      <c r="A44" s="294"/>
      <c r="B44" s="303">
        <v>44682</v>
      </c>
      <c r="C44" s="305">
        <v>3.6</v>
      </c>
      <c r="D44" s="305"/>
      <c r="E44" s="294"/>
    </row>
    <row r="45" spans="1:38" x14ac:dyDescent="0.3">
      <c r="A45" s="294"/>
      <c r="B45" s="303">
        <v>44713</v>
      </c>
      <c r="C45" s="305">
        <v>3.6</v>
      </c>
      <c r="D45" s="305"/>
      <c r="E45" s="294"/>
    </row>
    <row r="46" spans="1:38" x14ac:dyDescent="0.3">
      <c r="A46" s="294"/>
      <c r="B46" s="303">
        <v>44743</v>
      </c>
      <c r="C46" s="305"/>
      <c r="D46" s="305" t="e">
        <f>AVERAGE(C46:C48)</f>
        <v>#DIV/0!</v>
      </c>
      <c r="E46" s="294"/>
    </row>
    <row r="47" spans="1:38" x14ac:dyDescent="0.3">
      <c r="A47" s="294"/>
      <c r="B47" s="303">
        <v>44774</v>
      </c>
      <c r="C47" s="305"/>
      <c r="D47" s="305"/>
      <c r="E47" s="294"/>
    </row>
    <row r="48" spans="1:38" x14ac:dyDescent="0.3">
      <c r="B48" s="303">
        <v>44805</v>
      </c>
      <c r="C48" s="305"/>
      <c r="D48" s="305"/>
    </row>
    <row r="49" spans="2:4" x14ac:dyDescent="0.3">
      <c r="B49" s="303">
        <v>44835</v>
      </c>
      <c r="C49" s="305"/>
      <c r="D49" s="305" t="e">
        <f>AVERAGE(C49:C51)</f>
        <v>#DIV/0!</v>
      </c>
    </row>
    <row r="50" spans="2:4" x14ac:dyDescent="0.3">
      <c r="B50" s="303">
        <v>44866</v>
      </c>
      <c r="C50" s="305"/>
      <c r="D50" s="305"/>
    </row>
    <row r="51" spans="2:4" x14ac:dyDescent="0.3">
      <c r="B51" s="306">
        <v>44896</v>
      </c>
      <c r="C51" s="307"/>
      <c r="D51" s="307"/>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CJ109"/>
  <sheetViews>
    <sheetView topLeftCell="A88" zoomScale="80" zoomScaleNormal="80" workbookViewId="0">
      <selection activeCell="R75" sqref="R75"/>
    </sheetView>
  </sheetViews>
  <sheetFormatPr defaultColWidth="11.554687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18" width="8.109375" customWidth="1"/>
    <col min="19" max="19" width="8.6640625" customWidth="1"/>
    <col min="20" max="29" width="8.109375" customWidth="1"/>
    <col min="30" max="30" width="29.44140625" customWidth="1"/>
    <col min="31" max="31" width="31.109375" customWidth="1"/>
    <col min="32" max="32" width="114.6640625" customWidth="1"/>
  </cols>
  <sheetData>
    <row r="1" spans="2:34" x14ac:dyDescent="0.3">
      <c r="B1" s="947" t="s">
        <v>192</v>
      </c>
      <c r="C1" s="947"/>
      <c r="D1" s="947"/>
      <c r="E1" s="947"/>
      <c r="F1" s="947"/>
      <c r="G1" s="947"/>
      <c r="H1" s="947"/>
      <c r="I1" s="947"/>
      <c r="J1" s="947"/>
      <c r="K1" s="947"/>
      <c r="L1" s="947"/>
      <c r="M1" s="947"/>
      <c r="N1" s="947"/>
      <c r="O1" s="947"/>
      <c r="P1" s="947"/>
      <c r="Q1" s="947"/>
      <c r="R1" s="947"/>
      <c r="S1" s="947"/>
      <c r="T1" s="947"/>
      <c r="U1" s="947"/>
      <c r="V1" s="947"/>
      <c r="W1" s="947"/>
      <c r="X1" s="947"/>
      <c r="Y1" s="947"/>
      <c r="Z1" s="200"/>
      <c r="AA1" s="200"/>
      <c r="AB1" s="200"/>
      <c r="AC1" s="200"/>
      <c r="AD1" s="147"/>
      <c r="AE1" s="147"/>
    </row>
    <row r="2" spans="2:34" ht="14.25" customHeight="1" x14ac:dyDescent="0.3">
      <c r="B2" s="979" t="s">
        <v>380</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c r="AD2" s="311"/>
      <c r="AE2" s="311"/>
    </row>
    <row r="3" spans="2:34" ht="50.7" customHeight="1"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c r="AD3" s="311"/>
      <c r="AE3" s="311"/>
    </row>
    <row r="4" spans="2:34" ht="5.25" customHeight="1"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c r="AD4" s="311"/>
      <c r="AE4" s="311"/>
    </row>
    <row r="5" spans="2:34" x14ac:dyDescent="0.3">
      <c r="B5" s="359" t="s">
        <v>381</v>
      </c>
    </row>
    <row r="6" spans="2:34" ht="14.7" customHeight="1" x14ac:dyDescent="0.3">
      <c r="B6" s="980" t="s">
        <v>382</v>
      </c>
      <c r="C6" s="960"/>
      <c r="D6" s="957" t="s">
        <v>325</v>
      </c>
      <c r="E6" s="958"/>
      <c r="F6" s="958"/>
      <c r="G6" s="958"/>
      <c r="H6" s="958"/>
      <c r="I6" s="958"/>
      <c r="J6" s="958"/>
      <c r="K6" s="958"/>
      <c r="L6" s="958"/>
      <c r="M6" s="958"/>
      <c r="N6" s="958"/>
      <c r="O6" s="958"/>
      <c r="P6" s="958"/>
      <c r="Q6" s="958"/>
      <c r="R6" s="988"/>
      <c r="S6" s="990" t="s">
        <v>326</v>
      </c>
      <c r="T6" s="990"/>
      <c r="U6" s="990"/>
      <c r="V6" s="990"/>
      <c r="W6" s="990"/>
      <c r="X6" s="990"/>
      <c r="Y6" s="990"/>
      <c r="Z6" s="990"/>
      <c r="AA6" s="990"/>
      <c r="AB6" s="990"/>
      <c r="AC6" s="991"/>
      <c r="AD6" s="997" t="s">
        <v>383</v>
      </c>
      <c r="AE6" s="1000" t="s">
        <v>384</v>
      </c>
    </row>
    <row r="7" spans="2:34" ht="24" customHeight="1" x14ac:dyDescent="0.3">
      <c r="B7" s="981"/>
      <c r="C7" s="982"/>
      <c r="D7" s="155">
        <v>2018</v>
      </c>
      <c r="E7" s="995">
        <v>2019</v>
      </c>
      <c r="F7" s="996"/>
      <c r="G7" s="996"/>
      <c r="H7" s="1003"/>
      <c r="I7" s="995">
        <v>2020</v>
      </c>
      <c r="J7" s="996"/>
      <c r="K7" s="996"/>
      <c r="L7" s="996"/>
      <c r="M7" s="995">
        <v>2021</v>
      </c>
      <c r="N7" s="996"/>
      <c r="O7" s="996"/>
      <c r="P7" s="1003"/>
      <c r="Q7" s="986">
        <v>2022</v>
      </c>
      <c r="R7" s="987"/>
      <c r="S7" s="295"/>
      <c r="T7" s="296"/>
      <c r="U7" s="983">
        <v>2023</v>
      </c>
      <c r="V7" s="984"/>
      <c r="W7" s="984"/>
      <c r="X7" s="984"/>
      <c r="Y7" s="983">
        <v>2024</v>
      </c>
      <c r="Z7" s="984"/>
      <c r="AA7" s="984"/>
      <c r="AB7" s="985"/>
      <c r="AC7" s="262">
        <v>2025</v>
      </c>
      <c r="AD7" s="998"/>
      <c r="AE7" s="1001"/>
    </row>
    <row r="8" spans="2:34" ht="14.25" customHeight="1" x14ac:dyDescent="0.3">
      <c r="B8" s="993"/>
      <c r="C8" s="994"/>
      <c r="D8" s="155" t="s">
        <v>327</v>
      </c>
      <c r="E8" s="155" t="s">
        <v>328</v>
      </c>
      <c r="F8" s="154" t="s">
        <v>329</v>
      </c>
      <c r="G8" s="154" t="s">
        <v>238</v>
      </c>
      <c r="H8" s="205" t="s">
        <v>327</v>
      </c>
      <c r="I8" s="154" t="s">
        <v>328</v>
      </c>
      <c r="J8" s="154" t="s">
        <v>329</v>
      </c>
      <c r="K8" s="154" t="s">
        <v>238</v>
      </c>
      <c r="L8" s="154" t="s">
        <v>327</v>
      </c>
      <c r="M8" s="176" t="s">
        <v>328</v>
      </c>
      <c r="N8" s="178" t="s">
        <v>329</v>
      </c>
      <c r="O8" s="178" t="s">
        <v>238</v>
      </c>
      <c r="P8" s="158" t="s">
        <v>327</v>
      </c>
      <c r="Q8" s="176" t="s">
        <v>328</v>
      </c>
      <c r="R8" s="158" t="s">
        <v>329</v>
      </c>
      <c r="S8" s="280" t="s">
        <v>238</v>
      </c>
      <c r="T8" s="280" t="s">
        <v>327</v>
      </c>
      <c r="U8" s="361" t="s">
        <v>328</v>
      </c>
      <c r="V8" s="362" t="s">
        <v>329</v>
      </c>
      <c r="W8" s="362" t="s">
        <v>238</v>
      </c>
      <c r="X8" s="362" t="s">
        <v>327</v>
      </c>
      <c r="Y8" s="361" t="s">
        <v>328</v>
      </c>
      <c r="Z8" s="272" t="s">
        <v>329</v>
      </c>
      <c r="AA8" s="362" t="s">
        <v>238</v>
      </c>
      <c r="AB8" s="381" t="s">
        <v>327</v>
      </c>
      <c r="AC8" s="398" t="s">
        <v>328</v>
      </c>
      <c r="AD8" s="999"/>
      <c r="AE8" s="1002"/>
    </row>
    <row r="9" spans="2:34" ht="23.7" customHeight="1" x14ac:dyDescent="0.3">
      <c r="B9" s="373" t="s">
        <v>385</v>
      </c>
      <c r="C9" s="403" t="s">
        <v>386</v>
      </c>
      <c r="D9" s="331">
        <f>'Haver Pivoted'!GO32</f>
        <v>588.9</v>
      </c>
      <c r="E9" s="332">
        <f>'Haver Pivoted'!GP32</f>
        <v>593.79999999999995</v>
      </c>
      <c r="F9" s="332">
        <f>'Haver Pivoted'!GQ32</f>
        <v>610.5</v>
      </c>
      <c r="G9" s="332">
        <f>'Haver Pivoted'!GR32</f>
        <v>610.4</v>
      </c>
      <c r="H9" s="332">
        <f>'Haver Pivoted'!GS32</f>
        <v>622.4</v>
      </c>
      <c r="I9" s="332">
        <f>'Haver Pivoted'!GT32</f>
        <v>640.6</v>
      </c>
      <c r="J9" s="332">
        <f>'Haver Pivoted'!GU32</f>
        <v>1400</v>
      </c>
      <c r="K9" s="332">
        <f>'Haver Pivoted'!GV32</f>
        <v>738.5</v>
      </c>
      <c r="L9" s="332">
        <f>'Haver Pivoted'!GW32</f>
        <v>743</v>
      </c>
      <c r="M9" s="332">
        <f>'Haver Pivoted'!GX32</f>
        <v>781.5</v>
      </c>
      <c r="N9" s="332">
        <f>'Haver Pivoted'!GY32</f>
        <v>1632.2</v>
      </c>
      <c r="O9" s="332">
        <f>'Haver Pivoted'!GZ32</f>
        <v>1057.0999999999999</v>
      </c>
      <c r="P9" s="332">
        <f>'Haver Pivoted'!HA32</f>
        <v>904.2</v>
      </c>
      <c r="Q9" s="332">
        <f>'Haver Pivoted'!HB32</f>
        <v>916.3</v>
      </c>
      <c r="R9" s="426">
        <f>'Haver Pivoted'!HC32</f>
        <v>936.8</v>
      </c>
      <c r="S9" s="286">
        <f t="shared" ref="S9:AC9" si="0">S10+S11</f>
        <v>913.92632196711327</v>
      </c>
      <c r="T9" s="286">
        <f t="shared" si="0"/>
        <v>951.5056562994431</v>
      </c>
      <c r="U9" s="286">
        <f t="shared" si="0"/>
        <v>966.84973341468367</v>
      </c>
      <c r="V9" s="286">
        <f t="shared" si="0"/>
        <v>982.49790585143433</v>
      </c>
      <c r="W9" s="286">
        <f t="shared" si="0"/>
        <v>954.38163074437671</v>
      </c>
      <c r="X9" s="286">
        <f t="shared" si="0"/>
        <v>925.18109187746802</v>
      </c>
      <c r="Y9" s="286">
        <f t="shared" si="0"/>
        <v>896.81210631833187</v>
      </c>
      <c r="Z9" s="286">
        <f t="shared" si="0"/>
        <v>874.53112786882639</v>
      </c>
      <c r="AA9" s="286">
        <f t="shared" si="0"/>
        <v>871.33776614782482</v>
      </c>
      <c r="AB9" s="286">
        <f t="shared" si="0"/>
        <v>850.23402852571962</v>
      </c>
      <c r="AC9" s="260">
        <f t="shared" si="0"/>
        <v>847.25752993884146</v>
      </c>
      <c r="AD9" s="336"/>
      <c r="AE9" s="408"/>
    </row>
    <row r="10" spans="2:34" ht="27.6" customHeight="1" x14ac:dyDescent="0.3">
      <c r="B10" s="415" t="s">
        <v>133</v>
      </c>
      <c r="C10" s="152" t="s">
        <v>387</v>
      </c>
      <c r="D10" s="333">
        <f>'Haver Pivoted'!GO40</f>
        <v>390.86599999999999</v>
      </c>
      <c r="E10" s="70">
        <f>'Haver Pivoted'!GP40</f>
        <v>408.75599999999997</v>
      </c>
      <c r="F10" s="70">
        <f>'Haver Pivoted'!GQ40</f>
        <v>413.34399999999999</v>
      </c>
      <c r="G10" s="70">
        <f>'Haver Pivoted'!GR40</f>
        <v>418.529</v>
      </c>
      <c r="H10" s="70">
        <f>'Haver Pivoted'!GS40</f>
        <v>413.80599999999998</v>
      </c>
      <c r="I10" s="70">
        <f>'Haver Pivoted'!GT40</f>
        <v>428.11799999999999</v>
      </c>
      <c r="J10" s="70">
        <f>'Haver Pivoted'!GU40</f>
        <v>502.49</v>
      </c>
      <c r="K10" s="70">
        <f>'Haver Pivoted'!GV40</f>
        <v>481.71699999999998</v>
      </c>
      <c r="L10" s="70">
        <f>'Haver Pivoted'!GW40</f>
        <v>507.83699999999999</v>
      </c>
      <c r="M10" s="70">
        <f>'Haver Pivoted'!GX40</f>
        <v>511.34500000000003</v>
      </c>
      <c r="N10" s="70">
        <f>'Haver Pivoted'!GY40</f>
        <v>520.72900000000004</v>
      </c>
      <c r="O10" s="70">
        <f>'Haver Pivoted'!GZ40</f>
        <v>530.82100000000003</v>
      </c>
      <c r="P10" s="70">
        <f>'Haver Pivoted'!HA40</f>
        <v>541.83299999999997</v>
      </c>
      <c r="Q10" s="70">
        <f>'Haver Pivoted'!HB40</f>
        <v>578.14700000000005</v>
      </c>
      <c r="R10" s="423">
        <f>'Haver Pivoted'!HC40</f>
        <v>576.01</v>
      </c>
      <c r="S10" s="337">
        <f>Medicaid!S28</f>
        <v>579.02658584306619</v>
      </c>
      <c r="T10" s="337">
        <f>Medicaid!T28</f>
        <v>588.77148736978165</v>
      </c>
      <c r="U10" s="337">
        <f>Medicaid!U28</f>
        <v>601.59385930966448</v>
      </c>
      <c r="V10" s="337">
        <f>Medicaid!V28</f>
        <v>614.69547918476781</v>
      </c>
      <c r="W10" s="337">
        <f>Medicaid!W28</f>
        <v>584.00755929837464</v>
      </c>
      <c r="X10" s="337">
        <f>Medicaid!X28</f>
        <v>577.46803619062018</v>
      </c>
      <c r="Y10" s="337">
        <f>Medicaid!Y28</f>
        <v>571.47647724911189</v>
      </c>
      <c r="Z10" s="337">
        <f>Medicaid!Z28</f>
        <v>565.54708413549326</v>
      </c>
      <c r="AA10" s="337">
        <f>Medicaid!AA28</f>
        <v>559.67921184398278</v>
      </c>
      <c r="AB10" s="337">
        <f>Medicaid!AB28</f>
        <v>549.75061061139797</v>
      </c>
      <c r="AC10" s="401">
        <f>Medicaid!AC28</f>
        <v>544.04663570685273</v>
      </c>
      <c r="AD10" s="322"/>
      <c r="AE10" s="385"/>
    </row>
    <row r="11" spans="2:34" ht="17.25" customHeight="1" x14ac:dyDescent="0.3">
      <c r="B11" s="276" t="s">
        <v>388</v>
      </c>
      <c r="C11" s="152"/>
      <c r="D11" s="333">
        <f t="shared" ref="D11:G11" si="1">D9-D10</f>
        <v>198.03399999999999</v>
      </c>
      <c r="E11" s="70">
        <f t="shared" si="1"/>
        <v>185.04399999999998</v>
      </c>
      <c r="F11" s="70">
        <f t="shared" si="1"/>
        <v>197.15600000000001</v>
      </c>
      <c r="G11" s="70">
        <f t="shared" si="1"/>
        <v>191.87099999999998</v>
      </c>
      <c r="H11" s="70">
        <f>H9-H10</f>
        <v>208.59399999999999</v>
      </c>
      <c r="I11" s="70">
        <f t="shared" ref="I11:N11" si="2">I9-I10</f>
        <v>212.48200000000003</v>
      </c>
      <c r="J11" s="70">
        <f t="shared" si="2"/>
        <v>897.51</v>
      </c>
      <c r="K11" s="70">
        <f t="shared" si="2"/>
        <v>256.78300000000002</v>
      </c>
      <c r="L11" s="70">
        <f t="shared" si="2"/>
        <v>235.16300000000001</v>
      </c>
      <c r="M11" s="70">
        <f t="shared" si="2"/>
        <v>270.15499999999997</v>
      </c>
      <c r="N11" s="70">
        <f t="shared" si="2"/>
        <v>1111.471</v>
      </c>
      <c r="O11" s="70">
        <f>O9-O10</f>
        <v>526.27899999999988</v>
      </c>
      <c r="P11" s="70">
        <f>P9-P10</f>
        <v>362.36700000000008</v>
      </c>
      <c r="Q11" s="70">
        <f>Q9-Q10</f>
        <v>338.15299999999991</v>
      </c>
      <c r="R11" s="423">
        <f>R9-R10</f>
        <v>360.78999999999996</v>
      </c>
      <c r="S11" s="337">
        <f t="shared" ref="S11:AC11" si="3">SUM(S12:S20)</f>
        <v>334.89973612404708</v>
      </c>
      <c r="T11" s="337">
        <f t="shared" si="3"/>
        <v>362.73416892966145</v>
      </c>
      <c r="U11" s="337">
        <f t="shared" si="3"/>
        <v>365.25587410501925</v>
      </c>
      <c r="V11" s="337">
        <f t="shared" si="3"/>
        <v>367.80242666666652</v>
      </c>
      <c r="W11" s="337">
        <f t="shared" si="3"/>
        <v>370.37407144600201</v>
      </c>
      <c r="X11" s="337">
        <f t="shared" si="3"/>
        <v>347.71305568684784</v>
      </c>
      <c r="Y11" s="337">
        <f t="shared" si="3"/>
        <v>325.33562906921998</v>
      </c>
      <c r="Z11" s="337">
        <f t="shared" si="3"/>
        <v>308.98404373333312</v>
      </c>
      <c r="AA11" s="337">
        <f t="shared" si="3"/>
        <v>311.65855430384204</v>
      </c>
      <c r="AB11" s="337">
        <f t="shared" si="3"/>
        <v>300.48341791432171</v>
      </c>
      <c r="AC11" s="401">
        <f t="shared" si="3"/>
        <v>303.21089423198873</v>
      </c>
      <c r="AD11" s="322"/>
      <c r="AE11" s="385"/>
    </row>
    <row r="12" spans="2:34" ht="16.2" customHeight="1" x14ac:dyDescent="0.3">
      <c r="B12" s="412" t="s">
        <v>149</v>
      </c>
      <c r="C12" s="53" t="s">
        <v>389</v>
      </c>
      <c r="D12" s="334"/>
      <c r="E12" s="53"/>
      <c r="F12" s="53"/>
      <c r="G12" s="53"/>
      <c r="H12" s="70"/>
      <c r="I12" s="70"/>
      <c r="J12" s="70">
        <f>'Haver Pivoted'!GU56</f>
        <v>597.9</v>
      </c>
      <c r="K12" s="70"/>
      <c r="L12" s="70"/>
      <c r="M12" s="70"/>
      <c r="N12" s="70"/>
      <c r="O12" s="73">
        <v>0</v>
      </c>
      <c r="P12" s="73">
        <v>0</v>
      </c>
      <c r="Q12" s="73">
        <v>0</v>
      </c>
      <c r="R12" s="322">
        <v>0</v>
      </c>
      <c r="S12" s="337">
        <v>0</v>
      </c>
      <c r="T12" s="337">
        <v>0</v>
      </c>
      <c r="U12" s="337">
        <v>0</v>
      </c>
      <c r="V12" s="337">
        <v>0</v>
      </c>
      <c r="W12" s="337">
        <v>0</v>
      </c>
      <c r="X12" s="337">
        <v>0</v>
      </c>
      <c r="Y12" s="337">
        <v>0</v>
      </c>
      <c r="Z12" s="337">
        <v>0</v>
      </c>
      <c r="AA12" s="337">
        <v>0</v>
      </c>
      <c r="AB12" s="337">
        <v>0</v>
      </c>
      <c r="AC12" s="401">
        <v>0</v>
      </c>
      <c r="AD12" s="322">
        <f>SUM(I12:Y12)/4</f>
        <v>149.47499999999999</v>
      </c>
      <c r="AE12" s="385">
        <f>AD26</f>
        <v>150</v>
      </c>
    </row>
    <row r="13" spans="2:34" x14ac:dyDescent="0.3">
      <c r="B13" s="412" t="s">
        <v>150</v>
      </c>
      <c r="C13" s="53" t="s">
        <v>390</v>
      </c>
      <c r="D13" s="334"/>
      <c r="E13" s="53"/>
      <c r="F13" s="53"/>
      <c r="G13" s="53"/>
      <c r="H13" s="70"/>
      <c r="I13" s="70"/>
      <c r="J13" s="70">
        <f>'Haver Pivoted'!GU57</f>
        <v>28.4</v>
      </c>
      <c r="K13" s="70">
        <f>'Haver Pivoted'!GV57</f>
        <v>15.8</v>
      </c>
      <c r="L13" s="70">
        <f>'Haver Pivoted'!GW57</f>
        <v>15.2</v>
      </c>
      <c r="M13" s="70">
        <f>'Haver Pivoted'!GX57</f>
        <v>28.9</v>
      </c>
      <c r="N13" s="70">
        <f>'Haver Pivoted'!GY57</f>
        <v>67.599999999999994</v>
      </c>
      <c r="O13" s="70">
        <f>'Haver Pivoted'!GZ57</f>
        <v>80.7</v>
      </c>
      <c r="P13" s="70">
        <f>'Haver Pivoted'!HA57</f>
        <v>87.2</v>
      </c>
      <c r="Q13" s="70">
        <f>'Haver Pivoted'!HB57</f>
        <v>72.400000000000006</v>
      </c>
      <c r="R13" s="423">
        <f>'Haver Pivoted'!HC57</f>
        <v>85.9</v>
      </c>
      <c r="S13" s="337">
        <f t="shared" ref="S13:AC13" si="4">S27+S31+S37</f>
        <v>69.123333333333306</v>
      </c>
      <c r="T13" s="337">
        <f t="shared" si="4"/>
        <v>60.929333333333297</v>
      </c>
      <c r="U13" s="337">
        <f t="shared" si="4"/>
        <v>60.929333333333297</v>
      </c>
      <c r="V13" s="337">
        <f t="shared" si="4"/>
        <v>60.929333333333297</v>
      </c>
      <c r="W13" s="337">
        <f t="shared" si="4"/>
        <v>60.929333333333297</v>
      </c>
      <c r="X13" s="337">
        <f t="shared" si="4"/>
        <v>54.244333333333302</v>
      </c>
      <c r="Y13" s="337">
        <f t="shared" si="4"/>
        <v>50.911000000000001</v>
      </c>
      <c r="Z13" s="337">
        <f t="shared" si="4"/>
        <v>31.911000000000001</v>
      </c>
      <c r="AA13" s="337">
        <f t="shared" si="4"/>
        <v>31.911000000000001</v>
      </c>
      <c r="AB13" s="337">
        <f t="shared" si="4"/>
        <v>23.099</v>
      </c>
      <c r="AC13" s="401">
        <f t="shared" si="4"/>
        <v>23.099</v>
      </c>
      <c r="AD13" s="322">
        <f t="shared" ref="AD13:AD19" si="5">SUM(I13:Y13)/4</f>
        <v>225.02399999999994</v>
      </c>
      <c r="AE13" s="385">
        <f>AD27+AD31+AD37</f>
        <v>218.26349999999994</v>
      </c>
    </row>
    <row r="14" spans="2:34" x14ac:dyDescent="0.3">
      <c r="B14" s="412" t="s">
        <v>152</v>
      </c>
      <c r="C14" s="72" t="s">
        <v>355</v>
      </c>
      <c r="D14" s="335"/>
      <c r="E14" s="72"/>
      <c r="F14" s="72"/>
      <c r="G14" s="72"/>
      <c r="H14" s="70"/>
      <c r="I14" s="70"/>
      <c r="J14" s="70">
        <f>'Haver Pivoted'!GU58</f>
        <v>64.400000000000006</v>
      </c>
      <c r="K14" s="70">
        <f>'Haver Pivoted'!GV58</f>
        <v>23.4</v>
      </c>
      <c r="L14" s="70">
        <f>'Haver Pivoted'!GW58</f>
        <v>13.8</v>
      </c>
      <c r="M14" s="70">
        <f>'Haver Pivoted'!GX58</f>
        <v>17.100000000000001</v>
      </c>
      <c r="N14" s="70">
        <f>'Haver Pivoted'!GY58</f>
        <v>10.6</v>
      </c>
      <c r="O14" s="70">
        <f>'Haver Pivoted'!GZ58</f>
        <v>15</v>
      </c>
      <c r="P14" s="70">
        <f>'Haver Pivoted'!HA58</f>
        <v>25.8</v>
      </c>
      <c r="Q14" s="70">
        <f>'Haver Pivoted'!HB58</f>
        <v>21.5</v>
      </c>
      <c r="R14" s="423">
        <f>'Haver Pivoted'!HC58</f>
        <v>17.600000000000001</v>
      </c>
      <c r="S14" s="337">
        <f>'Provider Relief'!S12</f>
        <v>6.0136674259681095</v>
      </c>
      <c r="T14" s="337">
        <f>'Provider Relief'!T12</f>
        <v>0</v>
      </c>
      <c r="U14" s="337">
        <f>'Provider Relief'!U12</f>
        <v>0</v>
      </c>
      <c r="V14" s="337">
        <f>'Provider Relief'!V12</f>
        <v>0</v>
      </c>
      <c r="W14" s="337">
        <f>'Provider Relief'!W12</f>
        <v>0</v>
      </c>
      <c r="X14" s="337">
        <f>'Provider Relief'!X12</f>
        <v>0</v>
      </c>
      <c r="Y14" s="337">
        <f>'Provider Relief'!Y12</f>
        <v>0</v>
      </c>
      <c r="Z14" s="337">
        <f>'Provider Relief'!Z12</f>
        <v>0</v>
      </c>
      <c r="AA14" s="337">
        <f>'Provider Relief'!AA12</f>
        <v>0</v>
      </c>
      <c r="AB14" s="337">
        <f>'Provider Relief'!AB12</f>
        <v>0</v>
      </c>
      <c r="AC14" s="401">
        <f>'Provider Relief'!AC12</f>
        <v>0</v>
      </c>
      <c r="AD14" s="322">
        <f>SUM(I14:Y14)/4</f>
        <v>53.803416856492035</v>
      </c>
      <c r="AE14" s="385">
        <f>AD28+AD32+AD38</f>
        <v>34.125000000000007</v>
      </c>
    </row>
    <row r="15" spans="2:34" ht="15.75" customHeight="1" x14ac:dyDescent="0.3">
      <c r="B15" s="412" t="s">
        <v>391</v>
      </c>
      <c r="C15" s="72"/>
      <c r="D15" s="335"/>
      <c r="E15" s="72"/>
      <c r="F15" s="72"/>
      <c r="G15" s="72"/>
      <c r="H15" s="70"/>
      <c r="I15" s="70"/>
      <c r="J15" s="70"/>
      <c r="K15" s="70"/>
      <c r="L15" s="70"/>
      <c r="M15" s="70">
        <f>M30</f>
        <v>9.6666666666666661</v>
      </c>
      <c r="N15" s="73">
        <f t="shared" ref="N15:AC15" si="6">N30</f>
        <v>9.6666666666666661</v>
      </c>
      <c r="O15" s="73">
        <f t="shared" si="6"/>
        <v>9.6666666666666661</v>
      </c>
      <c r="P15" s="73">
        <f>P30</f>
        <v>9.6666666666666661</v>
      </c>
      <c r="Q15" s="73">
        <f>Q30</f>
        <v>9.6666666666666661</v>
      </c>
      <c r="R15" s="322">
        <f t="shared" si="6"/>
        <v>9.6666666666666661</v>
      </c>
      <c r="S15" s="337">
        <f t="shared" si="6"/>
        <v>9.6666666666666661</v>
      </c>
      <c r="T15" s="337">
        <f t="shared" si="6"/>
        <v>9.6666666666666661</v>
      </c>
      <c r="U15" s="337">
        <f t="shared" si="6"/>
        <v>9.6666666666666661</v>
      </c>
      <c r="V15" s="337">
        <f t="shared" si="6"/>
        <v>9.6666666666666661</v>
      </c>
      <c r="W15" s="337">
        <f t="shared" si="6"/>
        <v>9.6666666666666661</v>
      </c>
      <c r="X15" s="337">
        <f t="shared" si="6"/>
        <v>9.6666666666666661</v>
      </c>
      <c r="Y15" s="337">
        <f t="shared" si="6"/>
        <v>0</v>
      </c>
      <c r="Z15" s="337">
        <f t="shared" si="6"/>
        <v>0</v>
      </c>
      <c r="AA15" s="337">
        <f t="shared" si="6"/>
        <v>0</v>
      </c>
      <c r="AB15" s="337">
        <f t="shared" si="6"/>
        <v>0</v>
      </c>
      <c r="AC15" s="401">
        <f t="shared" si="6"/>
        <v>0</v>
      </c>
      <c r="AD15" s="322">
        <f>SUM(I15:Y15)/4</f>
        <v>29.000000000000004</v>
      </c>
      <c r="AE15" s="386">
        <f>AD30</f>
        <v>29.000000000000004</v>
      </c>
      <c r="AF15" s="314" t="s">
        <v>392</v>
      </c>
      <c r="AG15" s="314"/>
      <c r="AH15" s="314"/>
    </row>
    <row r="16" spans="2:34" ht="31.2" customHeight="1" x14ac:dyDescent="0.3">
      <c r="B16" s="412" t="s">
        <v>393</v>
      </c>
      <c r="C16" s="72"/>
      <c r="D16" s="335"/>
      <c r="E16" s="72"/>
      <c r="F16" s="72"/>
      <c r="G16" s="72"/>
      <c r="H16" s="70"/>
      <c r="I16" s="70"/>
      <c r="J16" s="70"/>
      <c r="K16" s="70"/>
      <c r="L16" s="70"/>
      <c r="M16" s="70">
        <f>M34+M33</f>
        <v>12</v>
      </c>
      <c r="N16" s="73">
        <f>N34+N33</f>
        <v>12</v>
      </c>
      <c r="O16" s="73">
        <f>O34+O33</f>
        <v>12</v>
      </c>
      <c r="P16" s="73">
        <f t="shared" ref="P16:AC16" si="7">P34+P33</f>
        <v>12</v>
      </c>
      <c r="Q16" s="73">
        <f t="shared" si="7"/>
        <v>12</v>
      </c>
      <c r="R16" s="322">
        <f t="shared" si="7"/>
        <v>12</v>
      </c>
      <c r="S16" s="337">
        <f t="shared" si="7"/>
        <v>12</v>
      </c>
      <c r="T16" s="337">
        <f t="shared" si="7"/>
        <v>12</v>
      </c>
      <c r="U16" s="337">
        <f t="shared" si="7"/>
        <v>12</v>
      </c>
      <c r="V16" s="337">
        <f t="shared" si="7"/>
        <v>12</v>
      </c>
      <c r="W16" s="337">
        <f t="shared" si="7"/>
        <v>12</v>
      </c>
      <c r="X16" s="337">
        <f t="shared" si="7"/>
        <v>12</v>
      </c>
      <c r="Y16" s="337">
        <f t="shared" si="7"/>
        <v>0</v>
      </c>
      <c r="Z16" s="337">
        <f t="shared" si="7"/>
        <v>0</v>
      </c>
      <c r="AA16" s="337">
        <f t="shared" si="7"/>
        <v>0</v>
      </c>
      <c r="AB16" s="337">
        <f t="shared" si="7"/>
        <v>0</v>
      </c>
      <c r="AC16" s="401">
        <f t="shared" si="7"/>
        <v>0</v>
      </c>
      <c r="AD16" s="322">
        <f>SUM(I16:Y16)/4</f>
        <v>36</v>
      </c>
      <c r="AE16" s="385">
        <f>SUM(AD33:AD34)+AD39</f>
        <v>130.3365</v>
      </c>
      <c r="AF16" s="314" t="s">
        <v>394</v>
      </c>
      <c r="AG16" s="314"/>
      <c r="AH16" s="314"/>
    </row>
    <row r="17" spans="1:34" x14ac:dyDescent="0.3">
      <c r="B17" s="412" t="s">
        <v>395</v>
      </c>
      <c r="C17" s="72"/>
      <c r="D17" s="335"/>
      <c r="E17" s="72"/>
      <c r="F17" s="72"/>
      <c r="G17" s="72"/>
      <c r="H17" s="70"/>
      <c r="I17" s="70"/>
      <c r="J17" s="70"/>
      <c r="K17" s="70"/>
      <c r="L17" s="70"/>
      <c r="M17" s="70"/>
      <c r="N17" s="73">
        <f>N39</f>
        <v>59.256</v>
      </c>
      <c r="O17" s="73">
        <f>O39</f>
        <v>59.256</v>
      </c>
      <c r="P17" s="73">
        <f>P39</f>
        <v>35.671000000000006</v>
      </c>
      <c r="Q17" s="73">
        <f>Q39</f>
        <v>35.671000000000006</v>
      </c>
      <c r="R17" s="322">
        <f t="shared" ref="R17:AC17" si="8">R39</f>
        <v>35.671000000000006</v>
      </c>
      <c r="S17" s="337">
        <f t="shared" si="8"/>
        <v>35.671000000000006</v>
      </c>
      <c r="T17" s="337">
        <f t="shared" si="8"/>
        <v>24.216000000000001</v>
      </c>
      <c r="U17" s="337">
        <f t="shared" si="8"/>
        <v>24.216000000000001</v>
      </c>
      <c r="V17" s="337">
        <f t="shared" si="8"/>
        <v>24.216000000000001</v>
      </c>
      <c r="W17" s="337">
        <f t="shared" si="8"/>
        <v>24.216000000000001</v>
      </c>
      <c r="X17" s="337">
        <f t="shared" si="8"/>
        <v>9.6430000000000007</v>
      </c>
      <c r="Y17" s="337">
        <f t="shared" si="8"/>
        <v>9.6430000000000007</v>
      </c>
      <c r="Z17" s="337">
        <f t="shared" si="8"/>
        <v>9.6430000000000007</v>
      </c>
      <c r="AA17" s="337">
        <f t="shared" si="8"/>
        <v>9.6430000000000007</v>
      </c>
      <c r="AB17" s="337">
        <f t="shared" si="8"/>
        <v>4.5789999999999997</v>
      </c>
      <c r="AC17" s="401">
        <f t="shared" si="8"/>
        <v>4.5789999999999997</v>
      </c>
      <c r="AD17" s="322">
        <f>SUM(I17:Y17)/4</f>
        <v>94.336500000000001</v>
      </c>
      <c r="AE17" s="385"/>
      <c r="AF17" s="314"/>
      <c r="AG17" s="314"/>
      <c r="AH17" s="314"/>
    </row>
    <row r="18" spans="1:34" ht="41.4" customHeight="1" x14ac:dyDescent="0.3">
      <c r="B18" s="393" t="s">
        <v>850</v>
      </c>
      <c r="C18" s="72"/>
      <c r="D18" s="335"/>
      <c r="E18" s="72"/>
      <c r="F18" s="72"/>
      <c r="G18" s="72"/>
      <c r="H18" s="70"/>
      <c r="I18" s="70"/>
      <c r="J18" s="70"/>
      <c r="K18" s="70"/>
      <c r="L18" s="70"/>
      <c r="M18" s="70"/>
      <c r="N18" s="73">
        <v>-40</v>
      </c>
      <c r="O18" s="73">
        <v>-40</v>
      </c>
      <c r="P18" s="73">
        <f>-51</f>
        <v>-51</v>
      </c>
      <c r="Q18" s="73">
        <f>-51</f>
        <v>-51</v>
      </c>
      <c r="R18" s="322">
        <v>-51</v>
      </c>
      <c r="S18" s="337">
        <f>-51</f>
        <v>-51</v>
      </c>
      <c r="T18" s="337">
        <v>0</v>
      </c>
      <c r="U18" s="337">
        <v>0</v>
      </c>
      <c r="V18" s="337">
        <v>0</v>
      </c>
      <c r="W18" s="337">
        <v>0</v>
      </c>
      <c r="X18" s="337">
        <v>-4</v>
      </c>
      <c r="Y18" s="337">
        <v>-4</v>
      </c>
      <c r="Z18" s="337">
        <v>-4</v>
      </c>
      <c r="AA18" s="337">
        <v>-4</v>
      </c>
      <c r="AB18" s="337">
        <v>-4</v>
      </c>
      <c r="AC18" s="401">
        <v>-4</v>
      </c>
      <c r="AD18" s="322"/>
      <c r="AE18" s="385"/>
      <c r="AF18" s="314"/>
      <c r="AG18" s="314"/>
      <c r="AH18" s="314"/>
    </row>
    <row r="19" spans="1:34" ht="15.75" customHeight="1" x14ac:dyDescent="0.3">
      <c r="B19" s="412" t="s">
        <v>396</v>
      </c>
      <c r="C19" s="53" t="s">
        <v>397</v>
      </c>
      <c r="D19" s="335"/>
      <c r="E19" s="72"/>
      <c r="F19" s="72"/>
      <c r="G19" s="72"/>
      <c r="H19" s="70"/>
      <c r="I19" s="70"/>
      <c r="J19" s="70"/>
      <c r="K19" s="70">
        <f>'Haver Pivoted'!GV56</f>
        <v>0</v>
      </c>
      <c r="L19" s="70">
        <f>'Haver Pivoted'!GW56</f>
        <v>0</v>
      </c>
      <c r="M19" s="70">
        <f>'Haver Pivoted'!GX56</f>
        <v>0</v>
      </c>
      <c r="N19" s="70">
        <f>'Haver Pivoted'!GY56</f>
        <v>785.9</v>
      </c>
      <c r="O19" s="70">
        <f>'Haver Pivoted'!GZ56</f>
        <v>187.9</v>
      </c>
      <c r="P19" s="70">
        <f>'Haver Pivoted'!HA56</f>
        <v>9.1999999999999993</v>
      </c>
      <c r="Q19" s="70">
        <f>'Haver Pivoted'!HB56</f>
        <v>0.6</v>
      </c>
      <c r="R19" s="423">
        <f>'Haver Pivoted'!HC56</f>
        <v>0</v>
      </c>
      <c r="S19" s="338">
        <f t="shared" ref="S19:AC19" si="9">S36</f>
        <v>0</v>
      </c>
      <c r="T19" s="338">
        <f t="shared" si="9"/>
        <v>0</v>
      </c>
      <c r="U19" s="338">
        <f t="shared" si="9"/>
        <v>0</v>
      </c>
      <c r="V19" s="338">
        <f t="shared" si="9"/>
        <v>0</v>
      </c>
      <c r="W19" s="338">
        <f t="shared" si="9"/>
        <v>0</v>
      </c>
      <c r="X19" s="338">
        <f t="shared" si="9"/>
        <v>0</v>
      </c>
      <c r="Y19" s="338">
        <f t="shared" si="9"/>
        <v>0</v>
      </c>
      <c r="Z19" s="338">
        <f t="shared" si="9"/>
        <v>0</v>
      </c>
      <c r="AA19" s="338">
        <f t="shared" si="9"/>
        <v>0</v>
      </c>
      <c r="AB19" s="338">
        <f t="shared" si="9"/>
        <v>0</v>
      </c>
      <c r="AC19" s="400">
        <f t="shared" si="9"/>
        <v>0</v>
      </c>
      <c r="AD19" s="322">
        <f t="shared" si="5"/>
        <v>245.9</v>
      </c>
      <c r="AE19" s="385">
        <f>AD36</f>
        <v>362.04999999999995</v>
      </c>
      <c r="AF19" s="349"/>
      <c r="AH19" s="314"/>
    </row>
    <row r="20" spans="1:34" ht="15.75" customHeight="1" x14ac:dyDescent="0.3">
      <c r="A20" s="317"/>
      <c r="B20" s="315" t="s">
        <v>398</v>
      </c>
      <c r="C20" s="341"/>
      <c r="D20" s="339">
        <f t="shared" ref="D20:G20" si="10">D11-SUM(D12:D19)</f>
        <v>198.03399999999999</v>
      </c>
      <c r="E20" s="341">
        <f>E11-SUM(E12:E19)</f>
        <v>185.04399999999998</v>
      </c>
      <c r="F20" s="341">
        <f t="shared" si="10"/>
        <v>197.15600000000001</v>
      </c>
      <c r="G20" s="341">
        <f t="shared" si="10"/>
        <v>191.87099999999998</v>
      </c>
      <c r="H20" s="341">
        <f>H11-SUM(H12:H19)</f>
        <v>208.59399999999999</v>
      </c>
      <c r="I20" s="341">
        <f>I11-SUM(I12:I19)</f>
        <v>212.48200000000003</v>
      </c>
      <c r="J20" s="341">
        <f t="shared" ref="J20:L20" si="11">J11-SUM(J12:J19)</f>
        <v>206.81000000000006</v>
      </c>
      <c r="K20" s="341">
        <f t="shared" si="11"/>
        <v>217.58300000000003</v>
      </c>
      <c r="L20" s="341">
        <f t="shared" si="11"/>
        <v>206.16300000000001</v>
      </c>
      <c r="M20" s="341">
        <f t="shared" ref="M20:R20" si="12">M11-SUM(M12:M19)</f>
        <v>202.48833333333332</v>
      </c>
      <c r="N20" s="341">
        <f t="shared" si="12"/>
        <v>206.44833333333338</v>
      </c>
      <c r="O20" s="341">
        <f t="shared" si="12"/>
        <v>201.7563333333332</v>
      </c>
      <c r="P20" s="341">
        <f t="shared" si="12"/>
        <v>233.82933333333341</v>
      </c>
      <c r="Q20" s="341">
        <f t="shared" si="12"/>
        <v>237.31533333333323</v>
      </c>
      <c r="R20" s="427">
        <f t="shared" si="12"/>
        <v>250.95233333333329</v>
      </c>
      <c r="S20" s="275">
        <f t="shared" ref="S20:AC20" si="13">R20*(1.04)^0.25</f>
        <v>253.42506869807895</v>
      </c>
      <c r="T20" s="275">
        <f t="shared" si="13"/>
        <v>255.92216892966147</v>
      </c>
      <c r="U20" s="275">
        <f t="shared" si="13"/>
        <v>258.44387410501929</v>
      </c>
      <c r="V20" s="275">
        <f t="shared" si="13"/>
        <v>260.99042666666656</v>
      </c>
      <c r="W20" s="275">
        <f t="shared" si="13"/>
        <v>263.56207144600205</v>
      </c>
      <c r="X20" s="275">
        <f t="shared" si="13"/>
        <v>266.15905568684786</v>
      </c>
      <c r="Y20" s="275">
        <f t="shared" si="13"/>
        <v>268.78162906922</v>
      </c>
      <c r="Z20" s="275">
        <f t="shared" si="13"/>
        <v>271.43004373333315</v>
      </c>
      <c r="AA20" s="275">
        <f t="shared" si="13"/>
        <v>274.10455430384206</v>
      </c>
      <c r="AB20" s="275">
        <f t="shared" si="13"/>
        <v>276.80541791432171</v>
      </c>
      <c r="AC20" s="422">
        <f t="shared" si="13"/>
        <v>279.53289423198873</v>
      </c>
      <c r="AD20" s="391"/>
      <c r="AE20" s="387"/>
      <c r="AF20" s="314" t="s">
        <v>399</v>
      </c>
      <c r="AG20" s="314"/>
      <c r="AH20" s="314"/>
    </row>
    <row r="21" spans="1:34" ht="15.75" customHeight="1" x14ac:dyDescent="0.3">
      <c r="A21" s="4"/>
      <c r="B21" s="316"/>
      <c r="C21" s="72"/>
      <c r="D21" s="72"/>
      <c r="E21" s="72"/>
      <c r="F21" s="72"/>
      <c r="G21" s="72"/>
      <c r="H21" s="72"/>
      <c r="I21" s="72"/>
      <c r="J21" s="72"/>
      <c r="K21" s="72"/>
      <c r="L21" s="72"/>
      <c r="M21" s="72"/>
      <c r="N21" s="72"/>
      <c r="O21" s="329"/>
      <c r="P21" s="72"/>
      <c r="Q21" s="160"/>
      <c r="R21" s="160"/>
      <c r="S21" s="160"/>
      <c r="T21" s="160"/>
      <c r="U21" s="160"/>
      <c r="V21" s="160"/>
      <c r="W21" s="160"/>
      <c r="X21" s="160"/>
      <c r="Y21" s="160"/>
      <c r="Z21" s="160"/>
      <c r="AA21" s="160"/>
      <c r="AB21" s="160"/>
      <c r="AC21" s="160"/>
      <c r="AD21" s="160"/>
      <c r="AE21" s="320"/>
      <c r="AF21" s="314"/>
      <c r="AG21" s="314"/>
      <c r="AH21" s="314"/>
    </row>
    <row r="22" spans="1:34" x14ac:dyDescent="0.3">
      <c r="C22" s="72"/>
      <c r="D22" s="72"/>
      <c r="E22" s="321"/>
      <c r="F22" s="72"/>
      <c r="G22" s="72"/>
      <c r="H22" s="72"/>
      <c r="I22" s="72"/>
      <c r="J22" s="72"/>
      <c r="K22" s="72"/>
      <c r="L22" s="72"/>
      <c r="M22" s="72"/>
      <c r="N22" s="72"/>
      <c r="P22" s="72"/>
      <c r="Q22" s="72"/>
      <c r="R22" s="72"/>
      <c r="S22" s="72"/>
      <c r="T22" s="72"/>
      <c r="U22" s="72"/>
      <c r="V22" s="72"/>
      <c r="W22" s="72"/>
      <c r="X22" s="72"/>
      <c r="Y22" s="72"/>
      <c r="Z22" s="72"/>
      <c r="AA22" s="72"/>
      <c r="AB22" s="72"/>
      <c r="AC22" s="72"/>
      <c r="AD22" s="72"/>
      <c r="AE22" s="72"/>
    </row>
    <row r="23" spans="1:34" x14ac:dyDescent="0.3">
      <c r="B23" s="374" t="s">
        <v>400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row>
    <row r="24" spans="1:34" ht="27" customHeight="1" x14ac:dyDescent="0.3">
      <c r="B24" s="1004" t="s">
        <v>401</v>
      </c>
      <c r="C24" s="1005"/>
      <c r="D24" s="1006"/>
      <c r="E24" s="1006"/>
      <c r="F24" s="1006"/>
      <c r="G24" s="1006"/>
      <c r="H24" s="1006"/>
      <c r="I24" s="1006"/>
      <c r="J24" s="1006"/>
      <c r="K24" s="1006"/>
      <c r="L24" s="1006"/>
      <c r="M24" s="1006"/>
      <c r="N24" s="1006"/>
      <c r="O24" s="1006"/>
      <c r="P24" s="1006"/>
      <c r="Q24" s="1006"/>
      <c r="R24" s="1006"/>
      <c r="S24" s="1006"/>
      <c r="T24" s="1006"/>
      <c r="U24" s="1006"/>
      <c r="V24" s="1006"/>
      <c r="W24" s="1006"/>
      <c r="X24" s="1006"/>
      <c r="Y24" s="1006"/>
      <c r="Z24" s="1006"/>
      <c r="AA24" s="1006"/>
      <c r="AB24" s="1006"/>
      <c r="AC24" s="1007"/>
      <c r="AD24" s="389" t="s">
        <v>383</v>
      </c>
      <c r="AE24" s="388"/>
    </row>
    <row r="25" spans="1:34" ht="17.7" customHeight="1" x14ac:dyDescent="0.3">
      <c r="B25" s="399" t="s">
        <v>402</v>
      </c>
      <c r="C25" s="72"/>
      <c r="D25" s="417"/>
      <c r="E25" s="402"/>
      <c r="F25" s="402"/>
      <c r="G25" s="402"/>
      <c r="H25" s="394"/>
      <c r="I25" s="394"/>
      <c r="J25" s="364">
        <f>SUM(J26:J28)</f>
        <v>692.8</v>
      </c>
      <c r="K25" s="364">
        <f t="shared" ref="K25:P25" si="14">SUM(K26:K28)</f>
        <v>39.200000000000003</v>
      </c>
      <c r="L25" s="364">
        <f t="shared" si="14"/>
        <v>29</v>
      </c>
      <c r="M25" s="364">
        <f t="shared" si="14"/>
        <v>27</v>
      </c>
      <c r="N25" s="364">
        <f t="shared" si="14"/>
        <v>18</v>
      </c>
      <c r="O25" s="364">
        <f t="shared" si="14"/>
        <v>0</v>
      </c>
      <c r="P25" s="418">
        <f t="shared" si="14"/>
        <v>0</v>
      </c>
      <c r="Q25" s="364"/>
      <c r="R25" s="364"/>
      <c r="S25" s="392"/>
      <c r="T25" s="392"/>
      <c r="U25" s="392"/>
      <c r="V25" s="392"/>
      <c r="W25" s="392"/>
      <c r="X25" s="392"/>
      <c r="Y25" s="392"/>
      <c r="Z25" s="392"/>
      <c r="AA25" s="392"/>
      <c r="AB25" s="392"/>
      <c r="AC25" s="363"/>
      <c r="AD25" s="322">
        <f t="shared" ref="AD25:AD39" si="15">SUM(I25:Y25)/4</f>
        <v>201.5</v>
      </c>
      <c r="AE25" s="992" t="s">
        <v>403</v>
      </c>
      <c r="AF25" s="946"/>
    </row>
    <row r="26" spans="1:34" x14ac:dyDescent="0.3">
      <c r="B26" s="318" t="s">
        <v>149</v>
      </c>
      <c r="C26" s="72"/>
      <c r="D26" s="335"/>
      <c r="E26" s="72"/>
      <c r="F26" s="72"/>
      <c r="G26" s="72"/>
      <c r="H26" s="73"/>
      <c r="I26" s="73"/>
      <c r="J26" s="358">
        <f>C46*4</f>
        <v>600</v>
      </c>
      <c r="K26" s="358"/>
      <c r="L26" s="358"/>
      <c r="M26" s="358"/>
      <c r="N26" s="358"/>
      <c r="O26" s="358"/>
      <c r="P26" s="369"/>
      <c r="Q26" s="358"/>
      <c r="R26" s="358"/>
      <c r="S26" s="338"/>
      <c r="T26" s="338"/>
      <c r="U26" s="338"/>
      <c r="V26" s="338"/>
      <c r="W26" s="338"/>
      <c r="X26" s="338"/>
      <c r="Y26" s="338"/>
      <c r="Z26" s="338"/>
      <c r="AA26" s="338"/>
      <c r="AB26" s="338"/>
      <c r="AC26" s="400"/>
      <c r="AD26" s="322">
        <f t="shared" si="15"/>
        <v>150</v>
      </c>
      <c r="AE26" s="358"/>
    </row>
    <row r="27" spans="1:34" ht="15" customHeight="1" x14ac:dyDescent="0.3">
      <c r="B27" s="318" t="s">
        <v>150</v>
      </c>
      <c r="C27" s="72"/>
      <c r="D27" s="335"/>
      <c r="E27" s="72"/>
      <c r="F27" s="72"/>
      <c r="G27" s="72"/>
      <c r="H27" s="73"/>
      <c r="I27" s="73"/>
      <c r="J27" s="358">
        <v>28.4</v>
      </c>
      <c r="K27" s="358">
        <v>15.8</v>
      </c>
      <c r="L27" s="358">
        <v>15.2</v>
      </c>
      <c r="M27" s="358">
        <v>10.9</v>
      </c>
      <c r="N27" s="358">
        <v>18</v>
      </c>
      <c r="O27" s="358"/>
      <c r="P27" s="369"/>
      <c r="Q27" s="358"/>
      <c r="R27" s="358"/>
      <c r="S27" s="338"/>
      <c r="T27" s="338"/>
      <c r="U27" s="338"/>
      <c r="V27" s="338"/>
      <c r="W27" s="338"/>
      <c r="X27" s="338"/>
      <c r="Y27" s="338"/>
      <c r="Z27" s="338"/>
      <c r="AA27" s="338"/>
      <c r="AB27" s="338"/>
      <c r="AC27" s="400"/>
      <c r="AD27" s="322">
        <f t="shared" si="15"/>
        <v>22.075000000000003</v>
      </c>
      <c r="AE27" s="358"/>
    </row>
    <row r="28" spans="1:34" x14ac:dyDescent="0.3">
      <c r="B28" s="318" t="s">
        <v>152</v>
      </c>
      <c r="C28" s="72"/>
      <c r="D28" s="335"/>
      <c r="E28" s="72"/>
      <c r="F28" s="72"/>
      <c r="G28" s="72"/>
      <c r="H28" s="73"/>
      <c r="I28" s="73"/>
      <c r="J28" s="152">
        <v>64.400000000000006</v>
      </c>
      <c r="K28" s="152">
        <v>23.4</v>
      </c>
      <c r="L28" s="152">
        <v>13.8</v>
      </c>
      <c r="M28" s="152">
        <v>16.100000000000001</v>
      </c>
      <c r="N28" s="358"/>
      <c r="O28" s="358"/>
      <c r="P28" s="369"/>
      <c r="Q28" s="358"/>
      <c r="R28" s="358"/>
      <c r="S28" s="338"/>
      <c r="T28" s="338"/>
      <c r="U28" s="338"/>
      <c r="V28" s="338"/>
      <c r="W28" s="338"/>
      <c r="X28" s="338"/>
      <c r="Y28" s="338"/>
      <c r="Z28" s="338"/>
      <c r="AA28" s="338"/>
      <c r="AB28" s="338"/>
      <c r="AC28" s="400"/>
      <c r="AD28" s="322">
        <f t="shared" si="15"/>
        <v>29.425000000000004</v>
      </c>
      <c r="AE28" s="358"/>
    </row>
    <row r="29" spans="1:34" ht="16.5" customHeight="1" x14ac:dyDescent="0.3">
      <c r="B29" s="399" t="s">
        <v>404</v>
      </c>
      <c r="C29" s="72"/>
      <c r="D29" s="335"/>
      <c r="E29" s="72"/>
      <c r="F29" s="72"/>
      <c r="G29" s="72"/>
      <c r="H29" s="73"/>
      <c r="I29" s="73"/>
      <c r="J29" s="73"/>
      <c r="K29" s="73"/>
      <c r="L29" s="73"/>
      <c r="M29" s="358">
        <f>SUM(M30:M34)</f>
        <v>43</v>
      </c>
      <c r="N29" s="358">
        <f t="shared" ref="N29:AC29" si="16">SUM(N30:N34)</f>
        <v>70</v>
      </c>
      <c r="O29" s="358">
        <f t="shared" si="16"/>
        <v>59.999999999999964</v>
      </c>
      <c r="P29" s="369">
        <f t="shared" si="16"/>
        <v>50</v>
      </c>
      <c r="Q29" s="358">
        <f t="shared" si="16"/>
        <v>44.999999999999964</v>
      </c>
      <c r="R29" s="358">
        <f t="shared" si="16"/>
        <v>44.999999999999964</v>
      </c>
      <c r="S29" s="338">
        <f t="shared" si="16"/>
        <v>44.999999999999964</v>
      </c>
      <c r="T29" s="338">
        <f t="shared" si="16"/>
        <v>44.999999999999964</v>
      </c>
      <c r="U29" s="338">
        <f t="shared" si="16"/>
        <v>44.999999999999964</v>
      </c>
      <c r="V29" s="338">
        <f t="shared" si="16"/>
        <v>44.999999999999964</v>
      </c>
      <c r="W29" s="338">
        <f t="shared" si="16"/>
        <v>44.999999999999964</v>
      </c>
      <c r="X29" s="338">
        <f t="shared" si="16"/>
        <v>44.999999999999964</v>
      </c>
      <c r="Y29" s="338">
        <f t="shared" si="16"/>
        <v>19</v>
      </c>
      <c r="Z29" s="338">
        <f t="shared" si="16"/>
        <v>0</v>
      </c>
      <c r="AA29" s="338">
        <f t="shared" si="16"/>
        <v>0</v>
      </c>
      <c r="AB29" s="338">
        <f t="shared" si="16"/>
        <v>0</v>
      </c>
      <c r="AC29" s="400">
        <f t="shared" si="16"/>
        <v>0</v>
      </c>
      <c r="AD29" s="322">
        <f t="shared" si="15"/>
        <v>150.49999999999991</v>
      </c>
      <c r="AE29" s="992" t="s">
        <v>405</v>
      </c>
      <c r="AF29" s="946"/>
    </row>
    <row r="30" spans="1:34" x14ac:dyDescent="0.3">
      <c r="B30" s="318" t="s">
        <v>391</v>
      </c>
      <c r="C30" s="72"/>
      <c r="D30" s="335"/>
      <c r="E30" s="72"/>
      <c r="F30" s="72"/>
      <c r="G30" s="72"/>
      <c r="H30" s="73"/>
      <c r="I30" s="73"/>
      <c r="J30" s="73"/>
      <c r="K30" s="73"/>
      <c r="L30" s="73"/>
      <c r="M30" s="358">
        <f>C49/12*4</f>
        <v>9.6666666666666661</v>
      </c>
      <c r="N30" s="358">
        <f>M30</f>
        <v>9.6666666666666661</v>
      </c>
      <c r="O30" s="358">
        <f t="shared" ref="O30:X30" si="17">N30</f>
        <v>9.6666666666666661</v>
      </c>
      <c r="P30" s="369">
        <f t="shared" si="17"/>
        <v>9.6666666666666661</v>
      </c>
      <c r="Q30" s="358">
        <f t="shared" si="17"/>
        <v>9.6666666666666661</v>
      </c>
      <c r="R30" s="358">
        <f t="shared" si="17"/>
        <v>9.6666666666666661</v>
      </c>
      <c r="S30" s="338">
        <f t="shared" si="17"/>
        <v>9.6666666666666661</v>
      </c>
      <c r="T30" s="338">
        <f t="shared" si="17"/>
        <v>9.6666666666666661</v>
      </c>
      <c r="U30" s="338">
        <f t="shared" si="17"/>
        <v>9.6666666666666661</v>
      </c>
      <c r="V30" s="338">
        <f t="shared" si="17"/>
        <v>9.6666666666666661</v>
      </c>
      <c r="W30" s="338">
        <f t="shared" si="17"/>
        <v>9.6666666666666661</v>
      </c>
      <c r="X30" s="338">
        <f t="shared" si="17"/>
        <v>9.6666666666666661</v>
      </c>
      <c r="Y30" s="337"/>
      <c r="Z30" s="337"/>
      <c r="AA30" s="337"/>
      <c r="AB30" s="337"/>
      <c r="AC30" s="401"/>
      <c r="AD30" s="322">
        <f t="shared" si="15"/>
        <v>29.000000000000004</v>
      </c>
      <c r="AE30" s="992"/>
      <c r="AF30" s="946"/>
    </row>
    <row r="31" spans="1:34" ht="41.4" customHeight="1" x14ac:dyDescent="0.3">
      <c r="B31" s="318" t="s">
        <v>150</v>
      </c>
      <c r="C31" s="72"/>
      <c r="D31" s="335"/>
      <c r="E31" s="72"/>
      <c r="F31" s="72"/>
      <c r="G31" s="72"/>
      <c r="H31" s="73"/>
      <c r="I31" s="73"/>
      <c r="J31" s="73"/>
      <c r="K31" s="73"/>
      <c r="L31" s="73"/>
      <c r="M31" s="365">
        <f>C60/12*4 - 7</f>
        <v>20.333333333333332</v>
      </c>
      <c r="N31" s="365">
        <f>C60/12*4 + 20</f>
        <v>47.333333333333329</v>
      </c>
      <c r="O31" s="365">
        <v>37.3333333333333</v>
      </c>
      <c r="P31" s="419">
        <v>27.333333333333332</v>
      </c>
      <c r="Q31" s="365">
        <v>22.3333333333333</v>
      </c>
      <c r="R31" s="365">
        <v>22.3333333333333</v>
      </c>
      <c r="S31" s="406">
        <v>22.3333333333333</v>
      </c>
      <c r="T31" s="406">
        <v>22.3333333333333</v>
      </c>
      <c r="U31" s="406">
        <v>22.3333333333333</v>
      </c>
      <c r="V31" s="406">
        <v>22.3333333333333</v>
      </c>
      <c r="W31" s="406">
        <v>22.3333333333333</v>
      </c>
      <c r="X31" s="406">
        <v>22.3333333333333</v>
      </c>
      <c r="Y31" s="406">
        <v>19</v>
      </c>
      <c r="Z31" s="406"/>
      <c r="AA31" s="406"/>
      <c r="AB31" s="406"/>
      <c r="AC31" s="407"/>
      <c r="AD31" s="322">
        <f>SUM(I31:Y31)/4</f>
        <v>82.499999999999943</v>
      </c>
      <c r="AE31" s="413" t="s">
        <v>406</v>
      </c>
    </row>
    <row r="32" spans="1:34" x14ac:dyDescent="0.3">
      <c r="B32" s="318" t="s">
        <v>152</v>
      </c>
      <c r="C32" s="72"/>
      <c r="D32" s="335"/>
      <c r="E32" s="72"/>
      <c r="F32" s="72"/>
      <c r="G32" s="72"/>
      <c r="H32" s="73"/>
      <c r="I32" s="73"/>
      <c r="J32" s="73"/>
      <c r="K32" s="73"/>
      <c r="L32" s="73"/>
      <c r="M32" s="358">
        <f>C61/12*4</f>
        <v>1</v>
      </c>
      <c r="N32" s="358">
        <f>C61/12*4</f>
        <v>1</v>
      </c>
      <c r="O32" s="358">
        <f t="shared" ref="O32:X32" si="18">$C$61/12*4</f>
        <v>1</v>
      </c>
      <c r="P32" s="369">
        <f t="shared" si="18"/>
        <v>1</v>
      </c>
      <c r="Q32" s="358">
        <f t="shared" si="18"/>
        <v>1</v>
      </c>
      <c r="R32" s="358">
        <f t="shared" si="18"/>
        <v>1</v>
      </c>
      <c r="S32" s="338">
        <f t="shared" si="18"/>
        <v>1</v>
      </c>
      <c r="T32" s="338">
        <f t="shared" si="18"/>
        <v>1</v>
      </c>
      <c r="U32" s="338">
        <f t="shared" si="18"/>
        <v>1</v>
      </c>
      <c r="V32" s="338">
        <f t="shared" si="18"/>
        <v>1</v>
      </c>
      <c r="W32" s="338">
        <f t="shared" si="18"/>
        <v>1</v>
      </c>
      <c r="X32" s="338">
        <f t="shared" si="18"/>
        <v>1</v>
      </c>
      <c r="Y32" s="337"/>
      <c r="Z32" s="337"/>
      <c r="AA32" s="337"/>
      <c r="AB32" s="337"/>
      <c r="AC32" s="401"/>
      <c r="AD32" s="322">
        <f t="shared" si="15"/>
        <v>3</v>
      </c>
      <c r="AE32" s="73"/>
    </row>
    <row r="33" spans="1:88" ht="13.2" customHeight="1" x14ac:dyDescent="0.3">
      <c r="B33" s="318" t="s">
        <v>407</v>
      </c>
      <c r="C33" s="72"/>
      <c r="D33" s="335"/>
      <c r="E33" s="72"/>
      <c r="F33" s="72"/>
      <c r="G33" s="72"/>
      <c r="H33" s="73"/>
      <c r="I33" s="73"/>
      <c r="J33" s="73"/>
      <c r="K33" s="73"/>
      <c r="L33" s="73"/>
      <c r="M33" s="358">
        <f t="shared" ref="M33:X33" si="19">$C$62/12*4</f>
        <v>11.333333333333334</v>
      </c>
      <c r="N33" s="358">
        <f t="shared" si="19"/>
        <v>11.333333333333334</v>
      </c>
      <c r="O33" s="358">
        <f t="shared" si="19"/>
        <v>11.333333333333334</v>
      </c>
      <c r="P33" s="369">
        <f t="shared" si="19"/>
        <v>11.333333333333334</v>
      </c>
      <c r="Q33" s="358">
        <f t="shared" si="19"/>
        <v>11.333333333333334</v>
      </c>
      <c r="R33" s="358">
        <f t="shared" si="19"/>
        <v>11.333333333333334</v>
      </c>
      <c r="S33" s="338">
        <f t="shared" si="19"/>
        <v>11.333333333333334</v>
      </c>
      <c r="T33" s="338">
        <f t="shared" si="19"/>
        <v>11.333333333333334</v>
      </c>
      <c r="U33" s="338">
        <f t="shared" si="19"/>
        <v>11.333333333333334</v>
      </c>
      <c r="V33" s="338">
        <f t="shared" si="19"/>
        <v>11.333333333333334</v>
      </c>
      <c r="W33" s="338">
        <f t="shared" si="19"/>
        <v>11.333333333333334</v>
      </c>
      <c r="X33" s="338">
        <f t="shared" si="19"/>
        <v>11.333333333333334</v>
      </c>
      <c r="Y33" s="337"/>
      <c r="Z33" s="337"/>
      <c r="AA33" s="337"/>
      <c r="AB33" s="337"/>
      <c r="AC33" s="401"/>
      <c r="AD33" s="322">
        <f t="shared" si="15"/>
        <v>33.999999999999993</v>
      </c>
      <c r="AE33" s="73"/>
    </row>
    <row r="34" spans="1:88" ht="29.25" customHeight="1" x14ac:dyDescent="0.3">
      <c r="B34" s="318" t="s">
        <v>408</v>
      </c>
      <c r="C34" s="72"/>
      <c r="D34" s="335"/>
      <c r="E34" s="72"/>
      <c r="F34" s="72"/>
      <c r="G34" s="72"/>
      <c r="H34" s="73"/>
      <c r="I34" s="73"/>
      <c r="J34" s="73"/>
      <c r="K34" s="73"/>
      <c r="L34" s="73"/>
      <c r="M34" s="358">
        <f t="shared" ref="M34:X34" si="20">$C$63/12*4</f>
        <v>0.66666666666666663</v>
      </c>
      <c r="N34" s="358">
        <f t="shared" si="20"/>
        <v>0.66666666666666663</v>
      </c>
      <c r="O34" s="358">
        <f t="shared" si="20"/>
        <v>0.66666666666666663</v>
      </c>
      <c r="P34" s="369">
        <f t="shared" si="20"/>
        <v>0.66666666666666663</v>
      </c>
      <c r="Q34" s="358">
        <f t="shared" si="20"/>
        <v>0.66666666666666663</v>
      </c>
      <c r="R34" s="358">
        <f t="shared" si="20"/>
        <v>0.66666666666666663</v>
      </c>
      <c r="S34" s="338">
        <f t="shared" si="20"/>
        <v>0.66666666666666663</v>
      </c>
      <c r="T34" s="338">
        <f t="shared" si="20"/>
        <v>0.66666666666666663</v>
      </c>
      <c r="U34" s="338">
        <f t="shared" si="20"/>
        <v>0.66666666666666663</v>
      </c>
      <c r="V34" s="338">
        <f t="shared" si="20"/>
        <v>0.66666666666666663</v>
      </c>
      <c r="W34" s="338">
        <f t="shared" si="20"/>
        <v>0.66666666666666663</v>
      </c>
      <c r="X34" s="338">
        <f t="shared" si="20"/>
        <v>0.66666666666666663</v>
      </c>
      <c r="Y34" s="337"/>
      <c r="Z34" s="337"/>
      <c r="AA34" s="337"/>
      <c r="AB34" s="337"/>
      <c r="AC34" s="401"/>
      <c r="AD34" s="322">
        <f t="shared" si="15"/>
        <v>2</v>
      </c>
      <c r="AE34" s="73"/>
    </row>
    <row r="35" spans="1:88" ht="44.25" customHeight="1" x14ac:dyDescent="0.3">
      <c r="B35" s="399" t="s">
        <v>409</v>
      </c>
      <c r="C35" s="72"/>
      <c r="D35" s="335"/>
      <c r="E35" s="72"/>
      <c r="F35" s="72"/>
      <c r="G35" s="72"/>
      <c r="H35" s="73"/>
      <c r="I35" s="73"/>
      <c r="J35" s="73"/>
      <c r="K35" s="73"/>
      <c r="L35" s="73"/>
      <c r="M35" s="358"/>
      <c r="N35" s="358">
        <f t="shared" ref="N35:AC35" si="21">SUM(N36:N40)</f>
        <v>954.03959999999972</v>
      </c>
      <c r="O35" s="358">
        <f t="shared" si="21"/>
        <v>85.500399999999999</v>
      </c>
      <c r="P35" s="369">
        <f t="shared" si="21"/>
        <v>83.481000000000009</v>
      </c>
      <c r="Q35" s="358">
        <f t="shared" si="21"/>
        <v>662.76099999999997</v>
      </c>
      <c r="R35" s="358">
        <f t="shared" si="21"/>
        <v>83.481000000000009</v>
      </c>
      <c r="S35" s="338">
        <f t="shared" si="21"/>
        <v>83.481000000000009</v>
      </c>
      <c r="T35" s="338">
        <f t="shared" si="21"/>
        <v>62.811999999999998</v>
      </c>
      <c r="U35" s="338">
        <f t="shared" si="21"/>
        <v>62.811999999999998</v>
      </c>
      <c r="V35" s="338">
        <f t="shared" si="21"/>
        <v>62.811999999999998</v>
      </c>
      <c r="W35" s="338">
        <f t="shared" si="21"/>
        <v>62.811999999999998</v>
      </c>
      <c r="X35" s="338">
        <f t="shared" si="21"/>
        <v>41.554000000000002</v>
      </c>
      <c r="Y35" s="338">
        <f t="shared" si="21"/>
        <v>41.554000000000002</v>
      </c>
      <c r="Z35" s="338">
        <f t="shared" si="21"/>
        <v>41.554000000000002</v>
      </c>
      <c r="AA35" s="338">
        <f t="shared" si="21"/>
        <v>41.554000000000002</v>
      </c>
      <c r="AB35" s="338">
        <f t="shared" si="21"/>
        <v>27.678000000000001</v>
      </c>
      <c r="AC35" s="400">
        <f t="shared" si="21"/>
        <v>27.678000000000001</v>
      </c>
      <c r="AD35" s="322">
        <f t="shared" si="15"/>
        <v>571.77499999999986</v>
      </c>
      <c r="AE35" s="992" t="s">
        <v>410</v>
      </c>
      <c r="AF35" s="946"/>
    </row>
    <row r="36" spans="1:88" ht="17.7" customHeight="1" x14ac:dyDescent="0.3">
      <c r="B36" s="318" t="s">
        <v>396</v>
      </c>
      <c r="C36" s="72"/>
      <c r="D36" s="335"/>
      <c r="E36" s="72"/>
      <c r="F36" s="72"/>
      <c r="G36" s="72"/>
      <c r="H36" s="73"/>
      <c r="I36" s="73"/>
      <c r="J36" s="73"/>
      <c r="K36" s="73"/>
      <c r="L36" s="73"/>
      <c r="M36" s="358"/>
      <c r="N36" s="358">
        <f>0.6*C65*4</f>
        <v>868.91999999999985</v>
      </c>
      <c r="O36" s="358"/>
      <c r="P36" s="369"/>
      <c r="Q36" s="358">
        <f>0.4*C65*4</f>
        <v>579.28</v>
      </c>
      <c r="R36" s="358"/>
      <c r="S36" s="338"/>
      <c r="T36" s="338"/>
      <c r="U36" s="338"/>
      <c r="V36" s="338"/>
      <c r="W36" s="338"/>
      <c r="X36" s="338"/>
      <c r="Y36" s="338"/>
      <c r="Z36" s="338"/>
      <c r="AA36" s="338"/>
      <c r="AB36" s="338"/>
      <c r="AC36" s="400"/>
      <c r="AD36" s="322">
        <f t="shared" si="15"/>
        <v>362.04999999999995</v>
      </c>
      <c r="AE36" s="349" t="s">
        <v>411</v>
      </c>
      <c r="AF36" s="349"/>
    </row>
    <row r="37" spans="1:88" x14ac:dyDescent="0.3">
      <c r="B37" s="318" t="s">
        <v>150</v>
      </c>
      <c r="C37" s="72"/>
      <c r="D37" s="335"/>
      <c r="E37" s="72"/>
      <c r="F37" s="72"/>
      <c r="G37" s="72"/>
      <c r="H37" s="73"/>
      <c r="I37" s="73"/>
      <c r="J37" s="73"/>
      <c r="K37" s="73"/>
      <c r="L37" s="73"/>
      <c r="M37" s="358"/>
      <c r="N37" s="358">
        <f>'ARP Quarterly'!D9</f>
        <v>24.693999999999999</v>
      </c>
      <c r="O37" s="358">
        <f>'ARP Quarterly'!E9</f>
        <v>24.693999999999999</v>
      </c>
      <c r="P37" s="369">
        <f>'ARP Quarterly'!F9</f>
        <v>46.79</v>
      </c>
      <c r="Q37" s="358">
        <f>'ARP Quarterly'!G9</f>
        <v>46.79</v>
      </c>
      <c r="R37" s="358">
        <f>'ARP Quarterly'!H9</f>
        <v>46.79</v>
      </c>
      <c r="S37" s="338">
        <f>'ARP Quarterly'!I9</f>
        <v>46.79</v>
      </c>
      <c r="T37" s="338">
        <f>'ARP Quarterly'!J9</f>
        <v>38.595999999999997</v>
      </c>
      <c r="U37" s="338">
        <f>'ARP Quarterly'!K9</f>
        <v>38.595999999999997</v>
      </c>
      <c r="V37" s="338">
        <f>'ARP Quarterly'!L9</f>
        <v>38.595999999999997</v>
      </c>
      <c r="W37" s="338">
        <f>'ARP Quarterly'!M9</f>
        <v>38.595999999999997</v>
      </c>
      <c r="X37" s="338">
        <f>'ARP Quarterly'!N9</f>
        <v>31.911000000000001</v>
      </c>
      <c r="Y37" s="338">
        <f>'ARP Quarterly'!O9</f>
        <v>31.911000000000001</v>
      </c>
      <c r="Z37" s="338">
        <f>'ARP Quarterly'!P9</f>
        <v>31.911000000000001</v>
      </c>
      <c r="AA37" s="338">
        <f>'ARP Quarterly'!Q9</f>
        <v>31.911000000000001</v>
      </c>
      <c r="AB37" s="338">
        <f>'ARP Quarterly'!R9</f>
        <v>23.099</v>
      </c>
      <c r="AC37" s="400">
        <f>'ARP Quarterly'!S9</f>
        <v>23.099</v>
      </c>
      <c r="AD37" s="322">
        <f t="shared" si="15"/>
        <v>113.68849999999999</v>
      </c>
      <c r="AE37" s="358"/>
    </row>
    <row r="38" spans="1:88" x14ac:dyDescent="0.3">
      <c r="B38" s="318" t="s">
        <v>152</v>
      </c>
      <c r="C38" s="72"/>
      <c r="D38" s="335"/>
      <c r="E38" s="72"/>
      <c r="F38" s="72"/>
      <c r="G38" s="72"/>
      <c r="H38" s="73"/>
      <c r="I38" s="73"/>
      <c r="J38" s="73"/>
      <c r="K38" s="73"/>
      <c r="L38" s="73"/>
      <c r="M38" s="358"/>
      <c r="N38" s="358">
        <f>'ARP Quarterly'!D14</f>
        <v>1.1696</v>
      </c>
      <c r="O38" s="358">
        <f>'ARP Quarterly'!E14</f>
        <v>1.5503999999999998</v>
      </c>
      <c r="P38" s="369">
        <f>'ARP Quarterly'!F14</f>
        <v>1.02</v>
      </c>
      <c r="Q38" s="358">
        <f>'ARP Quarterly'!G14</f>
        <v>1.02</v>
      </c>
      <c r="R38" s="358">
        <f>'ARP Quarterly'!H14</f>
        <v>1.02</v>
      </c>
      <c r="S38" s="338">
        <f>'ARP Quarterly'!I14</f>
        <v>1.02</v>
      </c>
      <c r="T38" s="338">
        <f>'ARP Quarterly'!J14</f>
        <v>0</v>
      </c>
      <c r="U38" s="338">
        <f>'ARP Quarterly'!K14</f>
        <v>0</v>
      </c>
      <c r="V38" s="338">
        <f>'ARP Quarterly'!L14</f>
        <v>0</v>
      </c>
      <c r="W38" s="338">
        <f>'ARP Quarterly'!M14</f>
        <v>0</v>
      </c>
      <c r="X38" s="338">
        <f>'ARP Quarterly'!N14</f>
        <v>0</v>
      </c>
      <c r="Y38" s="338">
        <f>'ARP Quarterly'!O14</f>
        <v>0</v>
      </c>
      <c r="Z38" s="338">
        <f>'ARP Quarterly'!P14</f>
        <v>0</v>
      </c>
      <c r="AA38" s="338">
        <f>'ARP Quarterly'!Q14</f>
        <v>0</v>
      </c>
      <c r="AB38" s="338">
        <f>'ARP Quarterly'!R14</f>
        <v>0</v>
      </c>
      <c r="AC38" s="400">
        <f>'ARP Quarterly'!S14</f>
        <v>0</v>
      </c>
      <c r="AD38" s="322">
        <f t="shared" si="15"/>
        <v>1.6999999999999997</v>
      </c>
      <c r="AE38" s="358"/>
    </row>
    <row r="39" spans="1:88" x14ac:dyDescent="0.3">
      <c r="B39" s="318" t="s">
        <v>412</v>
      </c>
      <c r="C39" s="72"/>
      <c r="D39" s="335"/>
      <c r="E39" s="72"/>
      <c r="F39" s="72"/>
      <c r="G39" s="72"/>
      <c r="H39" s="73"/>
      <c r="I39" s="73"/>
      <c r="J39" s="73"/>
      <c r="K39" s="73"/>
      <c r="L39" s="73"/>
      <c r="M39" s="358"/>
      <c r="N39" s="358">
        <f>'ARP Quarterly'!D10</f>
        <v>59.256</v>
      </c>
      <c r="O39" s="358">
        <f>'ARP Quarterly'!E10</f>
        <v>59.256</v>
      </c>
      <c r="P39" s="369">
        <f>'ARP Quarterly'!F10</f>
        <v>35.671000000000006</v>
      </c>
      <c r="Q39" s="358">
        <f>'ARP Quarterly'!G10</f>
        <v>35.671000000000006</v>
      </c>
      <c r="R39" s="358">
        <f>'ARP Quarterly'!H10</f>
        <v>35.671000000000006</v>
      </c>
      <c r="S39" s="338">
        <f>'ARP Quarterly'!I10</f>
        <v>35.671000000000006</v>
      </c>
      <c r="T39" s="338">
        <f>'ARP Quarterly'!J10</f>
        <v>24.216000000000001</v>
      </c>
      <c r="U39" s="338">
        <f>'ARP Quarterly'!K10</f>
        <v>24.216000000000001</v>
      </c>
      <c r="V39" s="338">
        <f>'ARP Quarterly'!L10</f>
        <v>24.216000000000001</v>
      </c>
      <c r="W39" s="338">
        <f>'ARP Quarterly'!M10</f>
        <v>24.216000000000001</v>
      </c>
      <c r="X39" s="338">
        <f>'ARP Quarterly'!N10</f>
        <v>9.6430000000000007</v>
      </c>
      <c r="Y39" s="338">
        <f>'ARP Quarterly'!O10</f>
        <v>9.6430000000000007</v>
      </c>
      <c r="Z39" s="338">
        <f>'ARP Quarterly'!P10</f>
        <v>9.6430000000000007</v>
      </c>
      <c r="AA39" s="338">
        <f>'ARP Quarterly'!Q10</f>
        <v>9.6430000000000007</v>
      </c>
      <c r="AB39" s="338">
        <f>'ARP Quarterly'!R10</f>
        <v>4.5789999999999997</v>
      </c>
      <c r="AC39" s="400">
        <f>'ARP Quarterly'!S10</f>
        <v>4.5789999999999997</v>
      </c>
      <c r="AD39" s="322">
        <f t="shared" si="15"/>
        <v>94.336500000000001</v>
      </c>
      <c r="AE39" s="358"/>
    </row>
    <row r="40" spans="1:88" x14ac:dyDescent="0.3">
      <c r="A40" s="4"/>
      <c r="B40" s="344"/>
      <c r="C40" s="341"/>
      <c r="D40" s="339"/>
      <c r="E40" s="341"/>
      <c r="F40" s="341"/>
      <c r="G40" s="341"/>
      <c r="H40" s="346"/>
      <c r="I40" s="346"/>
      <c r="J40" s="346"/>
      <c r="K40" s="346"/>
      <c r="L40" s="346"/>
      <c r="M40" s="366"/>
      <c r="N40" s="366"/>
      <c r="O40" s="366"/>
      <c r="P40" s="390"/>
      <c r="Q40" s="366"/>
      <c r="R40" s="366"/>
      <c r="S40" s="350"/>
      <c r="T40" s="350"/>
      <c r="U40" s="350"/>
      <c r="V40" s="350"/>
      <c r="W40" s="350"/>
      <c r="X40" s="350"/>
      <c r="Y40" s="350"/>
      <c r="Z40" s="350"/>
      <c r="AA40" s="350"/>
      <c r="AB40" s="350"/>
      <c r="AC40" s="357"/>
      <c r="AD40" s="390"/>
      <c r="AE40" s="358"/>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row>
    <row r="41" spans="1:88" x14ac:dyDescent="0.3">
      <c r="B41" s="316"/>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row>
    <row r="42" spans="1:88" x14ac:dyDescent="0.3">
      <c r="B42" s="316"/>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row>
    <row r="43" spans="1:88" ht="17.7" customHeight="1" x14ac:dyDescent="0.3">
      <c r="B43" s="359" t="s">
        <v>413</v>
      </c>
      <c r="H43" s="73"/>
      <c r="I43" s="73"/>
      <c r="J43" s="73"/>
      <c r="K43" s="73"/>
      <c r="L43" s="73"/>
      <c r="M43" s="73"/>
      <c r="N43" s="73"/>
      <c r="O43" s="73"/>
      <c r="P43" s="73"/>
      <c r="Q43" s="73"/>
      <c r="R43" s="73"/>
      <c r="S43" s="73"/>
      <c r="T43" s="73"/>
      <c r="U43" s="73"/>
      <c r="V43" s="73"/>
      <c r="W43" s="73"/>
      <c r="X43" s="73"/>
      <c r="Y43" s="73"/>
      <c r="Z43" s="73"/>
      <c r="AA43" s="73"/>
      <c r="AB43" s="73"/>
      <c r="AC43" s="73"/>
      <c r="AD43" s="73"/>
      <c r="AE43" s="73"/>
    </row>
    <row r="44" spans="1:88" ht="29.7" customHeight="1" x14ac:dyDescent="0.3">
      <c r="B44" s="409" t="s">
        <v>414</v>
      </c>
      <c r="C44" s="410" t="s">
        <v>415</v>
      </c>
      <c r="D44" s="411" t="s">
        <v>416</v>
      </c>
      <c r="E44" s="382" t="s">
        <v>417</v>
      </c>
      <c r="F44" s="73"/>
      <c r="G44" s="73"/>
      <c r="H44" s="73"/>
      <c r="I44" s="73"/>
      <c r="J44" s="73"/>
      <c r="K44" s="73"/>
      <c r="L44" s="73"/>
      <c r="M44" s="73"/>
      <c r="N44" s="73"/>
      <c r="O44" s="73"/>
      <c r="P44" s="73"/>
      <c r="Q44" s="73"/>
      <c r="R44" s="73"/>
      <c r="S44" s="73"/>
      <c r="T44" s="73"/>
      <c r="U44" s="73"/>
      <c r="V44" s="73"/>
      <c r="W44" s="73"/>
    </row>
    <row r="45" spans="1:88" ht="18.75" customHeight="1" x14ac:dyDescent="0.3">
      <c r="B45" s="416" t="s">
        <v>418</v>
      </c>
      <c r="C45" s="347">
        <f>SUM(C46:C51)</f>
        <v>898.11599999999999</v>
      </c>
      <c r="D45" s="73">
        <f>SUM(D46:D50)</f>
        <v>203.64166666666668</v>
      </c>
      <c r="E45" s="153">
        <f>SUM(E46:E50)</f>
        <v>649.07733333333329</v>
      </c>
      <c r="F45" s="73"/>
      <c r="G45" s="73"/>
      <c r="H45" s="73"/>
      <c r="I45" s="73"/>
      <c r="J45" s="73"/>
      <c r="K45" s="73"/>
      <c r="L45" s="73"/>
      <c r="M45" s="73"/>
      <c r="N45" s="73"/>
      <c r="O45" s="73"/>
      <c r="P45" s="73"/>
      <c r="Q45" s="73"/>
      <c r="R45" s="73"/>
      <c r="S45" s="73"/>
      <c r="T45" s="73"/>
      <c r="U45" s="73"/>
      <c r="V45" s="73"/>
      <c r="W45" s="73"/>
    </row>
    <row r="46" spans="1:88" x14ac:dyDescent="0.3">
      <c r="B46" s="415" t="s">
        <v>149</v>
      </c>
      <c r="C46" s="347">
        <f>C55</f>
        <v>150</v>
      </c>
      <c r="D46" s="73">
        <f>SUM(H12:M12)/4</f>
        <v>149.47499999999999</v>
      </c>
      <c r="E46" s="322">
        <f>C46-D46</f>
        <v>0.52500000000000568</v>
      </c>
      <c r="F46" s="73"/>
      <c r="G46" s="73"/>
      <c r="H46" s="73"/>
      <c r="I46" s="330"/>
      <c r="J46" s="330"/>
      <c r="K46" s="330"/>
      <c r="L46" s="330"/>
      <c r="M46" s="330"/>
      <c r="N46" s="330"/>
      <c r="O46" s="330"/>
      <c r="P46" s="330"/>
      <c r="Q46" s="73"/>
      <c r="R46" s="73"/>
      <c r="S46" s="73"/>
      <c r="T46" s="73"/>
      <c r="U46" s="73"/>
      <c r="V46" s="73"/>
      <c r="W46" s="73"/>
    </row>
    <row r="47" spans="1:88" x14ac:dyDescent="0.3">
      <c r="B47" s="415" t="s">
        <v>150</v>
      </c>
      <c r="C47" s="421">
        <f>C56+C60+C66</f>
        <v>273.16899999999998</v>
      </c>
      <c r="D47" s="73">
        <f>SUM(H13:M13)/4</f>
        <v>22.075000000000003</v>
      </c>
      <c r="E47" s="322">
        <f>C47-D47</f>
        <v>251.09399999999999</v>
      </c>
      <c r="F47" s="73"/>
      <c r="G47" s="73"/>
      <c r="H47" s="73"/>
      <c r="I47" s="330"/>
      <c r="J47" s="330"/>
      <c r="K47" s="330"/>
      <c r="L47" s="330"/>
      <c r="M47" s="330"/>
      <c r="N47" s="330"/>
      <c r="O47" s="330"/>
      <c r="P47" s="330"/>
      <c r="Q47" s="73"/>
      <c r="R47" s="73"/>
      <c r="S47" s="73"/>
      <c r="T47" s="73"/>
      <c r="U47" s="73"/>
      <c r="V47" s="73"/>
      <c r="W47" s="73"/>
    </row>
    <row r="48" spans="1:88" x14ac:dyDescent="0.3">
      <c r="B48" s="415" t="s">
        <v>152</v>
      </c>
      <c r="C48" s="287">
        <f>C57+C67+C61</f>
        <v>38.5</v>
      </c>
      <c r="D48" s="73">
        <f>SUM(H14:M14)/4</f>
        <v>29.675000000000004</v>
      </c>
      <c r="E48" s="322">
        <f>C48-D48</f>
        <v>8.8249999999999957</v>
      </c>
      <c r="F48" s="73"/>
      <c r="G48" s="73"/>
      <c r="H48" s="73"/>
      <c r="I48" s="330"/>
      <c r="J48" s="330"/>
      <c r="K48" s="330"/>
      <c r="L48" s="330"/>
      <c r="M48" s="330"/>
      <c r="N48" s="330"/>
      <c r="O48" s="330"/>
      <c r="P48" s="330"/>
      <c r="Q48" s="1009"/>
      <c r="R48" s="1009"/>
      <c r="S48" s="1009"/>
      <c r="T48" s="1009"/>
      <c r="U48" s="1009"/>
      <c r="V48" s="1009"/>
      <c r="W48" s="1009"/>
      <c r="X48" s="1009"/>
      <c r="Y48" s="1009"/>
      <c r="Z48" s="1009"/>
      <c r="AA48" s="1009"/>
      <c r="AB48" s="1009"/>
      <c r="AC48" s="1009"/>
      <c r="AD48" s="1009"/>
      <c r="AE48" s="1009"/>
      <c r="AF48" s="1009"/>
      <c r="AG48" s="1009"/>
      <c r="AH48" s="1009"/>
    </row>
    <row r="49" spans="1:34" ht="17.25" customHeight="1" x14ac:dyDescent="0.3">
      <c r="B49" s="415" t="s">
        <v>419</v>
      </c>
      <c r="C49" s="287">
        <f>C59</f>
        <v>29</v>
      </c>
      <c r="D49" s="73">
        <f>SUM(H15:M15)/4</f>
        <v>2.4166666666666665</v>
      </c>
      <c r="E49" s="322">
        <f>C49-D49</f>
        <v>26.583333333333332</v>
      </c>
      <c r="F49" s="73"/>
      <c r="G49" s="73"/>
      <c r="H49" s="73"/>
      <c r="I49" s="330"/>
      <c r="J49" s="330"/>
      <c r="K49" s="330"/>
      <c r="L49" s="330"/>
      <c r="M49" s="330"/>
      <c r="N49" s="330"/>
      <c r="O49" s="330"/>
      <c r="P49" s="330"/>
      <c r="Q49" s="945"/>
      <c r="R49" s="945"/>
      <c r="S49" s="945"/>
      <c r="T49" s="945"/>
      <c r="U49" s="945"/>
      <c r="V49" s="945"/>
      <c r="W49" s="945"/>
      <c r="X49" s="945"/>
      <c r="Y49" s="945"/>
      <c r="Z49" s="149"/>
      <c r="AA49" s="149"/>
      <c r="AB49" s="149"/>
      <c r="AC49" s="149"/>
      <c r="AD49" s="945"/>
      <c r="AE49" s="945"/>
      <c r="AF49" s="945"/>
      <c r="AG49" s="945"/>
      <c r="AH49" s="149"/>
    </row>
    <row r="50" spans="1:34" ht="15.75" customHeight="1" x14ac:dyDescent="0.3">
      <c r="B50" s="415" t="s">
        <v>396</v>
      </c>
      <c r="C50" s="287">
        <f>C65</f>
        <v>362.04999999999995</v>
      </c>
      <c r="D50" s="73">
        <v>0</v>
      </c>
      <c r="E50" s="322">
        <f>C50-D50</f>
        <v>362.04999999999995</v>
      </c>
      <c r="F50" s="73"/>
      <c r="G50" s="73"/>
      <c r="H50" s="73"/>
      <c r="I50" s="330"/>
      <c r="J50" s="330"/>
      <c r="K50" s="330"/>
      <c r="L50" s="330"/>
      <c r="M50" s="330"/>
      <c r="N50" s="330"/>
      <c r="O50" s="330"/>
      <c r="P50" s="330"/>
      <c r="Q50" s="149"/>
      <c r="R50" s="149"/>
      <c r="S50" s="149"/>
      <c r="T50" s="149"/>
      <c r="U50" s="149"/>
      <c r="V50" s="149"/>
      <c r="W50" s="149"/>
      <c r="X50" s="149"/>
      <c r="Y50" s="149"/>
      <c r="Z50" s="149"/>
      <c r="AA50" s="149"/>
      <c r="AB50" s="149"/>
      <c r="AC50" s="149"/>
      <c r="AD50" s="149"/>
      <c r="AE50" s="149"/>
      <c r="AF50" s="149"/>
      <c r="AG50" s="149"/>
      <c r="AH50" s="149"/>
    </row>
    <row r="51" spans="1:34" ht="15" customHeight="1" x14ac:dyDescent="0.3">
      <c r="B51" s="414" t="s">
        <v>420</v>
      </c>
      <c r="C51" s="347">
        <f>C68+C69+C62+C63</f>
        <v>45.396999999999998</v>
      </c>
      <c r="D51" s="73"/>
      <c r="E51" s="322"/>
      <c r="F51" s="73"/>
      <c r="G51" s="73"/>
      <c r="H51" s="73"/>
      <c r="I51" s="330"/>
      <c r="J51" s="330"/>
      <c r="K51" s="330"/>
      <c r="L51" s="330"/>
      <c r="M51" s="330"/>
      <c r="N51" s="330"/>
      <c r="O51" s="330"/>
      <c r="P51" s="330"/>
      <c r="Q51" s="73"/>
      <c r="R51" s="73"/>
      <c r="S51" s="73"/>
      <c r="T51" s="73"/>
      <c r="U51" s="73"/>
      <c r="V51" s="73"/>
      <c r="W51" s="73"/>
    </row>
    <row r="52" spans="1:34" ht="5.25" customHeight="1" x14ac:dyDescent="0.3">
      <c r="B52" s="414"/>
      <c r="C52" s="347"/>
      <c r="D52" s="73"/>
      <c r="E52" s="322"/>
      <c r="F52" s="73"/>
      <c r="G52" s="73"/>
      <c r="H52" s="73"/>
      <c r="I52" s="330"/>
      <c r="J52" s="330"/>
      <c r="K52" s="330"/>
      <c r="L52" s="330"/>
      <c r="M52" s="330"/>
      <c r="N52" s="330"/>
      <c r="O52" s="330"/>
      <c r="P52" s="330"/>
      <c r="Q52" s="73"/>
      <c r="R52" s="73"/>
      <c r="S52" s="73"/>
      <c r="T52" s="73"/>
      <c r="U52" s="73"/>
      <c r="V52" s="73"/>
      <c r="W52" s="73"/>
    </row>
    <row r="53" spans="1:34" ht="18.75" customHeight="1" x14ac:dyDescent="0.3">
      <c r="B53" s="416" t="s">
        <v>421</v>
      </c>
      <c r="C53" s="287">
        <f>C54+C58+C64</f>
        <v>898.11599999999999</v>
      </c>
      <c r="D53" s="73"/>
      <c r="E53" s="322"/>
      <c r="F53" s="73"/>
      <c r="G53" s="73"/>
      <c r="H53" s="73"/>
      <c r="I53" s="330"/>
      <c r="J53" s="330"/>
      <c r="K53" s="330"/>
      <c r="L53" s="330"/>
      <c r="M53" s="330"/>
      <c r="N53" s="330"/>
      <c r="O53" s="330"/>
      <c r="P53" s="330"/>
      <c r="Q53" s="73"/>
      <c r="R53" s="73"/>
      <c r="S53" s="73"/>
      <c r="T53" s="73"/>
      <c r="U53" s="73"/>
      <c r="V53" s="73"/>
      <c r="W53" s="73"/>
    </row>
    <row r="54" spans="1:34" ht="16.2" customHeight="1" x14ac:dyDescent="0.3">
      <c r="B54" s="399" t="s">
        <v>402</v>
      </c>
      <c r="C54" s="287">
        <f>SUM(C55:C57)</f>
        <v>199</v>
      </c>
      <c r="D54" s="73"/>
      <c r="E54" s="322"/>
      <c r="F54" s="73"/>
      <c r="G54" s="73"/>
      <c r="H54" s="73"/>
      <c r="I54" s="330"/>
      <c r="J54" s="330"/>
      <c r="K54" s="330"/>
      <c r="L54" s="330"/>
      <c r="M54" s="330"/>
      <c r="N54" s="330"/>
      <c r="O54" s="330"/>
      <c r="P54" s="330"/>
      <c r="Q54" s="73"/>
      <c r="R54" s="73"/>
      <c r="S54" s="73"/>
      <c r="T54" s="73"/>
      <c r="U54" s="73"/>
      <c r="V54" s="73"/>
      <c r="W54" s="73"/>
    </row>
    <row r="55" spans="1:34" ht="20.7" customHeight="1" x14ac:dyDescent="0.3">
      <c r="B55" s="318" t="s">
        <v>149</v>
      </c>
      <c r="C55" s="287">
        <v>150</v>
      </c>
      <c r="D55" s="73"/>
      <c r="E55" s="322"/>
      <c r="F55" s="73"/>
      <c r="G55" s="73"/>
      <c r="H55" s="73"/>
      <c r="I55" s="330"/>
      <c r="J55" s="330"/>
      <c r="K55" s="330"/>
      <c r="L55" s="330"/>
      <c r="M55" s="330"/>
      <c r="N55" s="330"/>
      <c r="O55" s="330"/>
      <c r="P55" s="330"/>
      <c r="Q55" s="73"/>
      <c r="R55" s="73"/>
      <c r="S55" s="73"/>
      <c r="T55" s="73"/>
      <c r="U55" s="73"/>
      <c r="V55" s="73"/>
      <c r="W55" s="73"/>
    </row>
    <row r="56" spans="1:34" ht="16.5" customHeight="1" x14ac:dyDescent="0.3">
      <c r="B56" s="318" t="s">
        <v>150</v>
      </c>
      <c r="C56" s="421">
        <v>22</v>
      </c>
      <c r="D56" s="152"/>
      <c r="E56" s="322"/>
      <c r="F56" s="73"/>
      <c r="G56" s="73"/>
      <c r="H56" s="73"/>
      <c r="I56" s="330"/>
      <c r="J56" s="330"/>
      <c r="K56" s="330"/>
      <c r="L56" s="330"/>
      <c r="M56" s="330"/>
      <c r="N56" s="330"/>
      <c r="O56" s="330"/>
      <c r="P56" s="330"/>
      <c r="Q56" s="73"/>
      <c r="R56" s="73"/>
      <c r="S56" s="73"/>
      <c r="T56" s="73"/>
      <c r="U56" s="73"/>
      <c r="V56" s="73"/>
      <c r="W56" s="73"/>
    </row>
    <row r="57" spans="1:34" x14ac:dyDescent="0.3">
      <c r="B57" s="318" t="s">
        <v>152</v>
      </c>
      <c r="C57" s="287">
        <v>27</v>
      </c>
      <c r="D57" s="73"/>
      <c r="E57" s="322"/>
      <c r="F57" s="72"/>
      <c r="G57" s="73"/>
      <c r="H57" s="73"/>
      <c r="I57" s="330"/>
      <c r="J57" s="330"/>
      <c r="K57" s="330"/>
      <c r="L57" s="330"/>
      <c r="M57" s="330"/>
      <c r="N57" s="330"/>
      <c r="P57" s="330"/>
      <c r="Q57" s="73"/>
      <c r="R57" s="73"/>
      <c r="S57" s="73"/>
      <c r="T57" s="73"/>
      <c r="U57" s="73"/>
      <c r="V57" s="73"/>
      <c r="W57" s="73"/>
    </row>
    <row r="58" spans="1:34" ht="15" customHeight="1" x14ac:dyDescent="0.3">
      <c r="B58" s="399" t="s">
        <v>404</v>
      </c>
      <c r="C58" s="287">
        <f>SUM(C59:C63)</f>
        <v>150</v>
      </c>
      <c r="D58" s="73"/>
      <c r="E58" s="322"/>
      <c r="F58" s="73"/>
      <c r="G58" s="73"/>
      <c r="H58" s="73"/>
      <c r="I58" s="73"/>
      <c r="J58" s="73"/>
      <c r="K58" s="73"/>
      <c r="L58" s="73"/>
      <c r="M58" s="73"/>
      <c r="N58" s="73"/>
      <c r="P58" s="73"/>
      <c r="Q58" s="73"/>
      <c r="R58" s="73"/>
      <c r="S58" s="73"/>
      <c r="T58" s="73"/>
      <c r="U58" s="73"/>
      <c r="V58" s="73"/>
      <c r="W58" s="73"/>
    </row>
    <row r="59" spans="1:34" ht="17.25" customHeight="1" x14ac:dyDescent="0.3">
      <c r="B59" s="318" t="s">
        <v>391</v>
      </c>
      <c r="C59" s="287">
        <f>'Response and Relief Act Score'!F7</f>
        <v>29</v>
      </c>
      <c r="D59" s="73"/>
      <c r="E59" s="322"/>
      <c r="F59" s="73"/>
      <c r="G59" s="73"/>
      <c r="H59" s="73"/>
      <c r="I59" s="73"/>
    </row>
    <row r="60" spans="1:34" x14ac:dyDescent="0.3">
      <c r="B60" s="318" t="s">
        <v>150</v>
      </c>
      <c r="C60" s="287">
        <f>'Response and Relief Act Score'!F5</f>
        <v>82</v>
      </c>
      <c r="D60" s="73"/>
      <c r="E60" s="322"/>
      <c r="F60" s="73"/>
      <c r="G60" s="73"/>
      <c r="H60" s="73"/>
      <c r="I60" s="73"/>
      <c r="J60" s="73"/>
      <c r="K60" s="73"/>
      <c r="L60" s="73"/>
      <c r="M60" s="73"/>
      <c r="N60" s="73"/>
      <c r="P60" s="73"/>
      <c r="Q60" s="73"/>
      <c r="R60" s="73"/>
      <c r="S60" s="73"/>
      <c r="T60" s="73"/>
      <c r="U60" s="73"/>
      <c r="V60" s="73"/>
      <c r="W60" s="73"/>
    </row>
    <row r="61" spans="1:34" x14ac:dyDescent="0.3">
      <c r="B61" s="318" t="s">
        <v>152</v>
      </c>
      <c r="C61" s="287">
        <f>'Response and Relief Act Score'!F6</f>
        <v>3</v>
      </c>
      <c r="D61" s="73"/>
      <c r="E61" s="322"/>
      <c r="F61" s="73"/>
      <c r="G61" s="73"/>
      <c r="H61" s="73"/>
      <c r="I61" s="73"/>
      <c r="J61" s="73"/>
      <c r="K61" s="73"/>
      <c r="L61" s="73"/>
      <c r="M61" s="73"/>
      <c r="N61" s="73"/>
      <c r="P61" s="73"/>
      <c r="Q61" s="73"/>
      <c r="R61" s="73"/>
      <c r="S61" s="73"/>
      <c r="T61" s="73"/>
      <c r="U61" s="73"/>
      <c r="V61" s="73"/>
      <c r="W61" s="73"/>
    </row>
    <row r="62" spans="1:34" ht="29.25" customHeight="1" x14ac:dyDescent="0.3">
      <c r="B62" s="318" t="s">
        <v>407</v>
      </c>
      <c r="C62" s="287">
        <f>'Response and Relief Act Score'!F9</f>
        <v>34</v>
      </c>
      <c r="D62" s="73"/>
      <c r="E62" s="322"/>
      <c r="F62" s="73"/>
      <c r="G62" s="73"/>
      <c r="H62" s="73"/>
      <c r="I62" s="360"/>
      <c r="J62" s="73"/>
      <c r="K62" s="73"/>
      <c r="L62" s="73"/>
      <c r="M62" s="73"/>
      <c r="N62" s="73"/>
      <c r="O62" s="330"/>
      <c r="P62" s="73"/>
      <c r="Q62" s="73"/>
      <c r="R62" s="73"/>
      <c r="S62" s="73"/>
      <c r="T62" s="73"/>
      <c r="U62" s="73"/>
      <c r="V62" s="73"/>
      <c r="W62" s="73"/>
    </row>
    <row r="63" spans="1:34" ht="12.75" customHeight="1" x14ac:dyDescent="0.3">
      <c r="B63" s="318" t="s">
        <v>408</v>
      </c>
      <c r="C63" s="287">
        <f>'Response and Relief Act Score'!F8</f>
        <v>2</v>
      </c>
      <c r="D63" s="73"/>
      <c r="E63" s="322"/>
      <c r="F63" s="73"/>
      <c r="G63" s="73"/>
      <c r="H63" s="73"/>
      <c r="I63" s="73"/>
      <c r="J63" s="73"/>
      <c r="K63" s="73"/>
      <c r="L63" s="73"/>
      <c r="M63" s="73"/>
      <c r="N63" s="73"/>
      <c r="O63" s="73"/>
      <c r="P63" s="73"/>
      <c r="Q63" s="73"/>
      <c r="R63" s="73"/>
      <c r="S63" s="73"/>
      <c r="T63" s="73"/>
      <c r="U63" s="73"/>
      <c r="V63" s="73"/>
      <c r="W63" s="73"/>
    </row>
    <row r="64" spans="1:34" x14ac:dyDescent="0.3">
      <c r="A64" s="343"/>
      <c r="B64" s="340" t="s">
        <v>409</v>
      </c>
      <c r="C64" s="347">
        <f>SUM(C65:C69)</f>
        <v>549.11599999999999</v>
      </c>
      <c r="D64" s="73"/>
      <c r="E64" s="322"/>
      <c r="F64" s="73"/>
      <c r="G64" s="73"/>
      <c r="H64" s="73"/>
      <c r="I64" s="73"/>
      <c r="J64" s="73"/>
      <c r="K64" s="73"/>
      <c r="L64" s="73"/>
      <c r="M64" s="73"/>
      <c r="N64" s="73"/>
      <c r="P64" s="73"/>
      <c r="Q64" s="73"/>
      <c r="R64" s="73"/>
      <c r="S64" s="73"/>
      <c r="T64" s="73"/>
      <c r="U64" s="73"/>
      <c r="V64" s="73"/>
      <c r="W64" s="73"/>
    </row>
    <row r="65" spans="1:31" ht="16.2" customHeight="1" x14ac:dyDescent="0.3">
      <c r="A65" s="343"/>
      <c r="B65" s="342" t="s">
        <v>396</v>
      </c>
      <c r="C65" s="347">
        <f>'ARP Score'!AJ16</f>
        <v>362.04999999999995</v>
      </c>
      <c r="D65" s="73"/>
      <c r="E65" s="322"/>
      <c r="F65" s="73"/>
      <c r="G65" s="73"/>
      <c r="H65" s="73"/>
      <c r="I65" s="73"/>
      <c r="J65" s="73"/>
      <c r="K65" s="73"/>
      <c r="L65" s="73"/>
      <c r="M65" s="73"/>
      <c r="N65" s="73"/>
      <c r="O65" s="73"/>
      <c r="P65" s="73"/>
      <c r="Q65" s="73"/>
      <c r="R65" s="73"/>
      <c r="S65" s="73"/>
      <c r="T65" s="73"/>
      <c r="U65" s="73"/>
      <c r="V65" s="73"/>
      <c r="W65" s="73"/>
    </row>
    <row r="66" spans="1:31" ht="15" customHeight="1" x14ac:dyDescent="0.3">
      <c r="A66" s="1008"/>
      <c r="B66" s="342" t="s">
        <v>150</v>
      </c>
      <c r="C66" s="347">
        <f>'ARP Score'!AL16</f>
        <v>169.16899999999998</v>
      </c>
      <c r="D66" s="73"/>
      <c r="E66" s="322"/>
      <c r="F66" s="73"/>
      <c r="G66" s="73"/>
      <c r="H66" s="73"/>
      <c r="I66" s="73"/>
      <c r="J66" s="73"/>
      <c r="K66" s="73"/>
      <c r="L66" s="73"/>
      <c r="M66" s="73"/>
      <c r="N66" s="73"/>
      <c r="O66" s="73"/>
      <c r="P66" s="73"/>
      <c r="Q66" s="345"/>
      <c r="R66" s="73"/>
      <c r="S66" s="73"/>
      <c r="T66" s="73"/>
      <c r="U66" s="73"/>
      <c r="V66" s="73"/>
      <c r="W66" s="73"/>
    </row>
    <row r="67" spans="1:31" x14ac:dyDescent="0.3">
      <c r="A67" s="1008"/>
      <c r="B67" s="342" t="s">
        <v>152</v>
      </c>
      <c r="C67" s="347">
        <f>'ARP Score'!AK16</f>
        <v>8.5</v>
      </c>
      <c r="D67" s="73"/>
      <c r="E67" s="322"/>
      <c r="F67" s="73"/>
      <c r="G67" s="73"/>
      <c r="H67" s="73"/>
      <c r="I67" s="73"/>
      <c r="J67" s="73"/>
      <c r="K67" s="73"/>
      <c r="L67" s="73"/>
      <c r="M67" s="73"/>
      <c r="N67" s="73"/>
      <c r="O67" s="73"/>
      <c r="P67" s="73"/>
      <c r="Q67" s="73"/>
      <c r="R67" s="73"/>
      <c r="S67" s="73"/>
      <c r="T67" s="73"/>
      <c r="U67" s="73"/>
      <c r="V67" s="73"/>
      <c r="W67" s="73"/>
    </row>
    <row r="68" spans="1:31" ht="17.25" customHeight="1" x14ac:dyDescent="0.3">
      <c r="A68" s="343"/>
      <c r="B68" s="342" t="s">
        <v>412</v>
      </c>
      <c r="C68" s="347">
        <f>'ARP Score'!AM16</f>
        <v>0.79700000000000004</v>
      </c>
      <c r="D68" s="73"/>
      <c r="E68" s="322"/>
      <c r="F68" s="73"/>
      <c r="G68" s="73"/>
      <c r="H68" s="73"/>
      <c r="I68" s="73"/>
      <c r="J68" s="73"/>
      <c r="K68" s="73"/>
      <c r="L68" s="73"/>
      <c r="M68" s="73"/>
      <c r="N68" s="73"/>
      <c r="O68" s="73"/>
      <c r="P68" s="73"/>
      <c r="Q68" s="73"/>
      <c r="R68" s="73"/>
      <c r="S68" s="73"/>
      <c r="T68" s="73"/>
      <c r="U68" s="73"/>
      <c r="V68" s="73"/>
      <c r="W68" s="73"/>
    </row>
    <row r="69" spans="1:31" ht="17.25" customHeight="1" x14ac:dyDescent="0.3">
      <c r="A69" s="343"/>
      <c r="B69" s="344" t="s">
        <v>422</v>
      </c>
      <c r="C69" s="348">
        <f>'ARP Score'!AN16</f>
        <v>8.6</v>
      </c>
      <c r="D69" s="346"/>
      <c r="E69" s="323"/>
      <c r="F69" s="73"/>
      <c r="G69" s="73"/>
      <c r="H69" s="73"/>
      <c r="I69" s="73"/>
      <c r="J69" s="73"/>
      <c r="K69" s="73"/>
      <c r="L69" s="73"/>
      <c r="M69" s="73"/>
      <c r="N69" s="73"/>
      <c r="O69" s="73"/>
      <c r="P69" s="73"/>
      <c r="Q69" s="73"/>
      <c r="R69" s="73"/>
      <c r="S69" s="73"/>
      <c r="T69" s="73"/>
      <c r="U69" s="73"/>
      <c r="V69" s="73"/>
      <c r="W69" s="73"/>
    </row>
    <row r="70" spans="1:31" ht="17.25" customHeight="1" x14ac:dyDescent="0.3">
      <c r="B70" s="342"/>
      <c r="C70" s="71"/>
      <c r="D70" s="71"/>
      <c r="E70" s="71"/>
      <c r="F70" s="71"/>
      <c r="G70" s="71"/>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spans="1:31" ht="17.25" customHeight="1" x14ac:dyDescent="0.3">
      <c r="B71" s="319" t="s">
        <v>423</v>
      </c>
      <c r="C71" s="71"/>
      <c r="D71" s="71"/>
      <c r="E71" s="71"/>
      <c r="F71" s="71"/>
      <c r="G71" s="71"/>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spans="1:31" ht="14.7" customHeight="1" x14ac:dyDescent="0.3">
      <c r="B72" s="980" t="s">
        <v>424</v>
      </c>
      <c r="C72" s="960"/>
      <c r="D72" s="957" t="s">
        <v>325</v>
      </c>
      <c r="E72" s="958"/>
      <c r="F72" s="958"/>
      <c r="G72" s="958"/>
      <c r="H72" s="958"/>
      <c r="I72" s="958"/>
      <c r="J72" s="958"/>
      <c r="K72" s="958"/>
      <c r="L72" s="958"/>
      <c r="M72" s="958"/>
      <c r="N72" s="958"/>
      <c r="O72" s="958"/>
      <c r="P72" s="958"/>
      <c r="Q72" s="958"/>
      <c r="R72" s="958"/>
      <c r="S72" s="990" t="s">
        <v>326</v>
      </c>
      <c r="T72" s="990"/>
      <c r="U72" s="990"/>
      <c r="V72" s="990"/>
      <c r="W72" s="990"/>
      <c r="X72" s="990"/>
      <c r="Y72" s="990"/>
      <c r="Z72" s="990"/>
      <c r="AA72" s="990"/>
      <c r="AB72" s="990"/>
      <c r="AC72" s="991"/>
      <c r="AD72" s="147"/>
      <c r="AE72" s="147"/>
    </row>
    <row r="73" spans="1:31" x14ac:dyDescent="0.3">
      <c r="B73" s="981"/>
      <c r="C73" s="982"/>
      <c r="D73" s="201">
        <v>2018</v>
      </c>
      <c r="E73" s="948">
        <v>2019</v>
      </c>
      <c r="F73" s="949"/>
      <c r="G73" s="949"/>
      <c r="H73" s="956"/>
      <c r="I73" s="948">
        <v>2020</v>
      </c>
      <c r="J73" s="949"/>
      <c r="K73" s="949"/>
      <c r="L73" s="949"/>
      <c r="M73" s="948">
        <v>2021</v>
      </c>
      <c r="N73" s="949"/>
      <c r="O73" s="949"/>
      <c r="P73" s="949"/>
      <c r="Q73" s="986">
        <v>2022</v>
      </c>
      <c r="R73" s="987"/>
      <c r="S73" s="295"/>
      <c r="T73" s="296"/>
      <c r="U73" s="983">
        <v>2023</v>
      </c>
      <c r="V73" s="984"/>
      <c r="W73" s="984"/>
      <c r="X73" s="984"/>
      <c r="Y73" s="983">
        <v>2024</v>
      </c>
      <c r="Z73" s="984"/>
      <c r="AA73" s="984"/>
      <c r="AB73" s="985"/>
      <c r="AC73" s="262">
        <v>2025</v>
      </c>
      <c r="AD73" s="149"/>
      <c r="AE73" s="149"/>
    </row>
    <row r="74" spans="1:31" x14ac:dyDescent="0.3">
      <c r="B74" s="993"/>
      <c r="C74" s="994"/>
      <c r="D74" s="155" t="s">
        <v>327</v>
      </c>
      <c r="E74" s="155" t="s">
        <v>328</v>
      </c>
      <c r="F74" s="154" t="s">
        <v>329</v>
      </c>
      <c r="G74" s="154" t="s">
        <v>238</v>
      </c>
      <c r="H74" s="205" t="s">
        <v>327</v>
      </c>
      <c r="I74" s="154" t="s">
        <v>328</v>
      </c>
      <c r="J74" s="154" t="s">
        <v>329</v>
      </c>
      <c r="K74" s="154" t="s">
        <v>238</v>
      </c>
      <c r="L74" s="154" t="s">
        <v>327</v>
      </c>
      <c r="M74" s="155" t="s">
        <v>328</v>
      </c>
      <c r="N74" s="154" t="s">
        <v>329</v>
      </c>
      <c r="O74" s="154" t="s">
        <v>238</v>
      </c>
      <c r="P74" s="154" t="s">
        <v>327</v>
      </c>
      <c r="Q74" s="176" t="s">
        <v>328</v>
      </c>
      <c r="R74" s="158" t="s">
        <v>329</v>
      </c>
      <c r="S74" s="280" t="s">
        <v>238</v>
      </c>
      <c r="T74" s="280" t="s">
        <v>327</v>
      </c>
      <c r="U74" s="361" t="s">
        <v>328</v>
      </c>
      <c r="V74" s="362" t="s">
        <v>329</v>
      </c>
      <c r="W74" s="362" t="s">
        <v>238</v>
      </c>
      <c r="X74" s="362" t="s">
        <v>327</v>
      </c>
      <c r="Y74" s="361" t="s">
        <v>328</v>
      </c>
      <c r="Z74" s="272" t="s">
        <v>329</v>
      </c>
      <c r="AA74" s="362" t="s">
        <v>238</v>
      </c>
      <c r="AB74" s="381" t="s">
        <v>327</v>
      </c>
      <c r="AC74" s="398" t="s">
        <v>328</v>
      </c>
      <c r="AD74" s="149"/>
      <c r="AE74" s="149"/>
    </row>
    <row r="75" spans="1:31" ht="29.25" customHeight="1" x14ac:dyDescent="0.3">
      <c r="B75" s="384" t="s">
        <v>425</v>
      </c>
      <c r="C75" s="405"/>
      <c r="D75" s="420"/>
      <c r="E75" s="405"/>
      <c r="F75" s="405"/>
      <c r="G75" s="405"/>
      <c r="H75" s="367">
        <f t="shared" ref="H75:O75" si="22">SUM(H77:H84)</f>
        <v>208.59399999999999</v>
      </c>
      <c r="I75" s="367">
        <f t="shared" si="22"/>
        <v>212.48200000000003</v>
      </c>
      <c r="J75" s="367">
        <f t="shared" si="22"/>
        <v>334.61</v>
      </c>
      <c r="K75" s="367">
        <f t="shared" si="22"/>
        <v>301.78300000000002</v>
      </c>
      <c r="L75" s="367">
        <f t="shared" si="22"/>
        <v>280.16300000000001</v>
      </c>
      <c r="M75" s="367">
        <f t="shared" si="22"/>
        <v>310.15499999999997</v>
      </c>
      <c r="N75" s="367">
        <f t="shared" si="22"/>
        <v>346.31500000000005</v>
      </c>
      <c r="O75" s="367">
        <f t="shared" si="22"/>
        <v>359.12299999999988</v>
      </c>
      <c r="P75" s="367">
        <f>SUM(P77:P85)</f>
        <v>393.11685200000005</v>
      </c>
      <c r="Q75" s="367">
        <f>SUM(Q77:Q85)</f>
        <v>428.87827479999993</v>
      </c>
      <c r="R75" s="428">
        <f>SUM(R77:R85)</f>
        <v>495.46903199999991</v>
      </c>
      <c r="S75" s="324">
        <f t="shared" ref="S75:AC75" si="23">SUM(S77:S85)</f>
        <v>460.58742212404701</v>
      </c>
      <c r="T75" s="324">
        <f t="shared" si="23"/>
        <v>460.97907392966141</v>
      </c>
      <c r="U75" s="324">
        <f t="shared" si="23"/>
        <v>455.74955330501928</v>
      </c>
      <c r="V75" s="324">
        <f t="shared" si="23"/>
        <v>460.16807066666655</v>
      </c>
      <c r="W75" s="324">
        <f t="shared" si="23"/>
        <v>459.11472744600201</v>
      </c>
      <c r="X75" s="324">
        <f t="shared" si="23"/>
        <v>458.30143968684786</v>
      </c>
      <c r="Y75" s="324">
        <f t="shared" si="23"/>
        <v>447.01374106922003</v>
      </c>
      <c r="Z75" s="324">
        <f t="shared" si="23"/>
        <v>427.27515273333313</v>
      </c>
      <c r="AA75" s="324">
        <f t="shared" si="23"/>
        <v>431.85988430384208</v>
      </c>
      <c r="AB75" s="324">
        <f t="shared" si="23"/>
        <v>435.66674361432172</v>
      </c>
      <c r="AC75" s="325">
        <f t="shared" si="23"/>
        <v>418.96289123198869</v>
      </c>
      <c r="AD75" s="368"/>
      <c r="AE75" s="368"/>
    </row>
    <row r="76" spans="1:31" ht="19.2" customHeight="1" x14ac:dyDescent="0.3">
      <c r="B76" s="416" t="s">
        <v>426</v>
      </c>
      <c r="C76" s="372"/>
      <c r="D76" s="404"/>
      <c r="E76" s="372"/>
      <c r="F76" s="372"/>
      <c r="G76" s="372"/>
      <c r="H76" s="368"/>
      <c r="I76" s="368"/>
      <c r="J76" s="368"/>
      <c r="K76" s="368"/>
      <c r="L76" s="368"/>
      <c r="M76" s="368"/>
      <c r="N76" s="368"/>
      <c r="O76" s="368"/>
      <c r="P76" s="368"/>
      <c r="Q76" s="368"/>
      <c r="R76" s="424"/>
      <c r="S76" s="375"/>
      <c r="T76" s="375"/>
      <c r="U76" s="375"/>
      <c r="V76" s="375"/>
      <c r="W76" s="375"/>
      <c r="X76" s="375"/>
      <c r="Y76" s="375"/>
      <c r="Z76" s="375"/>
      <c r="AA76" s="375"/>
      <c r="AB76" s="375"/>
      <c r="AC76" s="376"/>
      <c r="AD76" s="368"/>
      <c r="AE76" s="368"/>
    </row>
    <row r="77" spans="1:31" x14ac:dyDescent="0.3">
      <c r="B77" s="412" t="s">
        <v>152</v>
      </c>
      <c r="C77" s="72"/>
      <c r="D77" s="335"/>
      <c r="E77" s="72"/>
      <c r="F77" s="72"/>
      <c r="G77" s="72"/>
      <c r="H77" s="358"/>
      <c r="I77" s="358"/>
      <c r="J77" s="358">
        <f t="shared" ref="J77:AC77" si="24">J14</f>
        <v>64.400000000000006</v>
      </c>
      <c r="K77" s="358">
        <f t="shared" si="24"/>
        <v>23.4</v>
      </c>
      <c r="L77" s="358">
        <f t="shared" si="24"/>
        <v>13.8</v>
      </c>
      <c r="M77" s="358">
        <f t="shared" si="24"/>
        <v>17.100000000000001</v>
      </c>
      <c r="N77" s="358">
        <f t="shared" si="24"/>
        <v>10.6</v>
      </c>
      <c r="O77" s="358">
        <f t="shared" si="24"/>
        <v>15</v>
      </c>
      <c r="P77" s="358">
        <f t="shared" si="24"/>
        <v>25.8</v>
      </c>
      <c r="Q77" s="358">
        <f t="shared" si="24"/>
        <v>21.5</v>
      </c>
      <c r="R77" s="369">
        <f t="shared" si="24"/>
        <v>17.600000000000001</v>
      </c>
      <c r="S77" s="370">
        <f t="shared" si="24"/>
        <v>6.0136674259681095</v>
      </c>
      <c r="T77" s="370">
        <f t="shared" si="24"/>
        <v>0</v>
      </c>
      <c r="U77" s="370">
        <f t="shared" si="24"/>
        <v>0</v>
      </c>
      <c r="V77" s="370">
        <f t="shared" si="24"/>
        <v>0</v>
      </c>
      <c r="W77" s="370">
        <f t="shared" si="24"/>
        <v>0</v>
      </c>
      <c r="X77" s="370">
        <f t="shared" si="24"/>
        <v>0</v>
      </c>
      <c r="Y77" s="370">
        <f t="shared" si="24"/>
        <v>0</v>
      </c>
      <c r="Z77" s="370">
        <f t="shared" si="24"/>
        <v>0</v>
      </c>
      <c r="AA77" s="370">
        <f t="shared" si="24"/>
        <v>0</v>
      </c>
      <c r="AB77" s="370">
        <f t="shared" si="24"/>
        <v>0</v>
      </c>
      <c r="AC77" s="380">
        <f t="shared" si="24"/>
        <v>0</v>
      </c>
      <c r="AD77" s="358"/>
      <c r="AE77" s="358"/>
    </row>
    <row r="78" spans="1:31" x14ac:dyDescent="0.3">
      <c r="B78" s="412" t="s">
        <v>391</v>
      </c>
      <c r="C78" s="72"/>
      <c r="D78" s="335"/>
      <c r="E78" s="72"/>
      <c r="F78" s="72"/>
      <c r="G78" s="72"/>
      <c r="H78" s="358"/>
      <c r="I78" s="358"/>
      <c r="J78" s="358"/>
      <c r="K78" s="358"/>
      <c r="L78" s="358"/>
      <c r="M78" s="358">
        <f>M30</f>
        <v>9.6666666666666661</v>
      </c>
      <c r="N78" s="358">
        <f t="shared" ref="N78:AC78" si="25">N30</f>
        <v>9.6666666666666661</v>
      </c>
      <c r="O78" s="358">
        <f t="shared" si="25"/>
        <v>9.6666666666666661</v>
      </c>
      <c r="P78" s="358">
        <f t="shared" si="25"/>
        <v>9.6666666666666661</v>
      </c>
      <c r="Q78" s="358">
        <f>Q30</f>
        <v>9.6666666666666661</v>
      </c>
      <c r="R78" s="369">
        <f>R30</f>
        <v>9.6666666666666661</v>
      </c>
      <c r="S78" s="370">
        <f t="shared" si="25"/>
        <v>9.6666666666666661</v>
      </c>
      <c r="T78" s="370">
        <f t="shared" si="25"/>
        <v>9.6666666666666661</v>
      </c>
      <c r="U78" s="370">
        <f t="shared" si="25"/>
        <v>9.6666666666666661</v>
      </c>
      <c r="V78" s="370">
        <f t="shared" si="25"/>
        <v>9.6666666666666661</v>
      </c>
      <c r="W78" s="370">
        <f t="shared" si="25"/>
        <v>9.6666666666666661</v>
      </c>
      <c r="X78" s="370">
        <f t="shared" si="25"/>
        <v>9.6666666666666661</v>
      </c>
      <c r="Y78" s="370">
        <f t="shared" si="25"/>
        <v>0</v>
      </c>
      <c r="Z78" s="370">
        <f t="shared" si="25"/>
        <v>0</v>
      </c>
      <c r="AA78" s="370">
        <f t="shared" si="25"/>
        <v>0</v>
      </c>
      <c r="AB78" s="370">
        <f t="shared" si="25"/>
        <v>0</v>
      </c>
      <c r="AC78" s="380">
        <f t="shared" si="25"/>
        <v>0</v>
      </c>
      <c r="AD78" s="358"/>
      <c r="AE78" s="358"/>
    </row>
    <row r="79" spans="1:31" x14ac:dyDescent="0.3">
      <c r="B79" s="412" t="s">
        <v>427</v>
      </c>
      <c r="C79" s="72"/>
      <c r="D79" s="335"/>
      <c r="E79" s="72"/>
      <c r="F79" s="72"/>
      <c r="G79" s="72"/>
      <c r="H79" s="358"/>
      <c r="I79" s="358"/>
      <c r="J79" s="358"/>
      <c r="K79" s="358"/>
      <c r="L79" s="358"/>
      <c r="M79" s="358">
        <f t="shared" ref="M79:AC79" si="26">M16</f>
        <v>12</v>
      </c>
      <c r="N79" s="358">
        <f t="shared" si="26"/>
        <v>12</v>
      </c>
      <c r="O79" s="358">
        <f t="shared" si="26"/>
        <v>12</v>
      </c>
      <c r="P79" s="358">
        <f t="shared" si="26"/>
        <v>12</v>
      </c>
      <c r="Q79" s="358">
        <f>Q16</f>
        <v>12</v>
      </c>
      <c r="R79" s="369">
        <f t="shared" si="26"/>
        <v>12</v>
      </c>
      <c r="S79" s="370">
        <f t="shared" si="26"/>
        <v>12</v>
      </c>
      <c r="T79" s="370">
        <f t="shared" si="26"/>
        <v>12</v>
      </c>
      <c r="U79" s="370">
        <f t="shared" si="26"/>
        <v>12</v>
      </c>
      <c r="V79" s="370">
        <f t="shared" si="26"/>
        <v>12</v>
      </c>
      <c r="W79" s="370">
        <f t="shared" si="26"/>
        <v>12</v>
      </c>
      <c r="X79" s="370">
        <f t="shared" si="26"/>
        <v>12</v>
      </c>
      <c r="Y79" s="370">
        <f t="shared" si="26"/>
        <v>0</v>
      </c>
      <c r="Z79" s="370">
        <f t="shared" si="26"/>
        <v>0</v>
      </c>
      <c r="AA79" s="370">
        <f t="shared" si="26"/>
        <v>0</v>
      </c>
      <c r="AB79" s="370">
        <f t="shared" si="26"/>
        <v>0</v>
      </c>
      <c r="AC79" s="380">
        <f t="shared" si="26"/>
        <v>0</v>
      </c>
      <c r="AD79" s="358"/>
      <c r="AE79" s="358"/>
    </row>
    <row r="80" spans="1:31" x14ac:dyDescent="0.3">
      <c r="B80" s="412" t="s">
        <v>428</v>
      </c>
      <c r="C80" s="72"/>
      <c r="D80" s="335"/>
      <c r="E80" s="72"/>
      <c r="F80" s="72"/>
      <c r="G80" s="72"/>
      <c r="H80" s="53">
        <f t="shared" ref="H80:AC80" si="27">H20</f>
        <v>208.59399999999999</v>
      </c>
      <c r="I80" s="53">
        <f>I20</f>
        <v>212.48200000000003</v>
      </c>
      <c r="J80" s="53">
        <f t="shared" si="27"/>
        <v>206.81000000000006</v>
      </c>
      <c r="K80" s="53">
        <f t="shared" si="27"/>
        <v>217.58300000000003</v>
      </c>
      <c r="L80" s="53">
        <f t="shared" si="27"/>
        <v>206.16300000000001</v>
      </c>
      <c r="M80" s="53">
        <f t="shared" si="27"/>
        <v>202.48833333333332</v>
      </c>
      <c r="N80" s="53">
        <f t="shared" si="27"/>
        <v>206.44833333333338</v>
      </c>
      <c r="O80" s="53">
        <f>O20</f>
        <v>201.7563333333332</v>
      </c>
      <c r="P80" s="53">
        <f>P20</f>
        <v>233.82933333333341</v>
      </c>
      <c r="Q80" s="53">
        <f>Q20</f>
        <v>237.31533333333323</v>
      </c>
      <c r="R80" s="425">
        <f t="shared" si="27"/>
        <v>250.95233333333329</v>
      </c>
      <c r="S80" s="377">
        <f t="shared" si="27"/>
        <v>253.42506869807895</v>
      </c>
      <c r="T80" s="377">
        <f t="shared" si="27"/>
        <v>255.92216892966147</v>
      </c>
      <c r="U80" s="377">
        <f t="shared" si="27"/>
        <v>258.44387410501929</v>
      </c>
      <c r="V80" s="377">
        <f t="shared" si="27"/>
        <v>260.99042666666656</v>
      </c>
      <c r="W80" s="377">
        <f t="shared" si="27"/>
        <v>263.56207144600205</v>
      </c>
      <c r="X80" s="377">
        <f t="shared" si="27"/>
        <v>266.15905568684786</v>
      </c>
      <c r="Y80" s="377">
        <f t="shared" si="27"/>
        <v>268.78162906922</v>
      </c>
      <c r="Z80" s="377">
        <f t="shared" si="27"/>
        <v>271.43004373333315</v>
      </c>
      <c r="AA80" s="377">
        <f t="shared" si="27"/>
        <v>274.10455430384206</v>
      </c>
      <c r="AB80" s="377">
        <f t="shared" si="27"/>
        <v>276.80541791432171</v>
      </c>
      <c r="AC80" s="378">
        <f t="shared" si="27"/>
        <v>279.53289423198873</v>
      </c>
      <c r="AD80" s="53"/>
      <c r="AE80" s="53"/>
    </row>
    <row r="81" spans="2:31" ht="14.7" customHeight="1" x14ac:dyDescent="0.3">
      <c r="B81" s="379" t="s">
        <v>429</v>
      </c>
      <c r="C81" s="72"/>
      <c r="D81" s="335"/>
      <c r="E81" s="72"/>
      <c r="F81" s="72"/>
      <c r="G81" s="72"/>
      <c r="H81" s="358"/>
      <c r="I81" s="358"/>
      <c r="J81" s="358"/>
      <c r="K81" s="358"/>
      <c r="L81" s="358"/>
      <c r="M81" s="358"/>
      <c r="N81" s="358"/>
      <c r="O81" s="358"/>
      <c r="P81" s="358"/>
      <c r="Q81" s="358"/>
      <c r="R81" s="369"/>
      <c r="S81" s="370"/>
      <c r="T81" s="370"/>
      <c r="U81" s="370"/>
      <c r="V81" s="370"/>
      <c r="W81" s="370"/>
      <c r="X81" s="370"/>
      <c r="Y81" s="370"/>
      <c r="Z81" s="370"/>
      <c r="AA81" s="370"/>
      <c r="AB81" s="370"/>
      <c r="AC81" s="380"/>
      <c r="AD81" s="358"/>
      <c r="AE81" s="358"/>
    </row>
    <row r="82" spans="2:31" ht="14.7" customHeight="1" x14ac:dyDescent="0.3">
      <c r="B82" s="412" t="s">
        <v>150</v>
      </c>
      <c r="C82" s="72"/>
      <c r="D82" s="335"/>
      <c r="E82" s="72"/>
      <c r="F82" s="72"/>
      <c r="G82" s="72"/>
      <c r="H82" s="358"/>
      <c r="I82" s="358"/>
      <c r="J82" s="358">
        <f>J13</f>
        <v>28.4</v>
      </c>
      <c r="K82" s="358">
        <f t="shared" ref="K82:R82" si="28">K13</f>
        <v>15.8</v>
      </c>
      <c r="L82" s="358">
        <f t="shared" si="28"/>
        <v>15.2</v>
      </c>
      <c r="M82" s="358">
        <f t="shared" si="28"/>
        <v>28.9</v>
      </c>
      <c r="N82" s="358">
        <f t="shared" si="28"/>
        <v>67.599999999999994</v>
      </c>
      <c r="O82" s="358">
        <f t="shared" si="28"/>
        <v>80.7</v>
      </c>
      <c r="P82" s="358">
        <f t="shared" si="28"/>
        <v>87.2</v>
      </c>
      <c r="Q82" s="358">
        <f t="shared" si="28"/>
        <v>72.400000000000006</v>
      </c>
      <c r="R82" s="369">
        <f t="shared" si="28"/>
        <v>85.9</v>
      </c>
      <c r="S82" s="370">
        <f>S27+S31+'ARP Quarterly'!I28</f>
        <v>50.186151333333306</v>
      </c>
      <c r="T82" s="370">
        <f>T27+T31+'ARP Quarterly'!J28</f>
        <v>52.851310333333302</v>
      </c>
      <c r="U82" s="370">
        <f>U27+U31+'ARP Quarterly'!K28</f>
        <v>55.516469333333305</v>
      </c>
      <c r="V82" s="370">
        <f>V27+V31+'ARP Quarterly'!L28</f>
        <v>58.594257333333303</v>
      </c>
      <c r="W82" s="370">
        <f>W27+W31+'ARP Quarterly'!M28</f>
        <v>61.672045333333294</v>
      </c>
      <c r="X82" s="370">
        <f>X27+X31+'ARP Quarterly'!N28</f>
        <v>63.261773333333295</v>
      </c>
      <c r="Y82" s="370">
        <f>Y27+Y31+'ARP Quarterly'!O28</f>
        <v>61.518167999999996</v>
      </c>
      <c r="Z82" s="370">
        <f>Z27+Z31+'ARP Quarterly'!P28</f>
        <v>44.428388999999996</v>
      </c>
      <c r="AA82" s="370">
        <f>AA27+AA31+'ARP Quarterly'!Q28</f>
        <v>46.338610000000003</v>
      </c>
      <c r="AB82" s="370">
        <f>AB27+AB31+'ARP Quarterly'!R28</f>
        <v>47.279744500000007</v>
      </c>
      <c r="AC82" s="380">
        <f>AC27+AC31+'ARP Quarterly'!S28</f>
        <v>46.283419000000009</v>
      </c>
      <c r="AD82" s="358"/>
      <c r="AE82" s="358"/>
    </row>
    <row r="83" spans="2:31" x14ac:dyDescent="0.3">
      <c r="B83" s="412" t="s">
        <v>149</v>
      </c>
      <c r="C83" s="53"/>
      <c r="D83" s="334"/>
      <c r="E83" s="53"/>
      <c r="F83" s="53"/>
      <c r="G83" s="53"/>
      <c r="H83" s="358"/>
      <c r="I83" s="358"/>
      <c r="J83" s="358">
        <v>35</v>
      </c>
      <c r="K83" s="358">
        <v>45</v>
      </c>
      <c r="L83" s="358">
        <v>45</v>
      </c>
      <c r="M83" s="358">
        <v>40</v>
      </c>
      <c r="N83" s="358">
        <v>40</v>
      </c>
      <c r="O83" s="358">
        <v>40</v>
      </c>
      <c r="P83" s="358">
        <v>40</v>
      </c>
      <c r="Q83" s="358">
        <v>50</v>
      </c>
      <c r="R83" s="369">
        <v>50</v>
      </c>
      <c r="S83" s="370">
        <v>50</v>
      </c>
      <c r="T83" s="370">
        <v>50</v>
      </c>
      <c r="U83" s="370">
        <v>40</v>
      </c>
      <c r="V83" s="370">
        <v>30</v>
      </c>
      <c r="W83" s="370">
        <v>20</v>
      </c>
      <c r="X83" s="370">
        <v>15</v>
      </c>
      <c r="Y83" s="370">
        <v>10</v>
      </c>
      <c r="Z83" s="370"/>
      <c r="AA83" s="370"/>
      <c r="AB83" s="370"/>
      <c r="AC83" s="380"/>
      <c r="AD83" s="203">
        <f>SUM(O83:AC83)</f>
        <v>395</v>
      </c>
    </row>
    <row r="84" spans="2:31" ht="28.5" customHeight="1" x14ac:dyDescent="0.3">
      <c r="B84" s="315" t="s">
        <v>430</v>
      </c>
      <c r="C84" s="341"/>
      <c r="D84" s="339"/>
      <c r="E84" s="341"/>
      <c r="F84" s="341"/>
      <c r="G84" s="341"/>
      <c r="H84" s="366"/>
      <c r="I84" s="366"/>
      <c r="J84" s="366"/>
      <c r="K84" s="366"/>
      <c r="L84" s="366"/>
      <c r="M84" s="366"/>
      <c r="N84" s="366">
        <f>'ARP Quarterly'!D47</f>
        <v>0</v>
      </c>
      <c r="O84" s="366">
        <f>'ARP Quarterly'!E47</f>
        <v>0</v>
      </c>
      <c r="P84" s="366">
        <f>'ARP Quarterly'!F47</f>
        <v>34.620851999999999</v>
      </c>
      <c r="Q84" s="366">
        <f>'ARP Quarterly'!G47</f>
        <v>50.996274799999995</v>
      </c>
      <c r="R84" s="390">
        <f>'ARP Quarterly'!H47</f>
        <v>69.350031999999999</v>
      </c>
      <c r="S84" s="396">
        <f>'ARP Quarterly'!I47</f>
        <v>79.295867999999999</v>
      </c>
      <c r="T84" s="396">
        <f>'ARP Quarterly'!J47</f>
        <v>80.538927999999999</v>
      </c>
      <c r="U84" s="396">
        <f>'ARP Quarterly'!K47</f>
        <v>80.122543199999996</v>
      </c>
      <c r="V84" s="396">
        <f>'ARP Quarterly'!L47</f>
        <v>88.916719999999998</v>
      </c>
      <c r="W84" s="396">
        <f>'ARP Quarterly'!M47</f>
        <v>92.213943999999998</v>
      </c>
      <c r="X84" s="396">
        <f>'ARP Quarterly'!N47</f>
        <v>92.213943999999998</v>
      </c>
      <c r="Y84" s="396">
        <f>'ARP Quarterly'!O47</f>
        <v>94.213943999999998</v>
      </c>
      <c r="Z84" s="396">
        <f>'ARP Quarterly'!P47</f>
        <v>98.916719999999998</v>
      </c>
      <c r="AA84" s="396">
        <f>'ARP Quarterly'!Q47</f>
        <v>98.916719999999998</v>
      </c>
      <c r="AB84" s="396">
        <f>'ARP Quarterly'!R47</f>
        <v>99.081581199999988</v>
      </c>
      <c r="AC84" s="397">
        <f>'ARP Quarterly'!S47</f>
        <v>93.146578000000005</v>
      </c>
      <c r="AD84" s="371"/>
    </row>
    <row r="85" spans="2:31" ht="55.2" customHeight="1" x14ac:dyDescent="0.3">
      <c r="B85" s="326" t="s">
        <v>905</v>
      </c>
      <c r="C85" s="327"/>
      <c r="D85" s="327"/>
      <c r="E85" s="327"/>
      <c r="F85" s="327"/>
      <c r="G85" s="327"/>
      <c r="H85" s="327"/>
      <c r="I85" s="327"/>
      <c r="J85" s="327"/>
      <c r="K85" s="327"/>
      <c r="L85" s="327"/>
      <c r="M85" s="327"/>
      <c r="N85" s="327"/>
      <c r="O85" s="327"/>
      <c r="P85" s="327">
        <v>-50</v>
      </c>
      <c r="Q85" s="327">
        <v>-25</v>
      </c>
      <c r="R85" s="327"/>
      <c r="S85" s="327"/>
      <c r="T85" s="327"/>
      <c r="U85" s="327"/>
      <c r="V85" s="327"/>
      <c r="W85" s="327"/>
      <c r="X85" s="327"/>
      <c r="Y85" s="327">
        <v>12.5</v>
      </c>
      <c r="Z85" s="327">
        <v>12.5</v>
      </c>
      <c r="AA85" s="327">
        <v>12.5</v>
      </c>
      <c r="AB85" s="327">
        <v>12.5</v>
      </c>
      <c r="AC85" s="328"/>
    </row>
    <row r="86" spans="2:31" ht="12.75" customHeight="1" x14ac:dyDescent="0.3">
      <c r="I86" s="395"/>
      <c r="J86" s="395"/>
      <c r="K86" s="395"/>
      <c r="L86" s="395"/>
      <c r="M86" s="395"/>
      <c r="N86" s="395"/>
      <c r="O86" s="395"/>
      <c r="P86" s="395"/>
      <c r="Q86" s="395"/>
      <c r="R86" s="395"/>
      <c r="S86" s="395"/>
      <c r="T86" s="395"/>
      <c r="U86" s="395"/>
      <c r="V86" s="395"/>
      <c r="W86" s="395"/>
      <c r="X86" s="395"/>
      <c r="Y86" s="395"/>
      <c r="Z86" s="395"/>
      <c r="AA86" s="395"/>
      <c r="AB86" s="395"/>
      <c r="AC86" s="395"/>
      <c r="AD86" s="199"/>
      <c r="AE86" s="199"/>
    </row>
    <row r="87" spans="2:31" ht="12.75" customHeight="1" x14ac:dyDescent="0.3">
      <c r="I87" s="395"/>
      <c r="J87" s="395"/>
      <c r="K87" s="395"/>
      <c r="L87" s="395"/>
      <c r="M87" s="395"/>
      <c r="N87" s="395"/>
      <c r="O87" s="395"/>
      <c r="P87" s="395"/>
      <c r="Q87" s="424">
        <v>428.87827479999993</v>
      </c>
      <c r="R87" s="324">
        <v>440.82899417472106</v>
      </c>
      <c r="S87" s="324">
        <v>443.16378910828843</v>
      </c>
      <c r="T87" s="324">
        <v>449.456681310205</v>
      </c>
      <c r="U87" s="324">
        <v>444.1136258666665</v>
      </c>
      <c r="V87" s="324">
        <v>448.41748970468939</v>
      </c>
      <c r="W87" s="324">
        <v>447.24836323261991</v>
      </c>
      <c r="X87" s="324">
        <v>446.31815136261321</v>
      </c>
      <c r="Y87" s="324">
        <v>434.91237653333314</v>
      </c>
      <c r="Z87" s="324">
        <v>415.05454853287694</v>
      </c>
      <c r="AA87" s="324">
        <v>419.51886552192474</v>
      </c>
      <c r="AB87" s="324">
        <v>423.20412375711771</v>
      </c>
      <c r="AC87" s="325">
        <v>406.37747211466649</v>
      </c>
      <c r="AD87" s="199"/>
      <c r="AE87" s="199"/>
    </row>
    <row r="88" spans="2:31" ht="12.75" customHeight="1" x14ac:dyDescent="0.3">
      <c r="I88" s="395"/>
      <c r="J88" s="395"/>
      <c r="K88" s="395"/>
      <c r="L88" s="395"/>
      <c r="M88" s="395"/>
      <c r="N88" s="395"/>
      <c r="O88" s="395"/>
      <c r="P88" s="395"/>
      <c r="Q88" s="424"/>
      <c r="R88" s="375"/>
      <c r="S88" s="375"/>
      <c r="T88" s="375"/>
      <c r="U88" s="375"/>
      <c r="V88" s="375"/>
      <c r="W88" s="375"/>
      <c r="X88" s="375"/>
      <c r="Y88" s="375"/>
      <c r="Z88" s="375"/>
      <c r="AA88" s="375"/>
      <c r="AB88" s="375"/>
      <c r="AC88" s="376"/>
      <c r="AD88" s="199"/>
      <c r="AE88" s="199"/>
    </row>
    <row r="89" spans="2:31" ht="12.75" customHeight="1" x14ac:dyDescent="0.3">
      <c r="I89" s="395"/>
      <c r="J89" s="395"/>
      <c r="K89" s="395"/>
      <c r="L89" s="395"/>
      <c r="M89" s="395"/>
      <c r="N89" s="395"/>
      <c r="O89" s="395"/>
      <c r="P89" s="395"/>
      <c r="Q89" s="369">
        <v>21.5</v>
      </c>
      <c r="R89" s="370">
        <v>14.013035381750464</v>
      </c>
      <c r="S89" s="370">
        <v>0</v>
      </c>
      <c r="T89" s="370">
        <v>0</v>
      </c>
      <c r="U89" s="370">
        <v>0</v>
      </c>
      <c r="V89" s="370">
        <v>0</v>
      </c>
      <c r="W89" s="370">
        <v>0</v>
      </c>
      <c r="X89" s="370">
        <v>0</v>
      </c>
      <c r="Y89" s="370">
        <v>0</v>
      </c>
      <c r="Z89" s="370">
        <v>0</v>
      </c>
      <c r="AA89" s="370">
        <v>0</v>
      </c>
      <c r="AB89" s="370">
        <v>0</v>
      </c>
      <c r="AC89" s="380">
        <v>0</v>
      </c>
      <c r="AD89" s="199"/>
      <c r="AE89" s="199"/>
    </row>
    <row r="90" spans="2:31" ht="12.75" customHeight="1" x14ac:dyDescent="0.3">
      <c r="I90" s="395"/>
      <c r="J90" s="395"/>
      <c r="K90" s="395"/>
      <c r="L90" s="395"/>
      <c r="M90" s="395"/>
      <c r="N90" s="395"/>
      <c r="O90" s="395"/>
      <c r="P90" s="395"/>
      <c r="Q90" s="369">
        <v>9.6666666666666661</v>
      </c>
      <c r="R90" s="370">
        <v>9.6666666666666661</v>
      </c>
      <c r="S90" s="370">
        <v>9.6666666666666661</v>
      </c>
      <c r="T90" s="370">
        <v>9.6666666666666661</v>
      </c>
      <c r="U90" s="370">
        <v>9.6666666666666661</v>
      </c>
      <c r="V90" s="370">
        <v>9.6666666666666661</v>
      </c>
      <c r="W90" s="370">
        <v>9.6666666666666661</v>
      </c>
      <c r="X90" s="370">
        <v>9.6666666666666661</v>
      </c>
      <c r="Y90" s="370">
        <v>0</v>
      </c>
      <c r="Z90" s="370">
        <v>0</v>
      </c>
      <c r="AA90" s="370">
        <v>0</v>
      </c>
      <c r="AB90" s="370">
        <v>0</v>
      </c>
      <c r="AC90" s="380">
        <v>0</v>
      </c>
      <c r="AD90" s="199"/>
      <c r="AE90" s="199"/>
    </row>
    <row r="91" spans="2:31" ht="12.75" customHeight="1" x14ac:dyDescent="0.3">
      <c r="I91" s="395"/>
      <c r="J91" s="395"/>
      <c r="K91" s="395"/>
      <c r="L91" s="395"/>
      <c r="M91" s="395"/>
      <c r="N91" s="395"/>
      <c r="O91" s="395"/>
      <c r="P91" s="395"/>
      <c r="Q91" s="369">
        <v>12</v>
      </c>
      <c r="R91" s="370">
        <v>12</v>
      </c>
      <c r="S91" s="370">
        <v>12</v>
      </c>
      <c r="T91" s="370">
        <v>12</v>
      </c>
      <c r="U91" s="370">
        <v>12</v>
      </c>
      <c r="V91" s="370">
        <v>12</v>
      </c>
      <c r="W91" s="370">
        <v>12</v>
      </c>
      <c r="X91" s="370">
        <v>12</v>
      </c>
      <c r="Y91" s="370">
        <v>0</v>
      </c>
      <c r="Z91" s="370">
        <v>0</v>
      </c>
      <c r="AA91" s="370">
        <v>0</v>
      </c>
      <c r="AB91" s="370">
        <v>0</v>
      </c>
      <c r="AC91" s="380">
        <v>0</v>
      </c>
      <c r="AD91" s="199"/>
      <c r="AE91" s="199"/>
    </row>
    <row r="92" spans="2:31" ht="12.75" customHeight="1" x14ac:dyDescent="0.3">
      <c r="I92" s="395"/>
      <c r="J92" s="395"/>
      <c r="K92" s="395"/>
      <c r="L92" s="395"/>
      <c r="M92" s="395"/>
      <c r="N92" s="395"/>
      <c r="O92" s="395"/>
      <c r="P92" s="395"/>
      <c r="Q92" s="425">
        <v>237.31533333333323</v>
      </c>
      <c r="R92" s="377">
        <v>239.6536977929706</v>
      </c>
      <c r="S92" s="377">
        <v>242.01510310828846</v>
      </c>
      <c r="T92" s="377">
        <v>244.39977631020503</v>
      </c>
      <c r="U92" s="377">
        <v>246.80794666666651</v>
      </c>
      <c r="V92" s="377">
        <v>249.2398457046894</v>
      </c>
      <c r="W92" s="377">
        <v>251.69570723261998</v>
      </c>
      <c r="X92" s="377">
        <v>254.17576736261321</v>
      </c>
      <c r="Y92" s="377">
        <v>256.68026453333317</v>
      </c>
      <c r="Z92" s="377">
        <v>259.20943953287696</v>
      </c>
      <c r="AA92" s="377">
        <v>261.76353552192472</v>
      </c>
      <c r="AB92" s="377">
        <v>264.3427980571177</v>
      </c>
      <c r="AC92" s="378">
        <v>266.94747511466647</v>
      </c>
      <c r="AD92" s="199"/>
      <c r="AE92" s="199"/>
    </row>
    <row r="93" spans="2:31" ht="12.75" customHeight="1" x14ac:dyDescent="0.3">
      <c r="I93" s="395"/>
      <c r="J93" s="395"/>
      <c r="K93" s="395"/>
      <c r="L93" s="395"/>
      <c r="M93" s="395"/>
      <c r="N93" s="395"/>
      <c r="O93" s="395"/>
      <c r="P93" s="395"/>
      <c r="Q93" s="369"/>
      <c r="R93" s="370"/>
      <c r="S93" s="370"/>
      <c r="T93" s="370"/>
      <c r="U93" s="370"/>
      <c r="V93" s="370"/>
      <c r="W93" s="370"/>
      <c r="X93" s="370"/>
      <c r="Y93" s="370"/>
      <c r="Z93" s="370"/>
      <c r="AA93" s="370"/>
      <c r="AB93" s="370"/>
      <c r="AC93" s="380"/>
      <c r="AD93" s="199"/>
      <c r="AE93" s="199"/>
    </row>
    <row r="94" spans="2:31" ht="12.75" customHeight="1" x14ac:dyDescent="0.3">
      <c r="I94" s="395"/>
      <c r="J94" s="395"/>
      <c r="K94" s="395"/>
      <c r="L94" s="395"/>
      <c r="M94" s="395"/>
      <c r="N94" s="395"/>
      <c r="O94" s="395"/>
      <c r="P94" s="395"/>
      <c r="Q94" s="369">
        <v>72.400000000000006</v>
      </c>
      <c r="R94" s="370">
        <v>46.145562333333302</v>
      </c>
      <c r="S94" s="370">
        <v>50.186151333333306</v>
      </c>
      <c r="T94" s="370">
        <v>52.851310333333302</v>
      </c>
      <c r="U94" s="370">
        <v>55.516469333333305</v>
      </c>
      <c r="V94" s="370">
        <v>58.594257333333303</v>
      </c>
      <c r="W94" s="370">
        <v>61.672045333333294</v>
      </c>
      <c r="X94" s="370">
        <v>63.261773333333295</v>
      </c>
      <c r="Y94" s="370">
        <v>61.518167999999996</v>
      </c>
      <c r="Z94" s="370">
        <v>44.428388999999996</v>
      </c>
      <c r="AA94" s="370">
        <v>46.338610000000003</v>
      </c>
      <c r="AB94" s="370">
        <v>47.279744500000007</v>
      </c>
      <c r="AC94" s="380">
        <v>46.283419000000009</v>
      </c>
      <c r="AD94" s="199"/>
      <c r="AE94" s="199"/>
    </row>
    <row r="95" spans="2:31" ht="12.75" customHeight="1" x14ac:dyDescent="0.3">
      <c r="I95" s="395"/>
      <c r="J95" s="395"/>
      <c r="K95" s="395"/>
      <c r="L95" s="395"/>
      <c r="M95" s="395"/>
      <c r="N95" s="395"/>
      <c r="O95" s="395"/>
      <c r="P95" s="395"/>
      <c r="Q95" s="369">
        <v>50</v>
      </c>
      <c r="R95" s="370">
        <v>50</v>
      </c>
      <c r="S95" s="370">
        <v>50</v>
      </c>
      <c r="T95" s="370">
        <v>50</v>
      </c>
      <c r="U95" s="370">
        <v>40</v>
      </c>
      <c r="V95" s="370">
        <v>30</v>
      </c>
      <c r="W95" s="370">
        <v>20</v>
      </c>
      <c r="X95" s="370">
        <v>15</v>
      </c>
      <c r="Y95" s="370">
        <v>10</v>
      </c>
      <c r="Z95" s="370"/>
      <c r="AA95" s="370"/>
      <c r="AB95" s="370"/>
      <c r="AC95" s="380"/>
      <c r="AD95" s="199"/>
      <c r="AE95" s="199"/>
    </row>
    <row r="96" spans="2:31" ht="12.75" customHeight="1" x14ac:dyDescent="0.3">
      <c r="I96" s="395"/>
      <c r="J96" s="395"/>
      <c r="K96" s="395"/>
      <c r="L96" s="395"/>
      <c r="M96" s="395"/>
      <c r="N96" s="395"/>
      <c r="O96" s="395"/>
      <c r="P96" s="395"/>
      <c r="Q96" s="390">
        <v>50.996274799999995</v>
      </c>
      <c r="R96" s="396">
        <v>69.350031999999999</v>
      </c>
      <c r="S96" s="396">
        <v>79.295867999999999</v>
      </c>
      <c r="T96" s="396">
        <v>80.538927999999999</v>
      </c>
      <c r="U96" s="396">
        <v>80.122543199999996</v>
      </c>
      <c r="V96" s="396">
        <v>88.916719999999998</v>
      </c>
      <c r="W96" s="396">
        <v>92.213943999999998</v>
      </c>
      <c r="X96" s="396">
        <v>92.213943999999998</v>
      </c>
      <c r="Y96" s="396">
        <v>94.213943999999998</v>
      </c>
      <c r="Z96" s="396">
        <v>98.916719999999998</v>
      </c>
      <c r="AA96" s="396">
        <v>98.916719999999998</v>
      </c>
      <c r="AB96" s="396">
        <v>99.081581199999988</v>
      </c>
      <c r="AC96" s="397">
        <v>93.146578000000005</v>
      </c>
      <c r="AD96" s="199"/>
      <c r="AE96" s="199"/>
    </row>
    <row r="97" spans="2:31" ht="12.75" customHeight="1" x14ac:dyDescent="0.3">
      <c r="I97" s="395"/>
      <c r="J97" s="395"/>
      <c r="K97" s="395"/>
      <c r="L97" s="395"/>
      <c r="M97" s="395"/>
      <c r="N97" s="395"/>
      <c r="O97" s="395"/>
      <c r="P97" s="395"/>
      <c r="Q97" s="327">
        <v>-25</v>
      </c>
      <c r="R97" s="327"/>
      <c r="S97" s="327"/>
      <c r="T97" s="327"/>
      <c r="U97" s="327"/>
      <c r="V97" s="327"/>
      <c r="W97" s="327"/>
      <c r="X97" s="327"/>
      <c r="Y97" s="327">
        <v>12.5</v>
      </c>
      <c r="Z97" s="327">
        <v>12.5</v>
      </c>
      <c r="AA97" s="327">
        <v>12.5</v>
      </c>
      <c r="AB97" s="327">
        <v>12.5</v>
      </c>
      <c r="AC97" s="328"/>
      <c r="AD97" s="199"/>
      <c r="AE97" s="199"/>
    </row>
    <row r="98" spans="2:31" ht="12.75" customHeight="1" x14ac:dyDescent="0.3">
      <c r="I98" s="395"/>
      <c r="J98" s="395"/>
      <c r="K98" s="395"/>
      <c r="L98" s="395"/>
      <c r="M98" s="395"/>
      <c r="N98" s="395"/>
      <c r="O98" s="395"/>
      <c r="P98" s="395"/>
      <c r="Q98" s="395"/>
      <c r="R98" s="395"/>
      <c r="S98" s="395"/>
      <c r="T98" s="395"/>
      <c r="U98" s="395"/>
      <c r="V98" s="395"/>
      <c r="W98" s="395"/>
      <c r="X98" s="395"/>
      <c r="Y98" s="395"/>
      <c r="Z98" s="395"/>
      <c r="AA98" s="395"/>
      <c r="AB98" s="395"/>
      <c r="AC98" s="395"/>
      <c r="AD98" s="199"/>
      <c r="AE98" s="199"/>
    </row>
    <row r="100" spans="2:31" x14ac:dyDescent="0.3">
      <c r="B100" s="947" t="s">
        <v>134</v>
      </c>
      <c r="C100" s="947"/>
      <c r="D100" s="947"/>
      <c r="E100" s="947"/>
      <c r="F100" s="947"/>
      <c r="G100" s="947"/>
      <c r="H100" s="947"/>
      <c r="I100" s="947"/>
      <c r="J100" s="947"/>
      <c r="K100" s="947"/>
      <c r="L100" s="947"/>
      <c r="M100" s="947"/>
      <c r="N100" s="947"/>
      <c r="O100" s="947"/>
      <c r="P100" s="947"/>
      <c r="Q100" s="947"/>
      <c r="R100" s="947"/>
      <c r="S100" s="947"/>
      <c r="T100" s="947"/>
      <c r="U100" s="947"/>
      <c r="V100" s="947"/>
      <c r="W100" s="947"/>
      <c r="X100" s="947"/>
      <c r="Y100" s="947"/>
      <c r="Z100" s="200"/>
      <c r="AA100" s="200"/>
      <c r="AB100" s="200"/>
      <c r="AC100" s="200"/>
      <c r="AD100" s="147"/>
      <c r="AE100" s="147"/>
    </row>
    <row r="101" spans="2:31" ht="19.2" customHeight="1" x14ac:dyDescent="0.3">
      <c r="B101" s="979" t="s">
        <v>431</v>
      </c>
      <c r="C101" s="979"/>
      <c r="D101" s="979"/>
      <c r="E101" s="979"/>
      <c r="F101" s="979"/>
      <c r="G101" s="979"/>
      <c r="H101" s="979"/>
      <c r="I101" s="979"/>
      <c r="J101" s="979"/>
      <c r="K101" s="979"/>
      <c r="L101" s="979"/>
      <c r="M101" s="979"/>
      <c r="N101" s="979"/>
      <c r="O101" s="979"/>
      <c r="P101" s="979"/>
      <c r="Q101" s="979"/>
      <c r="R101" s="979"/>
      <c r="S101" s="979"/>
      <c r="T101" s="979"/>
      <c r="U101" s="979"/>
      <c r="V101" s="979"/>
      <c r="W101" s="979"/>
      <c r="X101" s="979"/>
      <c r="Y101" s="979"/>
      <c r="Z101" s="979"/>
      <c r="AA101" s="979"/>
      <c r="AB101" s="979"/>
      <c r="AC101" s="979"/>
      <c r="AD101" s="311"/>
      <c r="AE101" s="311"/>
    </row>
    <row r="102" spans="2:31" ht="11.7" customHeight="1" x14ac:dyDescent="0.3">
      <c r="B102" s="199"/>
      <c r="C102" s="199"/>
      <c r="D102" s="199"/>
      <c r="E102" s="199"/>
      <c r="F102" s="199"/>
      <c r="G102" s="199"/>
      <c r="H102" s="199"/>
      <c r="I102" s="199"/>
      <c r="J102" s="199"/>
      <c r="K102" s="199"/>
      <c r="L102" s="199"/>
      <c r="M102" s="199"/>
      <c r="V102" s="149"/>
      <c r="W102" s="149"/>
      <c r="X102" s="149"/>
      <c r="Y102" s="149"/>
      <c r="Z102" s="149"/>
      <c r="AA102" s="149"/>
      <c r="AB102" s="149"/>
      <c r="AC102" s="149"/>
      <c r="AD102" s="149"/>
      <c r="AE102" s="149"/>
    </row>
    <row r="103" spans="2:31" ht="14.7" customHeight="1" x14ac:dyDescent="0.3">
      <c r="B103" s="980" t="s">
        <v>324</v>
      </c>
      <c r="C103" s="960"/>
      <c r="D103" s="957" t="s">
        <v>325</v>
      </c>
      <c r="E103" s="958"/>
      <c r="F103" s="958"/>
      <c r="G103" s="958"/>
      <c r="H103" s="958"/>
      <c r="I103" s="958"/>
      <c r="J103" s="958"/>
      <c r="K103" s="958"/>
      <c r="L103" s="958"/>
      <c r="M103" s="958"/>
      <c r="N103" s="958"/>
      <c r="O103" s="958"/>
      <c r="P103" s="958"/>
      <c r="Q103" s="958"/>
      <c r="R103" s="958"/>
      <c r="S103" s="990" t="s">
        <v>326</v>
      </c>
      <c r="T103" s="990"/>
      <c r="U103" s="990"/>
      <c r="V103" s="990"/>
      <c r="W103" s="990"/>
      <c r="X103" s="990"/>
      <c r="Y103" s="990"/>
      <c r="Z103" s="990"/>
      <c r="AA103" s="990"/>
      <c r="AB103" s="990"/>
      <c r="AC103" s="991"/>
      <c r="AD103" s="147"/>
      <c r="AE103" s="147"/>
    </row>
    <row r="104" spans="2:31" x14ac:dyDescent="0.3">
      <c r="B104" s="981"/>
      <c r="C104" s="982"/>
      <c r="D104" s="201">
        <v>2018</v>
      </c>
      <c r="E104" s="948">
        <v>2019</v>
      </c>
      <c r="F104" s="949"/>
      <c r="G104" s="949"/>
      <c r="H104" s="956"/>
      <c r="I104" s="948">
        <v>2020</v>
      </c>
      <c r="J104" s="949"/>
      <c r="K104" s="949"/>
      <c r="L104" s="949"/>
      <c r="M104" s="948">
        <v>2021</v>
      </c>
      <c r="N104" s="949"/>
      <c r="O104" s="949"/>
      <c r="P104" s="956"/>
      <c r="Q104" s="986">
        <v>2022</v>
      </c>
      <c r="R104" s="987"/>
      <c r="S104" s="295"/>
      <c r="T104" s="296"/>
      <c r="U104" s="983">
        <v>2023</v>
      </c>
      <c r="V104" s="984"/>
      <c r="W104" s="984"/>
      <c r="X104" s="984"/>
      <c r="Y104" s="983">
        <v>2024</v>
      </c>
      <c r="Z104" s="984"/>
      <c r="AA104" s="984"/>
      <c r="AB104" s="985"/>
      <c r="AC104" s="262">
        <v>2025</v>
      </c>
      <c r="AD104" s="149"/>
      <c r="AE104" s="149"/>
    </row>
    <row r="105" spans="2:31" x14ac:dyDescent="0.3">
      <c r="B105" s="993"/>
      <c r="C105" s="994"/>
      <c r="D105" s="155" t="s">
        <v>327</v>
      </c>
      <c r="E105" s="155" t="s">
        <v>328</v>
      </c>
      <c r="F105" s="154" t="s">
        <v>329</v>
      </c>
      <c r="G105" s="154" t="s">
        <v>238</v>
      </c>
      <c r="H105" s="205" t="s">
        <v>327</v>
      </c>
      <c r="I105" s="154" t="s">
        <v>328</v>
      </c>
      <c r="J105" s="154" t="s">
        <v>329</v>
      </c>
      <c r="K105" s="154" t="s">
        <v>238</v>
      </c>
      <c r="L105" s="154" t="s">
        <v>327</v>
      </c>
      <c r="M105" s="155" t="s">
        <v>328</v>
      </c>
      <c r="N105" s="154" t="s">
        <v>329</v>
      </c>
      <c r="O105" s="154" t="s">
        <v>238</v>
      </c>
      <c r="P105" s="205" t="s">
        <v>327</v>
      </c>
      <c r="Q105" s="176" t="s">
        <v>328</v>
      </c>
      <c r="R105" s="158" t="s">
        <v>329</v>
      </c>
      <c r="S105" s="280" t="s">
        <v>238</v>
      </c>
      <c r="T105" s="280" t="s">
        <v>327</v>
      </c>
      <c r="U105" s="361" t="s">
        <v>328</v>
      </c>
      <c r="V105" s="362" t="s">
        <v>329</v>
      </c>
      <c r="W105" s="362" t="s">
        <v>238</v>
      </c>
      <c r="X105" s="362" t="s">
        <v>327</v>
      </c>
      <c r="Y105" s="361" t="s">
        <v>328</v>
      </c>
      <c r="Z105" s="272" t="s">
        <v>329</v>
      </c>
      <c r="AA105" s="362" t="s">
        <v>238</v>
      </c>
      <c r="AB105" s="381" t="s">
        <v>327</v>
      </c>
      <c r="AC105" s="398" t="s">
        <v>328</v>
      </c>
      <c r="AD105" s="149"/>
      <c r="AE105" s="149"/>
    </row>
    <row r="106" spans="2:31" ht="14.4" customHeight="1" x14ac:dyDescent="0.3">
      <c r="B106" s="383" t="s">
        <v>432</v>
      </c>
      <c r="C106" s="351" t="s">
        <v>433</v>
      </c>
      <c r="D106" s="352"/>
      <c r="E106" s="351"/>
      <c r="F106" s="351"/>
      <c r="G106" s="351"/>
      <c r="H106" s="353">
        <f>'Haver Pivoted'!GS41</f>
        <v>70.894000000000005</v>
      </c>
      <c r="I106" s="353">
        <f>'Haver Pivoted'!GT41</f>
        <v>72.774000000000001</v>
      </c>
      <c r="J106" s="353">
        <f>'Haver Pivoted'!GU41</f>
        <v>75.275000000000006</v>
      </c>
      <c r="K106" s="353">
        <f>'Haver Pivoted'!GV41</f>
        <v>78.766999999999996</v>
      </c>
      <c r="L106" s="353">
        <f>'Haver Pivoted'!GW41</f>
        <v>76.995000000000005</v>
      </c>
      <c r="M106" s="353">
        <f>'Haver Pivoted'!GX41</f>
        <v>75.03</v>
      </c>
      <c r="N106" s="353">
        <f>'Haver Pivoted'!GY41</f>
        <v>77.703999999999994</v>
      </c>
      <c r="O106" s="353">
        <f>'Haver Pivoted'!GZ41</f>
        <v>72.766999999999996</v>
      </c>
      <c r="P106" s="354">
        <f>'Haver Pivoted'!HA41</f>
        <v>74.768000000000001</v>
      </c>
      <c r="Q106" s="353">
        <f>'Haver Pivoted'!HB41</f>
        <v>76.48</v>
      </c>
      <c r="R106" s="355">
        <f t="shared" ref="R106:AC106" si="29">AVERAGE($H$106:$N$106)</f>
        <v>75.34842857142857</v>
      </c>
      <c r="S106" s="355">
        <f t="shared" si="29"/>
        <v>75.34842857142857</v>
      </c>
      <c r="T106" s="355">
        <f t="shared" si="29"/>
        <v>75.34842857142857</v>
      </c>
      <c r="U106" s="355">
        <f t="shared" si="29"/>
        <v>75.34842857142857</v>
      </c>
      <c r="V106" s="355">
        <f t="shared" si="29"/>
        <v>75.34842857142857</v>
      </c>
      <c r="W106" s="355">
        <f t="shared" si="29"/>
        <v>75.34842857142857</v>
      </c>
      <c r="X106" s="355">
        <f t="shared" si="29"/>
        <v>75.34842857142857</v>
      </c>
      <c r="Y106" s="355">
        <f t="shared" si="29"/>
        <v>75.34842857142857</v>
      </c>
      <c r="Z106" s="355">
        <f t="shared" si="29"/>
        <v>75.34842857142857</v>
      </c>
      <c r="AA106" s="355">
        <f t="shared" si="29"/>
        <v>75.34842857142857</v>
      </c>
      <c r="AB106" s="355">
        <f t="shared" si="29"/>
        <v>75.34842857142857</v>
      </c>
      <c r="AC106" s="356">
        <f t="shared" si="29"/>
        <v>75.34842857142857</v>
      </c>
      <c r="AD106" s="256"/>
      <c r="AE106" s="256"/>
    </row>
    <row r="108" spans="2:31" ht="18.75" customHeight="1" x14ac:dyDescent="0.3">
      <c r="Q108" s="253" t="s">
        <v>328</v>
      </c>
      <c r="R108" s="362" t="s">
        <v>329</v>
      </c>
      <c r="S108" s="362" t="s">
        <v>238</v>
      </c>
      <c r="T108" s="362" t="s">
        <v>327</v>
      </c>
      <c r="U108" s="361" t="s">
        <v>328</v>
      </c>
      <c r="V108" s="362" t="s">
        <v>329</v>
      </c>
      <c r="W108" s="362" t="s">
        <v>238</v>
      </c>
      <c r="X108" s="362" t="s">
        <v>327</v>
      </c>
      <c r="Y108" s="361" t="s">
        <v>328</v>
      </c>
      <c r="Z108" s="272" t="s">
        <v>329</v>
      </c>
      <c r="AA108" s="362" t="s">
        <v>238</v>
      </c>
      <c r="AB108" s="381" t="s">
        <v>327</v>
      </c>
      <c r="AC108" s="398" t="s">
        <v>328</v>
      </c>
    </row>
    <row r="109" spans="2:31" ht="21.75" customHeight="1" x14ac:dyDescent="0.3">
      <c r="Q109" s="354">
        <v>76.48</v>
      </c>
      <c r="R109" s="355">
        <v>75.34842857142857</v>
      </c>
      <c r="S109" s="355">
        <v>75.34842857142857</v>
      </c>
      <c r="T109" s="355">
        <v>75.34842857142857</v>
      </c>
      <c r="U109" s="355">
        <v>75.34842857142857</v>
      </c>
      <c r="V109" s="355">
        <v>75.34842857142857</v>
      </c>
      <c r="W109" s="355">
        <v>75.34842857142857</v>
      </c>
      <c r="X109" s="355">
        <v>75.34842857142857</v>
      </c>
      <c r="Y109" s="355">
        <v>75.34842857142857</v>
      </c>
      <c r="Z109" s="355">
        <v>75.34842857142857</v>
      </c>
      <c r="AA109" s="355">
        <v>75.34842857142857</v>
      </c>
      <c r="AB109" s="355">
        <v>75.34842857142857</v>
      </c>
      <c r="AC109" s="356">
        <v>75.34842857142857</v>
      </c>
    </row>
  </sheetData>
  <mergeCells count="42">
    <mergeCell ref="S6:AC6"/>
    <mergeCell ref="Q73:R73"/>
    <mergeCell ref="D72:R72"/>
    <mergeCell ref="S72:AC72"/>
    <mergeCell ref="Q104:R104"/>
    <mergeCell ref="D103:R103"/>
    <mergeCell ref="S103:AC103"/>
    <mergeCell ref="B101:AC101"/>
    <mergeCell ref="Y73:AB73"/>
    <mergeCell ref="B72:C74"/>
    <mergeCell ref="I73:L73"/>
    <mergeCell ref="U73:X73"/>
    <mergeCell ref="B100:Y100"/>
    <mergeCell ref="E73:H73"/>
    <mergeCell ref="M73:P73"/>
    <mergeCell ref="B103:C105"/>
    <mergeCell ref="I104:L104"/>
    <mergeCell ref="U104:X104"/>
    <mergeCell ref="E104:H104"/>
    <mergeCell ref="Y104:AB104"/>
    <mergeCell ref="M104:P104"/>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9"/>
  <sheetViews>
    <sheetView topLeftCell="B19" zoomScale="90" zoomScaleNormal="90" workbookViewId="0">
      <selection activeCell="N43" sqref="N43"/>
    </sheetView>
  </sheetViews>
  <sheetFormatPr defaultColWidth="11.554687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947" t="s">
        <v>434</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39" ht="14.25" customHeight="1" x14ac:dyDescent="0.3">
      <c r="B2" s="946" t="s">
        <v>435</v>
      </c>
      <c r="C2" s="946"/>
      <c r="D2" s="946"/>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2:39" ht="9" customHeight="1" x14ac:dyDescent="0.3">
      <c r="B3" s="946"/>
      <c r="C3" s="946"/>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2:39" ht="27" customHeight="1" x14ac:dyDescent="0.3">
      <c r="B4" s="946"/>
      <c r="C4" s="946"/>
      <c r="D4" s="946"/>
      <c r="E4" s="946"/>
      <c r="F4" s="946"/>
      <c r="G4" s="946"/>
      <c r="H4" s="946"/>
      <c r="I4" s="946"/>
      <c r="J4" s="946"/>
      <c r="K4" s="946"/>
      <c r="L4" s="946"/>
      <c r="M4" s="946"/>
      <c r="N4" s="946"/>
      <c r="O4" s="946"/>
      <c r="P4" s="946"/>
      <c r="Q4" s="946"/>
      <c r="R4" s="946"/>
      <c r="S4" s="946"/>
      <c r="T4" s="946"/>
      <c r="U4" s="946"/>
      <c r="V4" s="946"/>
      <c r="W4" s="946"/>
      <c r="X4" s="946"/>
      <c r="Y4" s="946"/>
      <c r="Z4" s="946"/>
      <c r="AA4" s="946"/>
      <c r="AB4" s="946"/>
      <c r="AC4" s="946"/>
      <c r="AE4" s="443"/>
      <c r="AF4" s="443"/>
      <c r="AG4" s="443"/>
      <c r="AH4" s="443"/>
      <c r="AI4" s="443"/>
      <c r="AJ4" s="443"/>
      <c r="AK4" s="443"/>
      <c r="AL4" s="443"/>
      <c r="AM4" s="443"/>
    </row>
    <row r="5" spans="2:39" x14ac:dyDescent="0.3">
      <c r="B5" s="179"/>
      <c r="AC5" s="278"/>
      <c r="AD5" s="278"/>
      <c r="AE5" s="278"/>
      <c r="AF5" s="278"/>
    </row>
    <row r="6" spans="2:39" ht="14.7" customHeight="1" x14ac:dyDescent="0.3">
      <c r="B6" s="980" t="s">
        <v>324</v>
      </c>
      <c r="C6" s="960"/>
      <c r="D6" s="957" t="s">
        <v>325</v>
      </c>
      <c r="E6" s="958"/>
      <c r="F6" s="958"/>
      <c r="G6" s="958"/>
      <c r="H6" s="958"/>
      <c r="I6" s="958"/>
      <c r="J6" s="958"/>
      <c r="K6" s="958"/>
      <c r="L6" s="958"/>
      <c r="M6" s="958"/>
      <c r="N6" s="958"/>
      <c r="O6" s="958"/>
      <c r="P6" s="958"/>
      <c r="Q6" s="958"/>
      <c r="R6" s="988"/>
      <c r="S6" s="989" t="s">
        <v>326</v>
      </c>
      <c r="T6" s="990"/>
      <c r="U6" s="990"/>
      <c r="V6" s="990"/>
      <c r="W6" s="990"/>
      <c r="X6" s="990"/>
      <c r="Y6" s="990"/>
      <c r="Z6" s="990"/>
      <c r="AA6" s="990"/>
      <c r="AB6" s="990"/>
      <c r="AC6" s="991"/>
    </row>
    <row r="7" spans="2:39" ht="14.7" customHeight="1" x14ac:dyDescent="0.3">
      <c r="B7" s="981"/>
      <c r="C7" s="982"/>
      <c r="D7" s="201">
        <v>2018</v>
      </c>
      <c r="E7" s="948">
        <v>2019</v>
      </c>
      <c r="F7" s="949"/>
      <c r="G7" s="949"/>
      <c r="H7" s="956"/>
      <c r="I7" s="948">
        <v>2020</v>
      </c>
      <c r="J7" s="949"/>
      <c r="K7" s="949"/>
      <c r="L7" s="949"/>
      <c r="M7" s="948">
        <v>2021</v>
      </c>
      <c r="N7" s="949"/>
      <c r="O7" s="949"/>
      <c r="P7" s="956"/>
      <c r="Q7" s="986">
        <v>2022</v>
      </c>
      <c r="R7" s="987"/>
      <c r="S7" s="295"/>
      <c r="T7" s="296"/>
      <c r="U7" s="983">
        <v>2023</v>
      </c>
      <c r="V7" s="984"/>
      <c r="W7" s="984"/>
      <c r="X7" s="984"/>
      <c r="Y7" s="983">
        <v>2024</v>
      </c>
      <c r="Z7" s="984"/>
      <c r="AA7" s="984"/>
      <c r="AB7" s="985"/>
      <c r="AC7" s="262">
        <v>2025</v>
      </c>
    </row>
    <row r="8" spans="2:39" x14ac:dyDescent="0.3">
      <c r="B8" s="993"/>
      <c r="C8" s="994"/>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2:39" ht="18" customHeight="1" x14ac:dyDescent="0.3">
      <c r="B9" s="470" t="s">
        <v>975</v>
      </c>
      <c r="C9" s="183"/>
      <c r="D9" s="165"/>
      <c r="E9" s="160"/>
      <c r="F9" s="160"/>
      <c r="G9" s="160"/>
      <c r="H9" s="160"/>
      <c r="I9" s="160"/>
      <c r="J9" s="160"/>
      <c r="K9" s="160"/>
      <c r="L9" s="160"/>
      <c r="M9" s="160"/>
      <c r="N9" s="160"/>
      <c r="O9" s="160"/>
      <c r="P9" s="160"/>
      <c r="Q9" s="442">
        <v>1575</v>
      </c>
      <c r="R9" s="472">
        <v>1591.4</v>
      </c>
      <c r="S9" s="445">
        <v>1607.9</v>
      </c>
      <c r="T9" s="445">
        <v>1622.9</v>
      </c>
      <c r="U9" s="445">
        <v>1639</v>
      </c>
      <c r="V9" s="445">
        <v>1653.9</v>
      </c>
      <c r="W9" s="445">
        <v>1667.4</v>
      </c>
      <c r="X9" s="445">
        <v>1679.6</v>
      </c>
      <c r="Y9" s="445">
        <v>1693.3</v>
      </c>
      <c r="Z9" s="445">
        <v>1706.4</v>
      </c>
      <c r="AA9" s="445">
        <v>1719.6</v>
      </c>
      <c r="AB9" s="445">
        <v>1732.8</v>
      </c>
      <c r="AC9" s="445">
        <v>1743.7</v>
      </c>
    </row>
    <row r="10" spans="2:39" ht="17.25" customHeight="1" x14ac:dyDescent="0.3">
      <c r="B10" s="469" t="s">
        <v>976</v>
      </c>
      <c r="C10" s="267"/>
      <c r="D10" s="276"/>
      <c r="E10" s="267"/>
      <c r="F10" s="267"/>
      <c r="G10" s="267"/>
      <c r="H10" s="150"/>
      <c r="I10" s="150"/>
      <c r="J10" s="150"/>
      <c r="K10" s="150"/>
      <c r="L10" s="150"/>
      <c r="M10" s="150"/>
      <c r="N10" s="150"/>
      <c r="O10" s="150"/>
      <c r="P10" s="150"/>
      <c r="Q10" s="479">
        <v>2.298</v>
      </c>
      <c r="R10" s="473">
        <v>4.2320000000000002</v>
      </c>
      <c r="S10" s="471">
        <v>4.1929999999999996</v>
      </c>
      <c r="T10" s="471">
        <v>3.786</v>
      </c>
      <c r="U10" s="471">
        <v>4.0339999999999998</v>
      </c>
      <c r="V10" s="471">
        <v>3.6819999999999999</v>
      </c>
      <c r="W10" s="471">
        <v>3.3159999999999998</v>
      </c>
      <c r="X10" s="471">
        <v>2.9569999999999999</v>
      </c>
      <c r="Y10" s="471">
        <v>3.2949999999999999</v>
      </c>
      <c r="Z10" s="471">
        <v>3.1269999999999998</v>
      </c>
      <c r="AA10" s="471">
        <v>3.125</v>
      </c>
      <c r="AB10" s="471">
        <v>3.113</v>
      </c>
      <c r="AC10" s="471">
        <v>2.5430000000000001</v>
      </c>
    </row>
    <row r="11" spans="2:39" ht="28.95" customHeight="1" x14ac:dyDescent="0.3">
      <c r="B11" s="277" t="s">
        <v>436</v>
      </c>
      <c r="C11" s="267" t="s">
        <v>1008</v>
      </c>
      <c r="D11" s="277"/>
      <c r="E11" s="284"/>
      <c r="F11" s="284"/>
      <c r="G11" s="284"/>
      <c r="H11" s="160">
        <f>'Haver Pivoted'!GS23</f>
        <v>1441.7</v>
      </c>
      <c r="I11" s="160">
        <f>'Haver Pivoted'!GT23</f>
        <v>1454.7</v>
      </c>
      <c r="J11" s="160">
        <f>'Haver Pivoted'!GU23</f>
        <v>1525</v>
      </c>
      <c r="K11" s="160">
        <f>'Haver Pivoted'!GV23</f>
        <v>1515.1</v>
      </c>
      <c r="L11" s="160">
        <f>'Haver Pivoted'!GW23</f>
        <v>1512.3</v>
      </c>
      <c r="M11" s="160">
        <f>'Haver Pivoted'!GX23</f>
        <v>1568.6</v>
      </c>
      <c r="N11" s="160">
        <f>'Haver Pivoted'!GY23</f>
        <v>1563.3</v>
      </c>
      <c r="O11" s="160">
        <f>'Haver Pivoted'!GZ23</f>
        <v>1562</v>
      </c>
      <c r="P11" s="160">
        <f>'Haver Pivoted'!HA23</f>
        <v>1566.2</v>
      </c>
      <c r="Q11" s="160">
        <f>'Haver Pivoted'!HB23</f>
        <v>1566.9</v>
      </c>
      <c r="R11" s="160">
        <f>'Haver Pivoted'!HC23</f>
        <v>1578.2</v>
      </c>
      <c r="S11" s="258">
        <f t="shared" ref="S11:AC11" si="0">S9</f>
        <v>1607.9</v>
      </c>
      <c r="T11" s="258">
        <f t="shared" si="0"/>
        <v>1622.9</v>
      </c>
      <c r="U11" s="258">
        <f t="shared" si="0"/>
        <v>1639</v>
      </c>
      <c r="V11" s="258">
        <f t="shared" si="0"/>
        <v>1653.9</v>
      </c>
      <c r="W11" s="258">
        <f t="shared" si="0"/>
        <v>1667.4</v>
      </c>
      <c r="X11" s="258">
        <f t="shared" si="0"/>
        <v>1679.6</v>
      </c>
      <c r="Y11" s="258">
        <f t="shared" si="0"/>
        <v>1693.3</v>
      </c>
      <c r="Z11" s="258">
        <f t="shared" si="0"/>
        <v>1706.4</v>
      </c>
      <c r="AA11" s="258">
        <f t="shared" si="0"/>
        <v>1719.6</v>
      </c>
      <c r="AB11" s="258">
        <f t="shared" si="0"/>
        <v>1732.8</v>
      </c>
      <c r="AC11" s="258">
        <f t="shared" si="0"/>
        <v>1743.7</v>
      </c>
      <c r="AD11" s="261" t="s">
        <v>437</v>
      </c>
    </row>
    <row r="12" spans="2:39" x14ac:dyDescent="0.3">
      <c r="B12" s="432" t="s">
        <v>438</v>
      </c>
      <c r="C12" s="433"/>
      <c r="D12" s="432"/>
      <c r="E12" s="433"/>
      <c r="F12" s="433"/>
      <c r="G12" s="433"/>
      <c r="H12" s="441">
        <f t="shared" ref="H12:AC12" si="1">H11+H65</f>
        <v>1721.1880000000001</v>
      </c>
      <c r="I12" s="441">
        <f t="shared" si="1"/>
        <v>1739.9560000000001</v>
      </c>
      <c r="J12" s="441">
        <f t="shared" si="1"/>
        <v>1934.885</v>
      </c>
      <c r="K12" s="441">
        <f t="shared" si="1"/>
        <v>1895.6499999999999</v>
      </c>
      <c r="L12" s="441">
        <f t="shared" si="1"/>
        <v>1869.4580000000001</v>
      </c>
      <c r="M12" s="441">
        <f t="shared" si="1"/>
        <v>1953.7849999999999</v>
      </c>
      <c r="N12" s="441">
        <f t="shared" si="1"/>
        <v>1987.319</v>
      </c>
      <c r="O12" s="441">
        <f t="shared" si="1"/>
        <v>1993.8899999999999</v>
      </c>
      <c r="P12" s="441">
        <f t="shared" si="1"/>
        <v>2034.084852</v>
      </c>
      <c r="Q12" s="441">
        <f t="shared" si="1"/>
        <v>2072.2582748</v>
      </c>
      <c r="R12" s="391">
        <f t="shared" si="1"/>
        <v>2149.0174605714283</v>
      </c>
      <c r="S12" s="275">
        <f t="shared" si="1"/>
        <v>2143.8358506954755</v>
      </c>
      <c r="T12" s="275">
        <f t="shared" si="1"/>
        <v>2159.2275025010899</v>
      </c>
      <c r="U12" s="275">
        <f t="shared" si="1"/>
        <v>2170.0979818764481</v>
      </c>
      <c r="V12" s="275">
        <f t="shared" si="1"/>
        <v>2189.4164992380952</v>
      </c>
      <c r="W12" s="275">
        <f t="shared" si="1"/>
        <v>2201.8631560174308</v>
      </c>
      <c r="X12" s="275">
        <f t="shared" si="1"/>
        <v>2213.2498682582764</v>
      </c>
      <c r="Y12" s="275">
        <f t="shared" si="1"/>
        <v>2215.6621696406487</v>
      </c>
      <c r="Z12" s="275">
        <f t="shared" si="1"/>
        <v>2209.023581304762</v>
      </c>
      <c r="AA12" s="275">
        <f t="shared" si="1"/>
        <v>2226.8083128752705</v>
      </c>
      <c r="AB12" s="275">
        <f t="shared" si="1"/>
        <v>2243.8151721857503</v>
      </c>
      <c r="AC12" s="422">
        <f t="shared" si="1"/>
        <v>2238.0113198034173</v>
      </c>
      <c r="AD12" s="157" t="s">
        <v>439</v>
      </c>
    </row>
    <row r="13" spans="2:39" x14ac:dyDescent="0.3">
      <c r="B13" s="267"/>
      <c r="C13" s="267"/>
      <c r="D13" s="267"/>
      <c r="E13" s="267"/>
      <c r="F13" s="267"/>
      <c r="G13" s="267"/>
      <c r="H13" s="160"/>
      <c r="I13" s="160"/>
      <c r="J13" s="160"/>
      <c r="K13" s="160"/>
      <c r="L13" s="160"/>
      <c r="M13" s="160"/>
      <c r="N13" s="160"/>
      <c r="O13" s="160"/>
      <c r="P13" s="160"/>
      <c r="Q13" s="160"/>
      <c r="R13" s="160"/>
      <c r="S13" s="160"/>
      <c r="T13" s="160"/>
      <c r="U13" s="160"/>
      <c r="V13" s="160"/>
      <c r="W13" s="160"/>
      <c r="X13" s="160"/>
      <c r="Y13" s="160"/>
      <c r="Z13" s="160"/>
      <c r="AA13" s="160"/>
      <c r="AB13" s="160"/>
      <c r="AC13" s="160"/>
      <c r="AD13" s="157"/>
    </row>
    <row r="14" spans="2:39" x14ac:dyDescent="0.3">
      <c r="B14" s="267"/>
      <c r="C14" s="267"/>
      <c r="D14" s="267"/>
      <c r="E14" s="267"/>
      <c r="F14" s="267"/>
      <c r="G14" s="267"/>
      <c r="H14" s="160"/>
      <c r="I14" s="160"/>
      <c r="J14" s="160"/>
      <c r="K14" s="160"/>
      <c r="L14" s="160"/>
      <c r="M14" s="160"/>
      <c r="N14" s="160"/>
      <c r="O14" s="160"/>
      <c r="P14" s="160"/>
      <c r="Q14" s="205" t="s">
        <v>328</v>
      </c>
      <c r="R14" s="362" t="s">
        <v>329</v>
      </c>
      <c r="S14" s="362" t="s">
        <v>238</v>
      </c>
      <c r="T14" s="362" t="s">
        <v>327</v>
      </c>
      <c r="U14" s="361" t="s">
        <v>328</v>
      </c>
      <c r="V14" s="362" t="s">
        <v>329</v>
      </c>
      <c r="W14" s="362" t="s">
        <v>238</v>
      </c>
      <c r="X14" s="362" t="s">
        <v>327</v>
      </c>
      <c r="Y14" s="361" t="s">
        <v>328</v>
      </c>
      <c r="Z14" s="272" t="s">
        <v>329</v>
      </c>
      <c r="AA14" s="362" t="s">
        <v>238</v>
      </c>
      <c r="AB14" s="381" t="s">
        <v>327</v>
      </c>
      <c r="AC14" s="398" t="s">
        <v>328</v>
      </c>
      <c r="AD14" s="157"/>
    </row>
    <row r="15" spans="2:39" x14ac:dyDescent="0.3">
      <c r="B15" s="267"/>
      <c r="C15" s="267"/>
      <c r="D15" s="267"/>
      <c r="E15" s="267"/>
      <c r="F15" s="267"/>
      <c r="G15" s="267"/>
      <c r="H15" s="160"/>
      <c r="I15" s="160"/>
      <c r="J15" s="160"/>
      <c r="K15" s="160"/>
      <c r="L15" s="160"/>
      <c r="M15" s="160"/>
      <c r="N15" s="160"/>
      <c r="O15" s="160"/>
      <c r="P15" s="160"/>
      <c r="Q15" s="472">
        <v>1575</v>
      </c>
      <c r="R15" s="445">
        <v>1591.4</v>
      </c>
      <c r="S15" s="445">
        <v>1607.9</v>
      </c>
      <c r="T15" s="445">
        <v>1622.9</v>
      </c>
      <c r="U15" s="445">
        <v>1639</v>
      </c>
      <c r="V15" s="445">
        <v>1653.9</v>
      </c>
      <c r="W15" s="445">
        <v>1667.4</v>
      </c>
      <c r="X15" s="445">
        <v>1679.6</v>
      </c>
      <c r="Y15" s="445">
        <v>1693.3</v>
      </c>
      <c r="Z15" s="445">
        <v>1706.4</v>
      </c>
      <c r="AA15" s="445">
        <v>1719.6</v>
      </c>
      <c r="AB15" s="445">
        <v>1732.8</v>
      </c>
      <c r="AC15" s="445">
        <v>1743.7</v>
      </c>
      <c r="AD15" s="157"/>
    </row>
    <row r="16" spans="2:39" x14ac:dyDescent="0.3">
      <c r="B16" s="267"/>
      <c r="C16" s="267"/>
      <c r="D16" s="267"/>
      <c r="E16" s="267"/>
      <c r="F16" s="267"/>
      <c r="G16" s="267"/>
      <c r="H16" s="160"/>
      <c r="I16" s="160"/>
      <c r="J16" s="160"/>
      <c r="K16" s="160"/>
      <c r="L16" s="160"/>
      <c r="M16" s="160"/>
      <c r="N16" s="160"/>
      <c r="O16" s="160"/>
      <c r="P16" s="160"/>
      <c r="Q16" s="473">
        <v>2.298</v>
      </c>
      <c r="R16" s="471">
        <v>4.2320000000000002</v>
      </c>
      <c r="S16" s="471">
        <v>4.1929999999999996</v>
      </c>
      <c r="T16" s="471">
        <v>3.786</v>
      </c>
      <c r="U16" s="471">
        <v>4.0339999999999998</v>
      </c>
      <c r="V16" s="471">
        <v>3.6819999999999999</v>
      </c>
      <c r="W16" s="471">
        <v>3.3159999999999998</v>
      </c>
      <c r="X16" s="471">
        <v>2.9569999999999999</v>
      </c>
      <c r="Y16" s="471">
        <v>3.2949999999999999</v>
      </c>
      <c r="Z16" s="471">
        <v>3.1269999999999998</v>
      </c>
      <c r="AA16" s="471">
        <v>3.125</v>
      </c>
      <c r="AB16" s="471">
        <v>3.113</v>
      </c>
      <c r="AC16" s="471">
        <v>2.5430000000000001</v>
      </c>
      <c r="AD16" s="157"/>
    </row>
    <row r="17" spans="2:31" x14ac:dyDescent="0.3">
      <c r="B17" s="267"/>
      <c r="C17" s="267"/>
      <c r="D17" s="267"/>
      <c r="E17" s="267"/>
      <c r="F17" s="267"/>
      <c r="G17" s="267"/>
      <c r="H17" s="160"/>
      <c r="I17" s="160"/>
      <c r="J17" s="160"/>
      <c r="K17" s="160"/>
      <c r="L17" s="160"/>
      <c r="M17" s="160"/>
      <c r="N17" s="160"/>
      <c r="O17" s="160"/>
      <c r="P17" s="160"/>
      <c r="Q17" s="153">
        <v>1566.9</v>
      </c>
      <c r="R17" s="258">
        <v>1591.4</v>
      </c>
      <c r="S17" s="258">
        <v>1607.9</v>
      </c>
      <c r="T17" s="258">
        <v>1622.9</v>
      </c>
      <c r="U17" s="258">
        <v>1639</v>
      </c>
      <c r="V17" s="258">
        <v>1653.9</v>
      </c>
      <c r="W17" s="258">
        <v>1667.4</v>
      </c>
      <c r="X17" s="258">
        <v>1679.6</v>
      </c>
      <c r="Y17" s="258">
        <v>1693.3</v>
      </c>
      <c r="Z17" s="258">
        <v>1706.4</v>
      </c>
      <c r="AA17" s="258">
        <v>1719.6</v>
      </c>
      <c r="AB17" s="258">
        <v>1732.8</v>
      </c>
      <c r="AC17" s="258">
        <v>1743.7</v>
      </c>
      <c r="AD17" s="157"/>
    </row>
    <row r="18" spans="2:31" x14ac:dyDescent="0.3">
      <c r="B18" s="267"/>
      <c r="C18" s="267"/>
      <c r="D18" s="267"/>
      <c r="E18" s="267"/>
      <c r="F18" s="267"/>
      <c r="G18" s="267"/>
      <c r="H18" s="160"/>
      <c r="I18" s="160"/>
      <c r="J18" s="160"/>
      <c r="K18" s="160"/>
      <c r="L18" s="160"/>
      <c r="M18" s="160"/>
      <c r="N18" s="160"/>
      <c r="O18" s="160"/>
      <c r="P18" s="160"/>
      <c r="Q18" s="391">
        <v>2072.2582748</v>
      </c>
      <c r="R18" s="275">
        <v>2107.5774227461498</v>
      </c>
      <c r="S18" s="275">
        <v>2126.4122176797173</v>
      </c>
      <c r="T18" s="275">
        <v>2147.7051098816337</v>
      </c>
      <c r="U18" s="275">
        <v>2158.462054438095</v>
      </c>
      <c r="V18" s="275">
        <v>2177.6659182761182</v>
      </c>
      <c r="W18" s="275">
        <v>2189.9967918040484</v>
      </c>
      <c r="X18" s="275">
        <v>2201.2665799340416</v>
      </c>
      <c r="Y18" s="275">
        <v>2203.5608051047616</v>
      </c>
      <c r="Z18" s="275">
        <v>2196.8029771043057</v>
      </c>
      <c r="AA18" s="275">
        <v>2214.4672940933533</v>
      </c>
      <c r="AB18" s="275">
        <v>2231.3525523285462</v>
      </c>
      <c r="AC18" s="422">
        <v>2225.4259006860952</v>
      </c>
      <c r="AD18" s="157"/>
    </row>
    <row r="19" spans="2:31" x14ac:dyDescent="0.3">
      <c r="B19" s="267"/>
      <c r="C19" s="267"/>
      <c r="D19" s="267"/>
      <c r="E19" s="267"/>
      <c r="F19" s="267"/>
      <c r="G19" s="267"/>
      <c r="H19" s="160"/>
      <c r="I19" s="160"/>
      <c r="J19" s="160"/>
      <c r="K19" s="160"/>
      <c r="L19" s="160"/>
      <c r="M19" s="160"/>
      <c r="N19" s="160"/>
      <c r="O19" s="160"/>
      <c r="P19" s="160"/>
      <c r="Q19" s="160"/>
      <c r="R19" s="160"/>
      <c r="S19" s="160"/>
      <c r="T19" s="160"/>
      <c r="U19" s="160"/>
      <c r="V19" s="160"/>
      <c r="W19" s="160"/>
      <c r="X19" s="160"/>
      <c r="Y19" s="160"/>
      <c r="Z19" s="160"/>
      <c r="AA19" s="160"/>
      <c r="AB19" s="160"/>
      <c r="AC19" s="160"/>
      <c r="AD19" s="157"/>
    </row>
    <row r="20" spans="2:31" x14ac:dyDescent="0.3">
      <c r="B20" s="267"/>
      <c r="C20" s="267"/>
      <c r="D20" s="267"/>
      <c r="E20" s="267"/>
      <c r="F20" s="267"/>
      <c r="G20" s="267"/>
      <c r="H20" s="160"/>
      <c r="I20" s="160"/>
      <c r="J20" s="160"/>
      <c r="K20" s="160"/>
      <c r="L20" s="160"/>
      <c r="M20" s="160"/>
      <c r="N20" s="160"/>
      <c r="O20" s="160"/>
      <c r="P20" s="160"/>
      <c r="Q20" s="160"/>
      <c r="R20" s="160"/>
      <c r="S20" s="160"/>
      <c r="T20" s="160"/>
      <c r="U20" s="160"/>
      <c r="V20" s="160"/>
      <c r="W20" s="160"/>
      <c r="X20" s="160"/>
      <c r="Y20" s="160"/>
      <c r="Z20" s="160"/>
      <c r="AA20" s="160"/>
      <c r="AB20" s="160"/>
      <c r="AC20" s="160"/>
      <c r="AD20" s="157"/>
    </row>
    <row r="21" spans="2:31" x14ac:dyDescent="0.3">
      <c r="B21" s="267"/>
      <c r="C21" s="267"/>
      <c r="D21" s="267"/>
      <c r="E21" s="267"/>
      <c r="F21" s="267"/>
      <c r="G21" s="267"/>
      <c r="H21" s="160"/>
      <c r="I21" s="160"/>
      <c r="J21" s="160"/>
      <c r="K21" s="160"/>
      <c r="L21" s="160"/>
      <c r="M21" s="160"/>
      <c r="N21" s="160"/>
      <c r="O21" s="160"/>
      <c r="P21" s="430"/>
      <c r="Q21" s="430"/>
      <c r="R21" s="430"/>
      <c r="S21" s="430"/>
      <c r="T21" s="430"/>
      <c r="U21" s="430"/>
      <c r="V21" s="430"/>
      <c r="W21" s="430"/>
      <c r="X21" s="430"/>
      <c r="Y21" s="430"/>
      <c r="Z21" s="430"/>
      <c r="AA21" s="430"/>
      <c r="AB21" s="430"/>
      <c r="AC21" s="430"/>
    </row>
    <row r="22" spans="2:31" ht="21.75" customHeight="1" x14ac:dyDescent="0.3">
      <c r="B22" s="947" t="s">
        <v>165</v>
      </c>
      <c r="C22" s="947"/>
      <c r="D22" s="947"/>
      <c r="E22" s="947"/>
      <c r="F22" s="947"/>
      <c r="G22" s="947"/>
      <c r="H22" s="947"/>
      <c r="I22" s="947"/>
      <c r="J22" s="947"/>
      <c r="K22" s="947"/>
      <c r="L22" s="947"/>
      <c r="M22" s="947"/>
      <c r="N22" s="947"/>
      <c r="O22" s="947"/>
      <c r="P22" s="947"/>
      <c r="Q22" s="947"/>
      <c r="R22" s="947"/>
      <c r="S22" s="947"/>
      <c r="T22" s="947"/>
      <c r="U22" s="947"/>
      <c r="V22" s="947"/>
      <c r="W22" s="947"/>
      <c r="X22" s="947"/>
      <c r="Y22" s="947"/>
      <c r="Z22" s="947"/>
      <c r="AA22" s="947"/>
      <c r="AB22" s="947"/>
      <c r="AC22" s="947"/>
      <c r="AE22" s="468"/>
    </row>
    <row r="23" spans="2:31" ht="14.25" customHeight="1" x14ac:dyDescent="0.3">
      <c r="B23" s="979" t="s">
        <v>440</v>
      </c>
      <c r="C23" s="979"/>
      <c r="D23" s="979"/>
      <c r="E23" s="979"/>
      <c r="F23" s="979"/>
      <c r="G23" s="979"/>
      <c r="H23" s="979"/>
      <c r="I23" s="979"/>
      <c r="J23" s="979"/>
      <c r="K23" s="979"/>
      <c r="L23" s="979"/>
      <c r="M23" s="979"/>
      <c r="N23" s="979"/>
      <c r="O23" s="979"/>
      <c r="P23" s="979"/>
      <c r="Q23" s="979"/>
      <c r="R23" s="979"/>
      <c r="S23" s="979"/>
      <c r="T23" s="979"/>
      <c r="U23" s="979"/>
      <c r="V23" s="979"/>
      <c r="W23" s="979"/>
      <c r="X23" s="979"/>
      <c r="Y23" s="979"/>
      <c r="Z23" s="979"/>
      <c r="AA23" s="979"/>
      <c r="AB23" s="979"/>
      <c r="AC23" s="979"/>
      <c r="AE23" s="468"/>
    </row>
    <row r="24" spans="2:31" x14ac:dyDescent="0.3">
      <c r="B24" s="979"/>
      <c r="C24" s="979"/>
      <c r="D24" s="979"/>
      <c r="E24" s="979"/>
      <c r="F24" s="979"/>
      <c r="G24" s="979"/>
      <c r="H24" s="979"/>
      <c r="I24" s="979"/>
      <c r="J24" s="979"/>
      <c r="K24" s="979"/>
      <c r="L24" s="979"/>
      <c r="M24" s="979"/>
      <c r="N24" s="979"/>
      <c r="O24" s="979"/>
      <c r="P24" s="979"/>
      <c r="Q24" s="979"/>
      <c r="R24" s="979"/>
      <c r="S24" s="979"/>
      <c r="T24" s="979"/>
      <c r="U24" s="979"/>
      <c r="V24" s="979"/>
      <c r="W24" s="979"/>
      <c r="X24" s="979"/>
      <c r="Y24" s="979"/>
      <c r="Z24" s="979"/>
      <c r="AA24" s="979"/>
      <c r="AB24" s="979"/>
      <c r="AC24" s="979"/>
    </row>
    <row r="25" spans="2:31" x14ac:dyDescent="0.3">
      <c r="B25" s="979"/>
      <c r="C25" s="979"/>
      <c r="D25" s="979"/>
      <c r="E25" s="979"/>
      <c r="F25" s="979"/>
      <c r="G25" s="979"/>
      <c r="H25" s="979"/>
      <c r="I25" s="979"/>
      <c r="J25" s="979"/>
      <c r="K25" s="979"/>
      <c r="L25" s="979"/>
      <c r="M25" s="979"/>
      <c r="N25" s="979"/>
      <c r="O25" s="979"/>
      <c r="P25" s="979"/>
      <c r="Q25" s="979"/>
      <c r="R25" s="979"/>
      <c r="S25" s="979"/>
      <c r="T25" s="979"/>
      <c r="U25" s="979"/>
      <c r="V25" s="979"/>
      <c r="W25" s="979"/>
      <c r="X25" s="979"/>
      <c r="Y25" s="979"/>
      <c r="Z25" s="979"/>
      <c r="AA25" s="979"/>
      <c r="AB25" s="979"/>
      <c r="AC25" s="979"/>
    </row>
    <row r="27" spans="2:31" x14ac:dyDescent="0.3">
      <c r="B27" s="980" t="s">
        <v>324</v>
      </c>
      <c r="C27" s="960"/>
      <c r="D27" s="957" t="s">
        <v>325</v>
      </c>
      <c r="E27" s="958"/>
      <c r="F27" s="958"/>
      <c r="G27" s="958"/>
      <c r="H27" s="958"/>
      <c r="I27" s="958"/>
      <c r="J27" s="958"/>
      <c r="K27" s="958"/>
      <c r="L27" s="958"/>
      <c r="M27" s="958"/>
      <c r="N27" s="958"/>
      <c r="O27" s="958"/>
      <c r="P27" s="958"/>
      <c r="Q27" s="958"/>
      <c r="R27" s="988"/>
      <c r="S27" s="989" t="s">
        <v>326</v>
      </c>
      <c r="T27" s="990"/>
      <c r="U27" s="990"/>
      <c r="V27" s="990"/>
      <c r="W27" s="990"/>
      <c r="X27" s="990"/>
      <c r="Y27" s="990"/>
      <c r="Z27" s="990"/>
      <c r="AA27" s="990"/>
      <c r="AB27" s="990"/>
      <c r="AC27" s="991"/>
    </row>
    <row r="28" spans="2:31" x14ac:dyDescent="0.3">
      <c r="B28" s="981"/>
      <c r="C28" s="982"/>
      <c r="D28" s="201">
        <v>2018</v>
      </c>
      <c r="E28" s="948">
        <v>2019</v>
      </c>
      <c r="F28" s="949"/>
      <c r="G28" s="949"/>
      <c r="H28" s="956"/>
      <c r="I28" s="948">
        <v>2020</v>
      </c>
      <c r="J28" s="949"/>
      <c r="K28" s="949"/>
      <c r="L28" s="949"/>
      <c r="M28" s="948">
        <v>2021</v>
      </c>
      <c r="N28" s="949"/>
      <c r="O28" s="949"/>
      <c r="P28" s="956"/>
      <c r="Q28" s="986">
        <v>2022</v>
      </c>
      <c r="R28" s="987"/>
      <c r="S28" s="295"/>
      <c r="T28" s="296"/>
      <c r="U28" s="983">
        <v>2023</v>
      </c>
      <c r="V28" s="984"/>
      <c r="W28" s="984"/>
      <c r="X28" s="984"/>
      <c r="Y28" s="983">
        <v>2024</v>
      </c>
      <c r="Z28" s="984"/>
      <c r="AA28" s="984"/>
      <c r="AB28" s="985"/>
      <c r="AC28" s="262">
        <v>2025</v>
      </c>
    </row>
    <row r="29" spans="2:31" x14ac:dyDescent="0.3">
      <c r="B29" s="993"/>
      <c r="C29" s="994"/>
      <c r="D29" s="155" t="s">
        <v>327</v>
      </c>
      <c r="E29" s="155" t="s">
        <v>328</v>
      </c>
      <c r="F29" s="154" t="s">
        <v>329</v>
      </c>
      <c r="G29" s="154" t="s">
        <v>238</v>
      </c>
      <c r="H29" s="205" t="s">
        <v>327</v>
      </c>
      <c r="I29" s="154" t="s">
        <v>328</v>
      </c>
      <c r="J29" s="154" t="s">
        <v>329</v>
      </c>
      <c r="K29" s="154" t="s">
        <v>238</v>
      </c>
      <c r="L29" s="154" t="s">
        <v>327</v>
      </c>
      <c r="M29" s="155" t="s">
        <v>328</v>
      </c>
      <c r="N29" s="154" t="s">
        <v>329</v>
      </c>
      <c r="O29" s="154" t="s">
        <v>238</v>
      </c>
      <c r="P29" s="205" t="s">
        <v>327</v>
      </c>
      <c r="Q29" s="155" t="s">
        <v>328</v>
      </c>
      <c r="R29" s="205" t="s">
        <v>329</v>
      </c>
      <c r="S29" s="362" t="s">
        <v>238</v>
      </c>
      <c r="T29" s="381" t="s">
        <v>327</v>
      </c>
      <c r="U29" s="361" t="s">
        <v>328</v>
      </c>
      <c r="V29" s="362" t="s">
        <v>329</v>
      </c>
      <c r="W29" s="362" t="s">
        <v>238</v>
      </c>
      <c r="X29" s="362" t="s">
        <v>327</v>
      </c>
      <c r="Y29" s="361" t="s">
        <v>328</v>
      </c>
      <c r="Z29" s="272" t="s">
        <v>329</v>
      </c>
      <c r="AA29" s="362" t="s">
        <v>238</v>
      </c>
      <c r="AB29" s="381" t="s">
        <v>327</v>
      </c>
      <c r="AC29" s="398" t="s">
        <v>328</v>
      </c>
    </row>
    <row r="30" spans="2:31" x14ac:dyDescent="0.3">
      <c r="B30" s="458" t="s">
        <v>111</v>
      </c>
      <c r="C30" s="285" t="s">
        <v>441</v>
      </c>
      <c r="D30" s="266"/>
      <c r="E30" s="285"/>
      <c r="F30" s="285"/>
      <c r="G30" s="285"/>
      <c r="H30" s="194">
        <f>'Haver Pivoted'!GS24</f>
        <v>2329.1999999999998</v>
      </c>
      <c r="I30" s="194">
        <f>'Haver Pivoted'!GT24</f>
        <v>2376.9</v>
      </c>
      <c r="J30" s="194">
        <f>'Haver Pivoted'!GU24</f>
        <v>2334.6</v>
      </c>
      <c r="K30" s="194">
        <f>'Haver Pivoted'!GV24</f>
        <v>2346.5</v>
      </c>
      <c r="L30" s="194">
        <f>'Haver Pivoted'!GW24</f>
        <v>2373</v>
      </c>
      <c r="M30" s="194">
        <f>'Haver Pivoted'!GX24</f>
        <v>2408.6999999999998</v>
      </c>
      <c r="N30" s="194">
        <f>'Haver Pivoted'!GY24</f>
        <v>2452.6</v>
      </c>
      <c r="O30" s="194">
        <f>'Haver Pivoted'!GZ24</f>
        <v>2522.9</v>
      </c>
      <c r="P30" s="194">
        <f>'Haver Pivoted'!HA24</f>
        <v>2566.6999999999998</v>
      </c>
      <c r="Q30" s="194">
        <f>'Haver Pivoted'!HB24</f>
        <v>2632.6</v>
      </c>
      <c r="R30" s="194">
        <f>'Haver Pivoted'!HC24</f>
        <v>2717.7</v>
      </c>
      <c r="S30" s="448"/>
      <c r="T30" s="448"/>
      <c r="U30" s="448"/>
      <c r="V30" s="448"/>
      <c r="W30" s="448"/>
      <c r="X30" s="448"/>
      <c r="Y30" s="448"/>
      <c r="Z30" s="448"/>
      <c r="AA30" s="448"/>
      <c r="AB30" s="448"/>
      <c r="AC30" s="437"/>
    </row>
    <row r="31" spans="2:31" ht="29.25" customHeight="1" x14ac:dyDescent="0.3">
      <c r="B31" s="469" t="s">
        <v>1021</v>
      </c>
      <c r="C31" s="183"/>
      <c r="D31" s="439"/>
      <c r="E31" s="183"/>
      <c r="F31" s="183"/>
      <c r="G31" s="183"/>
      <c r="H31" s="160"/>
      <c r="I31" s="160"/>
      <c r="J31" s="160"/>
      <c r="K31" s="160"/>
      <c r="L31" s="160"/>
      <c r="M31" s="160"/>
      <c r="N31" s="160"/>
      <c r="O31" s="160"/>
      <c r="P31" s="160"/>
      <c r="Q31" s="454">
        <v>2625.2</v>
      </c>
      <c r="R31" s="475">
        <v>2687.5</v>
      </c>
      <c r="S31" s="474">
        <v>2737.7</v>
      </c>
      <c r="T31" s="474">
        <v>2776</v>
      </c>
      <c r="U31" s="474">
        <v>2809.9</v>
      </c>
      <c r="V31" s="474">
        <v>2839.2</v>
      </c>
      <c r="W31" s="474">
        <v>2865.7</v>
      </c>
      <c r="X31" s="474">
        <v>2891.3</v>
      </c>
      <c r="Y31" s="474">
        <v>2916.4</v>
      </c>
      <c r="Z31" s="474">
        <v>2941.4</v>
      </c>
      <c r="AA31" s="474">
        <v>2967.1</v>
      </c>
      <c r="AB31" s="474">
        <v>2993.7</v>
      </c>
      <c r="AC31" s="474">
        <v>3022.3</v>
      </c>
    </row>
    <row r="32" spans="2:31" ht="21" customHeight="1" x14ac:dyDescent="0.3">
      <c r="B32" s="188" t="s">
        <v>442</v>
      </c>
      <c r="C32" s="267"/>
      <c r="D32" s="276"/>
      <c r="E32" s="267"/>
      <c r="F32" s="267"/>
      <c r="G32" s="267"/>
      <c r="H32" s="150"/>
      <c r="I32" s="150"/>
      <c r="J32" s="150"/>
      <c r="K32" s="150"/>
      <c r="L32" s="150"/>
      <c r="M32" s="150">
        <v>9.5846503665249383</v>
      </c>
      <c r="N32" s="150">
        <v>9</v>
      </c>
      <c r="O32" s="150">
        <v>10</v>
      </c>
      <c r="P32" s="150">
        <v>10</v>
      </c>
      <c r="Q32" s="477">
        <f>((Q33/P33)^4-1)*100</f>
        <v>10.672333088448504</v>
      </c>
      <c r="R32" s="476">
        <v>10</v>
      </c>
      <c r="S32" s="269">
        <v>9.5</v>
      </c>
      <c r="T32" s="269">
        <v>9</v>
      </c>
      <c r="U32" s="269">
        <v>8</v>
      </c>
      <c r="V32" s="269">
        <v>7.5</v>
      </c>
      <c r="W32" s="269">
        <v>7</v>
      </c>
      <c r="X32" s="269">
        <v>6.5</v>
      </c>
      <c r="Y32" s="269">
        <v>6</v>
      </c>
      <c r="Z32" s="269"/>
      <c r="AA32" s="269"/>
      <c r="AB32" s="269"/>
      <c r="AC32" s="270"/>
      <c r="AD32" s="443" t="s">
        <v>443</v>
      </c>
    </row>
    <row r="33" spans="2:30" ht="17.399999999999999" customHeight="1" x14ac:dyDescent="0.3">
      <c r="B33" s="466" t="s">
        <v>444</v>
      </c>
      <c r="C33" s="284"/>
      <c r="D33" s="277"/>
      <c r="E33" s="284"/>
      <c r="F33" s="284"/>
      <c r="G33" s="284"/>
      <c r="H33" s="257">
        <f>H30</f>
        <v>2329.1999999999998</v>
      </c>
      <c r="I33" s="257">
        <f t="shared" ref="I33:R33" si="2">I30</f>
        <v>2376.9</v>
      </c>
      <c r="J33" s="257">
        <f t="shared" si="2"/>
        <v>2334.6</v>
      </c>
      <c r="K33" s="257">
        <f t="shared" si="2"/>
        <v>2346.5</v>
      </c>
      <c r="L33" s="257">
        <f t="shared" si="2"/>
        <v>2373</v>
      </c>
      <c r="M33" s="257">
        <f t="shared" si="2"/>
        <v>2408.6999999999998</v>
      </c>
      <c r="N33" s="257">
        <f t="shared" si="2"/>
        <v>2452.6</v>
      </c>
      <c r="O33" s="257">
        <f t="shared" si="2"/>
        <v>2522.9</v>
      </c>
      <c r="P33" s="257">
        <f t="shared" si="2"/>
        <v>2566.6999999999998</v>
      </c>
      <c r="Q33" s="257">
        <f t="shared" si="2"/>
        <v>2632.6</v>
      </c>
      <c r="R33" s="257">
        <f t="shared" si="2"/>
        <v>2717.7</v>
      </c>
      <c r="S33" s="258">
        <f t="shared" ref="S33:AC33" si="3">(S31/$Q31)*$Q33</f>
        <v>2745.4171186957183</v>
      </c>
      <c r="T33" s="258">
        <f t="shared" si="3"/>
        <v>2783.8250799939051</v>
      </c>
      <c r="U33" s="258">
        <f t="shared" si="3"/>
        <v>2817.8206384275486</v>
      </c>
      <c r="V33" s="258">
        <f t="shared" si="3"/>
        <v>2847.2032302300777</v>
      </c>
      <c r="W33" s="258">
        <f t="shared" si="3"/>
        <v>2873.7779293006247</v>
      </c>
      <c r="X33" s="258">
        <f t="shared" si="3"/>
        <v>2899.4500914216064</v>
      </c>
      <c r="Y33" s="258">
        <f t="shared" si="3"/>
        <v>2924.6208441261624</v>
      </c>
      <c r="Z33" s="258">
        <f t="shared" si="3"/>
        <v>2949.6913149474326</v>
      </c>
      <c r="AA33" s="258">
        <f t="shared" si="3"/>
        <v>2975.4637589516992</v>
      </c>
      <c r="AB33" s="258">
        <f t="shared" si="3"/>
        <v>3002.1387399055307</v>
      </c>
      <c r="AC33" s="258">
        <f t="shared" si="3"/>
        <v>3030.8193585250647</v>
      </c>
    </row>
    <row r="34" spans="2:30" x14ac:dyDescent="0.3">
      <c r="B34" s="432" t="s">
        <v>445</v>
      </c>
      <c r="C34" s="433"/>
      <c r="D34" s="432"/>
      <c r="E34" s="433"/>
      <c r="F34" s="433"/>
      <c r="G34" s="433"/>
      <c r="H34" s="441">
        <f t="shared" ref="H34:P34" si="4">H30-H65</f>
        <v>2049.712</v>
      </c>
      <c r="I34" s="441">
        <f t="shared" si="4"/>
        <v>2091.6440000000002</v>
      </c>
      <c r="J34" s="441">
        <f t="shared" si="4"/>
        <v>1924.7149999999999</v>
      </c>
      <c r="K34" s="441">
        <f t="shared" si="4"/>
        <v>1965.95</v>
      </c>
      <c r="L34" s="441">
        <f t="shared" si="4"/>
        <v>2015.8420000000001</v>
      </c>
      <c r="M34" s="441">
        <f t="shared" si="4"/>
        <v>2023.5149999999999</v>
      </c>
      <c r="N34" s="441">
        <f t="shared" si="4"/>
        <v>2028.5809999999999</v>
      </c>
      <c r="O34" s="441">
        <f t="shared" si="4"/>
        <v>2091.0100000000002</v>
      </c>
      <c r="P34" s="441">
        <f t="shared" si="4"/>
        <v>2098.8151479999997</v>
      </c>
      <c r="Q34" s="441">
        <f t="shared" ref="Q34:AC34" si="5">Q33-Q65</f>
        <v>2127.2417252</v>
      </c>
      <c r="R34" s="391">
        <f t="shared" si="5"/>
        <v>2146.8825394285714</v>
      </c>
      <c r="S34" s="275">
        <f t="shared" si="5"/>
        <v>2209.4812680002428</v>
      </c>
      <c r="T34" s="275">
        <f t="shared" si="5"/>
        <v>2247.4975774928153</v>
      </c>
      <c r="U34" s="275">
        <f t="shared" si="5"/>
        <v>2286.722656551101</v>
      </c>
      <c r="V34" s="275">
        <f t="shared" si="5"/>
        <v>2311.6867309919826</v>
      </c>
      <c r="W34" s="275">
        <f t="shared" si="5"/>
        <v>2339.314773283194</v>
      </c>
      <c r="X34" s="275">
        <f t="shared" si="5"/>
        <v>2365.80022316333</v>
      </c>
      <c r="Y34" s="275">
        <f t="shared" si="5"/>
        <v>2402.2586744855139</v>
      </c>
      <c r="Z34" s="275">
        <f t="shared" si="5"/>
        <v>2447.0677336426706</v>
      </c>
      <c r="AA34" s="275">
        <f t="shared" si="5"/>
        <v>2468.2554460764286</v>
      </c>
      <c r="AB34" s="275">
        <f t="shared" si="5"/>
        <v>2491.1235677197801</v>
      </c>
      <c r="AC34" s="422">
        <f t="shared" si="5"/>
        <v>2536.5080387216476</v>
      </c>
      <c r="AD34" s="157" t="s">
        <v>446</v>
      </c>
    </row>
    <row r="36" spans="2:30" x14ac:dyDescent="0.3">
      <c r="Q36" s="253" t="s">
        <v>328</v>
      </c>
      <c r="R36" s="362" t="s">
        <v>329</v>
      </c>
      <c r="S36" s="362" t="s">
        <v>238</v>
      </c>
      <c r="T36" s="362" t="s">
        <v>327</v>
      </c>
      <c r="U36" s="361" t="s">
        <v>328</v>
      </c>
      <c r="V36" s="362" t="s">
        <v>329</v>
      </c>
      <c r="W36" s="362" t="s">
        <v>238</v>
      </c>
      <c r="X36" s="362" t="s">
        <v>327</v>
      </c>
      <c r="Y36" s="361" t="s">
        <v>328</v>
      </c>
      <c r="Z36" s="272" t="s">
        <v>329</v>
      </c>
      <c r="AA36" s="362" t="s">
        <v>238</v>
      </c>
      <c r="AB36" s="381" t="s">
        <v>327</v>
      </c>
      <c r="AC36" s="398" t="s">
        <v>328</v>
      </c>
    </row>
    <row r="37" spans="2:30" x14ac:dyDescent="0.3">
      <c r="Q37" s="336">
        <v>2632.6</v>
      </c>
      <c r="R37" s="448"/>
      <c r="S37" s="448"/>
      <c r="T37" s="448"/>
      <c r="U37" s="448"/>
      <c r="V37" s="448"/>
      <c r="W37" s="448"/>
      <c r="X37" s="448"/>
      <c r="Y37" s="448"/>
      <c r="Z37" s="448"/>
      <c r="AA37" s="448"/>
      <c r="AB37" s="448"/>
      <c r="AC37" s="437"/>
    </row>
    <row r="38" spans="2:30" x14ac:dyDescent="0.3">
      <c r="Q38" s="454">
        <v>2625.2</v>
      </c>
      <c r="R38" s="474">
        <v>2687.5</v>
      </c>
      <c r="S38" s="474">
        <v>2737.7</v>
      </c>
      <c r="T38" s="474">
        <v>2776</v>
      </c>
      <c r="U38" s="474">
        <v>2809.9</v>
      </c>
      <c r="V38" s="474">
        <v>2839.2</v>
      </c>
      <c r="W38" s="474">
        <v>2865.7</v>
      </c>
      <c r="X38" s="474">
        <v>2891.3</v>
      </c>
      <c r="Y38" s="474">
        <v>2916.4</v>
      </c>
      <c r="Z38" s="474">
        <v>2941.4</v>
      </c>
      <c r="AA38" s="474">
        <v>2967.1</v>
      </c>
      <c r="AB38" s="474">
        <v>2993.7</v>
      </c>
      <c r="AC38" s="474">
        <v>3022.3</v>
      </c>
    </row>
    <row r="39" spans="2:30" x14ac:dyDescent="0.3">
      <c r="Q39" s="309">
        <v>10.672333088448504</v>
      </c>
      <c r="R39" s="269">
        <v>10</v>
      </c>
      <c r="S39" s="269">
        <v>9.5</v>
      </c>
      <c r="T39" s="269">
        <v>9</v>
      </c>
      <c r="U39" s="269">
        <v>8</v>
      </c>
      <c r="V39" s="269">
        <v>7.5</v>
      </c>
      <c r="W39" s="269">
        <v>7</v>
      </c>
      <c r="X39" s="269">
        <v>6.5</v>
      </c>
      <c r="Y39" s="269">
        <v>6</v>
      </c>
      <c r="Z39" s="269"/>
      <c r="AA39" s="269"/>
      <c r="AB39" s="269"/>
      <c r="AC39" s="270"/>
    </row>
    <row r="40" spans="2:30" x14ac:dyDescent="0.3">
      <c r="Q40" s="298">
        <v>2632.6</v>
      </c>
      <c r="R40" s="258">
        <v>2695.0756132866068</v>
      </c>
      <c r="S40" s="258">
        <v>2745.4171186957183</v>
      </c>
      <c r="T40" s="258">
        <v>2783.8250799939051</v>
      </c>
      <c r="U40" s="258">
        <v>2817.8206384275486</v>
      </c>
      <c r="V40" s="258">
        <v>2847.2032302300777</v>
      </c>
      <c r="W40" s="258">
        <v>2873.7779293006247</v>
      </c>
      <c r="X40" s="258">
        <v>2899.4500914216064</v>
      </c>
      <c r="Y40" s="258">
        <v>2924.6208441261624</v>
      </c>
      <c r="Z40" s="258">
        <v>2949.6913149474326</v>
      </c>
      <c r="AA40" s="258">
        <v>2975.4637589516992</v>
      </c>
      <c r="AB40" s="258">
        <v>3002.1387399055307</v>
      </c>
      <c r="AC40" s="258">
        <v>3030.8193585250647</v>
      </c>
    </row>
    <row r="41" spans="2:30" x14ac:dyDescent="0.3">
      <c r="Q41" s="391">
        <v>2127.2417252</v>
      </c>
      <c r="R41" s="275">
        <v>2178.8981905404571</v>
      </c>
      <c r="S41" s="275">
        <v>2226.9049010160015</v>
      </c>
      <c r="T41" s="275">
        <v>2259.0199701122715</v>
      </c>
      <c r="U41" s="275">
        <v>2298.3585839894536</v>
      </c>
      <c r="V41" s="275">
        <v>2323.4373119539596</v>
      </c>
      <c r="W41" s="275">
        <v>2351.1811374965764</v>
      </c>
      <c r="X41" s="275">
        <v>2377.7835114875647</v>
      </c>
      <c r="Y41" s="275">
        <v>2414.3600390214006</v>
      </c>
      <c r="Z41" s="275">
        <v>2459.288337843127</v>
      </c>
      <c r="AA41" s="275">
        <v>2480.5964648583458</v>
      </c>
      <c r="AB41" s="275">
        <v>2503.5861875769842</v>
      </c>
      <c r="AC41" s="422">
        <v>2549.0934578389697</v>
      </c>
    </row>
    <row r="47" spans="2:30" x14ac:dyDescent="0.3">
      <c r="B47" s="267"/>
      <c r="C47" s="267"/>
      <c r="D47" s="267"/>
      <c r="E47" s="267"/>
      <c r="F47" s="267"/>
      <c r="G47" s="267"/>
      <c r="H47" s="160"/>
      <c r="I47" s="160"/>
      <c r="J47" s="160"/>
      <c r="K47" s="160"/>
      <c r="L47" s="160"/>
      <c r="M47" s="160"/>
      <c r="N47" s="160"/>
      <c r="O47" s="160"/>
      <c r="P47" s="160"/>
      <c r="Q47" s="431"/>
      <c r="R47" s="160"/>
      <c r="S47" s="160"/>
      <c r="T47" s="160"/>
      <c r="U47" s="160"/>
      <c r="V47" s="160"/>
      <c r="W47" s="160"/>
      <c r="X47" s="160"/>
      <c r="Y47" s="160"/>
      <c r="Z47" s="160"/>
    </row>
    <row r="48" spans="2:30" ht="85.2" customHeight="1" x14ac:dyDescent="0.3">
      <c r="B48" s="452" t="s">
        <v>961</v>
      </c>
      <c r="C48" s="463" t="s">
        <v>960</v>
      </c>
      <c r="D48" s="461">
        <v>44197</v>
      </c>
      <c r="E48" s="462">
        <v>44228</v>
      </c>
      <c r="F48" s="462">
        <v>44256</v>
      </c>
      <c r="G48" s="462">
        <v>44287</v>
      </c>
      <c r="H48" s="462">
        <v>44317</v>
      </c>
      <c r="I48" s="462">
        <v>44348</v>
      </c>
      <c r="J48" s="462">
        <v>44378</v>
      </c>
      <c r="K48" s="462">
        <v>44409</v>
      </c>
      <c r="L48" s="462">
        <v>44440</v>
      </c>
      <c r="M48" s="462">
        <v>44470</v>
      </c>
      <c r="N48" s="462">
        <v>44501</v>
      </c>
      <c r="O48" s="462">
        <v>44531</v>
      </c>
      <c r="P48" s="436">
        <v>44562</v>
      </c>
      <c r="Q48" s="435">
        <v>44593</v>
      </c>
      <c r="R48" s="436">
        <v>44621</v>
      </c>
      <c r="S48" s="436">
        <v>44652</v>
      </c>
      <c r="T48" s="436">
        <v>44682</v>
      </c>
      <c r="U48" s="436">
        <v>44713</v>
      </c>
      <c r="V48" s="160"/>
      <c r="W48" s="160"/>
      <c r="X48" s="160"/>
      <c r="Y48" s="160"/>
      <c r="Z48" s="160"/>
    </row>
    <row r="49" spans="2:33" ht="19.5" customHeight="1" x14ac:dyDescent="0.3">
      <c r="B49" s="373" t="s">
        <v>447</v>
      </c>
      <c r="C49" s="429"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5212</v>
      </c>
      <c r="Q49" s="36">
        <f>[1]Sheet1!O$2</f>
        <v>5213</v>
      </c>
      <c r="R49" s="36">
        <f>[1]Sheet1!P$2</f>
        <v>5224</v>
      </c>
      <c r="S49" s="36">
        <f>[1]Sheet1!Q$2</f>
        <v>5218</v>
      </c>
      <c r="T49" s="36">
        <f>[1]Sheet1!R$2</f>
        <v>5254</v>
      </c>
      <c r="U49" s="36">
        <f>[1]Sheet1!S$2</f>
        <v>5253</v>
      </c>
      <c r="V49" s="160"/>
      <c r="W49" s="160"/>
      <c r="X49" s="160"/>
      <c r="Y49" s="160"/>
      <c r="Z49" s="160"/>
    </row>
    <row r="50" spans="2:33" ht="18" customHeight="1" x14ac:dyDescent="0.3">
      <c r="B50" s="276" t="s">
        <v>449</v>
      </c>
      <c r="C50" s="157"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14104</v>
      </c>
      <c r="U50" s="36">
        <f>[1]Sheet1!S$3</f>
        <v>14109</v>
      </c>
      <c r="V50" s="160"/>
      <c r="W50" s="160"/>
      <c r="X50" s="160"/>
      <c r="Y50" s="160"/>
      <c r="Z50" s="160"/>
      <c r="AG50" s="157"/>
    </row>
    <row r="51" spans="2:33" ht="19.5" customHeight="1" x14ac:dyDescent="0.3">
      <c r="B51" s="432" t="s">
        <v>451</v>
      </c>
      <c r="C51" s="268"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f>[1]Sheet1!Q$4</f>
        <v>319650</v>
      </c>
      <c r="T51" s="37">
        <f>[1]Sheet1!R$4</f>
        <v>317251</v>
      </c>
      <c r="U51" s="37">
        <f>[1]Sheet1!S$4</f>
        <v>0</v>
      </c>
      <c r="V51" s="160"/>
      <c r="W51" s="160"/>
      <c r="X51" s="160"/>
      <c r="Y51" s="160"/>
      <c r="Z51" s="160"/>
      <c r="AG51" s="157"/>
    </row>
    <row r="52" spans="2:33" ht="15.6" customHeight="1" x14ac:dyDescent="0.3">
      <c r="B52" s="284"/>
      <c r="C52" s="267"/>
      <c r="D52" s="267"/>
      <c r="E52" s="267"/>
      <c r="F52" s="267"/>
      <c r="G52" s="267"/>
      <c r="H52" s="160"/>
      <c r="I52" s="160"/>
      <c r="J52" s="160"/>
      <c r="Q52" s="467"/>
      <c r="R52" s="160"/>
      <c r="S52" s="160"/>
      <c r="T52" s="160"/>
      <c r="U52" s="160"/>
      <c r="V52" s="160"/>
      <c r="W52" s="160"/>
      <c r="X52" s="160"/>
      <c r="Y52" s="160"/>
      <c r="Z52" s="160"/>
      <c r="AG52" s="157"/>
    </row>
    <row r="53" spans="2:33" ht="12.75" customHeight="1" x14ac:dyDescent="0.3">
      <c r="AG53" s="157"/>
    </row>
    <row r="54" spans="2:33" x14ac:dyDescent="0.3">
      <c r="B54" s="947" t="s">
        <v>453</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G54" s="157"/>
    </row>
    <row r="55" spans="2:33" ht="9" customHeight="1" x14ac:dyDescent="0.3">
      <c r="B55" s="947"/>
      <c r="C55" s="947"/>
      <c r="D55" s="947"/>
      <c r="E55" s="947"/>
      <c r="F55" s="947"/>
      <c r="G55" s="947"/>
      <c r="H55" s="947"/>
      <c r="I55" s="947"/>
      <c r="J55" s="947"/>
      <c r="K55" s="947"/>
      <c r="L55" s="947"/>
      <c r="M55" s="947"/>
      <c r="N55" s="947"/>
      <c r="O55" s="947"/>
      <c r="P55" s="947"/>
      <c r="Q55" s="947"/>
      <c r="R55" s="947"/>
      <c r="S55" s="947"/>
      <c r="T55" s="947"/>
      <c r="U55" s="947"/>
      <c r="V55" s="947"/>
      <c r="W55" s="947"/>
      <c r="X55" s="947"/>
      <c r="Y55" s="947"/>
      <c r="Z55" s="947"/>
      <c r="AA55" s="947"/>
      <c r="AB55" s="947"/>
      <c r="AC55" s="947"/>
      <c r="AG55" s="157"/>
    </row>
    <row r="56" spans="2:33" ht="14.25" customHeight="1" x14ac:dyDescent="0.3">
      <c r="B56" s="1010" t="s">
        <v>454</v>
      </c>
      <c r="C56" s="1010"/>
      <c r="D56" s="1010"/>
      <c r="E56" s="1010"/>
      <c r="F56" s="1010"/>
      <c r="G56" s="1010"/>
      <c r="H56" s="1010"/>
      <c r="I56" s="1010"/>
      <c r="J56" s="1010"/>
      <c r="K56" s="1010"/>
      <c r="L56" s="1010"/>
      <c r="M56" s="1010"/>
      <c r="N56" s="1010"/>
      <c r="O56" s="1010"/>
      <c r="P56" s="1010"/>
      <c r="Q56" s="1010"/>
      <c r="R56" s="1010"/>
      <c r="S56" s="1010"/>
      <c r="T56" s="1010"/>
      <c r="U56" s="1010"/>
      <c r="V56" s="1010"/>
      <c r="W56" s="1010"/>
      <c r="X56" s="1010"/>
      <c r="Y56" s="1010"/>
      <c r="Z56" s="1010"/>
      <c r="AA56" s="1010"/>
      <c r="AB56" s="1010"/>
      <c r="AC56" s="1010"/>
      <c r="AG56" s="157"/>
    </row>
    <row r="57" spans="2:33" x14ac:dyDescent="0.3">
      <c r="B57" s="1010"/>
      <c r="C57" s="1010"/>
      <c r="D57" s="1010"/>
      <c r="E57" s="1010"/>
      <c r="F57" s="1010"/>
      <c r="G57" s="1010"/>
      <c r="H57" s="1010"/>
      <c r="I57" s="1010"/>
      <c r="J57" s="1010"/>
      <c r="K57" s="1010"/>
      <c r="L57" s="1010"/>
      <c r="M57" s="1010"/>
      <c r="N57" s="1010"/>
      <c r="O57" s="1010"/>
      <c r="P57" s="1010"/>
      <c r="Q57" s="1010"/>
      <c r="R57" s="1010"/>
      <c r="S57" s="1010"/>
      <c r="T57" s="1010"/>
      <c r="U57" s="1010"/>
      <c r="V57" s="1010"/>
      <c r="W57" s="1010"/>
      <c r="X57" s="1010"/>
      <c r="Y57" s="1010"/>
      <c r="Z57" s="1010"/>
      <c r="AA57" s="1010"/>
      <c r="AB57" s="1010"/>
      <c r="AC57" s="1010"/>
      <c r="AG57" s="157"/>
    </row>
    <row r="58" spans="2:33" ht="8.6999999999999993" customHeight="1" x14ac:dyDescent="0.3">
      <c r="B58" s="1010"/>
      <c r="C58" s="1010"/>
      <c r="D58" s="1010"/>
      <c r="E58" s="1010"/>
      <c r="F58" s="1010"/>
      <c r="G58" s="1010"/>
      <c r="H58" s="1010"/>
      <c r="I58" s="1010"/>
      <c r="J58" s="1010"/>
      <c r="K58" s="1010"/>
      <c r="L58" s="1010"/>
      <c r="M58" s="1010"/>
      <c r="N58" s="1010"/>
      <c r="O58" s="1010"/>
      <c r="P58" s="1010"/>
      <c r="Q58" s="1010"/>
      <c r="R58" s="1010"/>
      <c r="S58" s="1010"/>
      <c r="T58" s="1010"/>
      <c r="U58" s="1010"/>
      <c r="V58" s="1010"/>
      <c r="W58" s="1010"/>
      <c r="X58" s="1010"/>
      <c r="Y58" s="1010"/>
      <c r="Z58" s="1010"/>
      <c r="AA58" s="1010"/>
      <c r="AB58" s="1010"/>
      <c r="AC58" s="1010"/>
      <c r="AG58" s="157"/>
    </row>
    <row r="59" spans="2:33" ht="12.75" customHeight="1" x14ac:dyDescent="0.3">
      <c r="AG59" s="157"/>
    </row>
    <row r="60" spans="2:33" ht="30.75" customHeight="1" x14ac:dyDescent="0.3">
      <c r="B60" s="980" t="s">
        <v>324</v>
      </c>
      <c r="C60" s="959"/>
      <c r="D60" s="957" t="s">
        <v>325</v>
      </c>
      <c r="E60" s="958"/>
      <c r="F60" s="958"/>
      <c r="G60" s="958"/>
      <c r="H60" s="958"/>
      <c r="I60" s="958"/>
      <c r="J60" s="958"/>
      <c r="K60" s="958"/>
      <c r="L60" s="958"/>
      <c r="M60" s="958"/>
      <c r="N60" s="958"/>
      <c r="O60" s="958"/>
      <c r="P60" s="958"/>
      <c r="Q60" s="958"/>
      <c r="R60" s="988"/>
      <c r="S60" s="989" t="s">
        <v>326</v>
      </c>
      <c r="T60" s="990"/>
      <c r="U60" s="990"/>
      <c r="V60" s="990"/>
      <c r="W60" s="990"/>
      <c r="X60" s="990"/>
      <c r="Y60" s="990"/>
      <c r="Z60" s="990"/>
      <c r="AA60" s="990"/>
      <c r="AB60" s="990"/>
      <c r="AC60" s="991"/>
      <c r="AG60" s="157"/>
    </row>
    <row r="61" spans="2:33" x14ac:dyDescent="0.3">
      <c r="B61" s="981"/>
      <c r="C61" s="1011"/>
      <c r="D61" s="201">
        <v>2018</v>
      </c>
      <c r="E61" s="948">
        <v>2019</v>
      </c>
      <c r="F61" s="949"/>
      <c r="G61" s="949"/>
      <c r="H61" s="956"/>
      <c r="I61" s="948">
        <v>2020</v>
      </c>
      <c r="J61" s="949"/>
      <c r="K61" s="949"/>
      <c r="L61" s="949"/>
      <c r="M61" s="948">
        <v>2021</v>
      </c>
      <c r="N61" s="949"/>
      <c r="O61" s="949"/>
      <c r="P61" s="956"/>
      <c r="Q61" s="986">
        <v>2022</v>
      </c>
      <c r="R61" s="987"/>
      <c r="S61" s="295"/>
      <c r="T61" s="296"/>
      <c r="U61" s="983">
        <v>2023</v>
      </c>
      <c r="V61" s="984"/>
      <c r="W61" s="984"/>
      <c r="X61" s="984"/>
      <c r="Y61" s="983">
        <v>2024</v>
      </c>
      <c r="Z61" s="984"/>
      <c r="AA61" s="984"/>
      <c r="AB61" s="985"/>
      <c r="AC61" s="262">
        <v>2025</v>
      </c>
      <c r="AG61" s="157"/>
    </row>
    <row r="62" spans="2:33" x14ac:dyDescent="0.3">
      <c r="B62" s="993"/>
      <c r="C62" s="1012"/>
      <c r="D62" s="155" t="s">
        <v>327</v>
      </c>
      <c r="E62" s="155" t="s">
        <v>328</v>
      </c>
      <c r="F62" s="154" t="s">
        <v>329</v>
      </c>
      <c r="G62" s="154" t="s">
        <v>238</v>
      </c>
      <c r="H62" s="205" t="s">
        <v>327</v>
      </c>
      <c r="I62" s="154" t="s">
        <v>328</v>
      </c>
      <c r="J62" s="154" t="s">
        <v>329</v>
      </c>
      <c r="K62" s="154" t="s">
        <v>238</v>
      </c>
      <c r="L62" s="154" t="s">
        <v>327</v>
      </c>
      <c r="M62" s="155" t="s">
        <v>328</v>
      </c>
      <c r="N62" s="154" t="s">
        <v>329</v>
      </c>
      <c r="O62" s="154" t="s">
        <v>238</v>
      </c>
      <c r="P62" s="205" t="s">
        <v>327</v>
      </c>
      <c r="Q62" s="155" t="s">
        <v>328</v>
      </c>
      <c r="R62" s="205" t="s">
        <v>329</v>
      </c>
      <c r="S62" s="362" t="s">
        <v>238</v>
      </c>
      <c r="T62" s="381" t="s">
        <v>327</v>
      </c>
      <c r="U62" s="361" t="s">
        <v>328</v>
      </c>
      <c r="V62" s="362" t="s">
        <v>329</v>
      </c>
      <c r="W62" s="362" t="s">
        <v>238</v>
      </c>
      <c r="X62" s="362" t="s">
        <v>327</v>
      </c>
      <c r="Y62" s="361" t="s">
        <v>328</v>
      </c>
      <c r="Z62" s="272" t="s">
        <v>329</v>
      </c>
      <c r="AA62" s="362" t="s">
        <v>238</v>
      </c>
      <c r="AB62" s="381" t="s">
        <v>327</v>
      </c>
      <c r="AC62" s="398" t="s">
        <v>328</v>
      </c>
      <c r="AG62" s="157"/>
    </row>
    <row r="63" spans="2:33" x14ac:dyDescent="0.3">
      <c r="B63" s="458" t="s">
        <v>134</v>
      </c>
      <c r="C63" s="285"/>
      <c r="D63" s="266"/>
      <c r="E63" s="285"/>
      <c r="F63" s="285"/>
      <c r="G63" s="285"/>
      <c r="H63" s="434">
        <f>Grants!H106</f>
        <v>70.894000000000005</v>
      </c>
      <c r="I63" s="434">
        <f>Grants!I106</f>
        <v>72.774000000000001</v>
      </c>
      <c r="J63" s="434">
        <f>Grants!J106</f>
        <v>75.275000000000006</v>
      </c>
      <c r="K63" s="434">
        <f>Grants!K106</f>
        <v>78.766999999999996</v>
      </c>
      <c r="L63" s="434">
        <f>Grants!L106</f>
        <v>76.995000000000005</v>
      </c>
      <c r="M63" s="434">
        <f>Grants!M106</f>
        <v>75.03</v>
      </c>
      <c r="N63" s="434">
        <f>Grants!N106</f>
        <v>77.703999999999994</v>
      </c>
      <c r="O63" s="434">
        <f>Grants!O106</f>
        <v>72.766999999999996</v>
      </c>
      <c r="P63" s="434">
        <f>Grants!P106</f>
        <v>74.768000000000001</v>
      </c>
      <c r="Q63" s="434">
        <f>Grants!Q106</f>
        <v>76.48</v>
      </c>
      <c r="R63" s="480">
        <f>Grants!R106</f>
        <v>75.34842857142857</v>
      </c>
      <c r="S63" s="448">
        <f>Grants!S106</f>
        <v>75.34842857142857</v>
      </c>
      <c r="T63" s="448">
        <f>Grants!T106</f>
        <v>75.34842857142857</v>
      </c>
      <c r="U63" s="448">
        <f>Grants!U106</f>
        <v>75.34842857142857</v>
      </c>
      <c r="V63" s="448">
        <f>Grants!V106</f>
        <v>75.34842857142857</v>
      </c>
      <c r="W63" s="448">
        <f>Grants!W106</f>
        <v>75.34842857142857</v>
      </c>
      <c r="X63" s="448">
        <f>Grants!X106</f>
        <v>75.34842857142857</v>
      </c>
      <c r="Y63" s="448">
        <f>Grants!Y106</f>
        <v>75.34842857142857</v>
      </c>
      <c r="Z63" s="448">
        <f>Grants!Z106</f>
        <v>75.34842857142857</v>
      </c>
      <c r="AA63" s="448">
        <f>Grants!AA106</f>
        <v>75.34842857142857</v>
      </c>
      <c r="AB63" s="448">
        <f>Grants!AB106</f>
        <v>75.34842857142857</v>
      </c>
      <c r="AC63" s="437">
        <f>Grants!AC106</f>
        <v>75.34842857142857</v>
      </c>
    </row>
    <row r="64" spans="2:33" x14ac:dyDescent="0.3">
      <c r="B64" s="188" t="s">
        <v>192</v>
      </c>
      <c r="C64" s="183"/>
      <c r="D64" s="439"/>
      <c r="E64" s="183"/>
      <c r="F64" s="183"/>
      <c r="G64" s="183"/>
      <c r="H64" s="150">
        <f>Grants!H75</f>
        <v>208.59399999999999</v>
      </c>
      <c r="I64" s="150">
        <f>Grants!I75</f>
        <v>212.48200000000003</v>
      </c>
      <c r="J64" s="150">
        <f>Grants!J75</f>
        <v>334.61</v>
      </c>
      <c r="K64" s="150">
        <f>Grants!K75</f>
        <v>301.78300000000002</v>
      </c>
      <c r="L64" s="150">
        <f>Grants!L75</f>
        <v>280.16300000000001</v>
      </c>
      <c r="M64" s="150">
        <f>Grants!M75</f>
        <v>310.15499999999997</v>
      </c>
      <c r="N64" s="150">
        <f>Grants!N75</f>
        <v>346.31500000000005</v>
      </c>
      <c r="O64" s="150">
        <f>Grants!O75</f>
        <v>359.12299999999988</v>
      </c>
      <c r="P64" s="150">
        <f>Grants!P75</f>
        <v>393.11685200000005</v>
      </c>
      <c r="Q64" s="150">
        <f>Grants!Q75</f>
        <v>428.87827479999993</v>
      </c>
      <c r="R64" s="309">
        <f>Grants!R75</f>
        <v>495.46903199999991</v>
      </c>
      <c r="S64" s="269">
        <f>Grants!S75</f>
        <v>460.58742212404701</v>
      </c>
      <c r="T64" s="269">
        <f>Grants!T75</f>
        <v>460.97907392966141</v>
      </c>
      <c r="U64" s="269">
        <f>Grants!U75</f>
        <v>455.74955330501928</v>
      </c>
      <c r="V64" s="269">
        <f>Grants!V75</f>
        <v>460.16807066666655</v>
      </c>
      <c r="W64" s="269">
        <f>Grants!W75</f>
        <v>459.11472744600201</v>
      </c>
      <c r="X64" s="269">
        <f>Grants!X75</f>
        <v>458.30143968684786</v>
      </c>
      <c r="Y64" s="269">
        <f>Grants!Y75</f>
        <v>447.01374106922003</v>
      </c>
      <c r="Z64" s="269">
        <f>Grants!Z75</f>
        <v>427.27515273333313</v>
      </c>
      <c r="AA64" s="269">
        <f>Grants!AA75</f>
        <v>431.85988430384208</v>
      </c>
      <c r="AB64" s="269">
        <f>Grants!AB75</f>
        <v>435.66674361432172</v>
      </c>
      <c r="AC64" s="270">
        <f>Grants!AC75</f>
        <v>418.96289123198869</v>
      </c>
    </row>
    <row r="65" spans="2:58" x14ac:dyDescent="0.3">
      <c r="B65" s="460" t="s">
        <v>455</v>
      </c>
      <c r="C65" s="433"/>
      <c r="D65" s="432"/>
      <c r="E65" s="433"/>
      <c r="F65" s="433"/>
      <c r="G65" s="433"/>
      <c r="H65" s="291">
        <f>H63+H64</f>
        <v>279.488</v>
      </c>
      <c r="I65" s="291">
        <f t="shared" ref="I65:AC65" si="6">I63+I64</f>
        <v>285.25600000000003</v>
      </c>
      <c r="J65" s="291">
        <f t="shared" si="6"/>
        <v>409.88499999999999</v>
      </c>
      <c r="K65" s="291">
        <f t="shared" si="6"/>
        <v>380.55</v>
      </c>
      <c r="L65" s="291">
        <f t="shared" si="6"/>
        <v>357.15800000000002</v>
      </c>
      <c r="M65" s="291">
        <f t="shared" si="6"/>
        <v>385.18499999999995</v>
      </c>
      <c r="N65" s="291">
        <f t="shared" si="6"/>
        <v>424.01900000000006</v>
      </c>
      <c r="O65" s="291">
        <f t="shared" si="6"/>
        <v>431.88999999999987</v>
      </c>
      <c r="P65" s="291">
        <f t="shared" si="6"/>
        <v>467.88485200000002</v>
      </c>
      <c r="Q65" s="291">
        <f t="shared" si="6"/>
        <v>505.35827479999995</v>
      </c>
      <c r="R65" s="310">
        <f t="shared" si="6"/>
        <v>570.81746057142846</v>
      </c>
      <c r="S65" s="271">
        <f t="shared" si="6"/>
        <v>535.93585069547555</v>
      </c>
      <c r="T65" s="271">
        <f t="shared" si="6"/>
        <v>536.32750250108995</v>
      </c>
      <c r="U65" s="271">
        <f t="shared" si="6"/>
        <v>531.09798187644788</v>
      </c>
      <c r="V65" s="271">
        <f t="shared" si="6"/>
        <v>535.51649923809509</v>
      </c>
      <c r="W65" s="271">
        <f t="shared" si="6"/>
        <v>534.46315601743061</v>
      </c>
      <c r="X65" s="271">
        <f t="shared" si="6"/>
        <v>533.64986825827646</v>
      </c>
      <c r="Y65" s="271">
        <f t="shared" si="6"/>
        <v>522.36216964064863</v>
      </c>
      <c r="Z65" s="271">
        <f t="shared" si="6"/>
        <v>502.62358130476173</v>
      </c>
      <c r="AA65" s="271">
        <f t="shared" si="6"/>
        <v>507.20831287527062</v>
      </c>
      <c r="AB65" s="271">
        <f t="shared" si="6"/>
        <v>511.01517218575032</v>
      </c>
      <c r="AC65" s="282">
        <f t="shared" si="6"/>
        <v>494.31131980341729</v>
      </c>
    </row>
    <row r="66" spans="2:58" x14ac:dyDescent="0.3">
      <c r="Q66" s="157"/>
      <c r="AM66" s="1016" t="s">
        <v>456</v>
      </c>
      <c r="AN66" s="1017"/>
      <c r="AO66" s="957" t="s">
        <v>325</v>
      </c>
      <c r="AP66" s="958"/>
      <c r="AQ66" s="958"/>
      <c r="AR66" s="958"/>
      <c r="AS66" s="958"/>
      <c r="AT66" s="988"/>
      <c r="AU66" s="1013" t="s">
        <v>326</v>
      </c>
      <c r="AV66" s="1013"/>
      <c r="AW66" s="1013"/>
      <c r="AX66" s="1013"/>
      <c r="AY66" s="1013"/>
      <c r="AZ66" s="1013"/>
      <c r="BA66" s="1013"/>
      <c r="BB66" s="1013"/>
    </row>
    <row r="67" spans="2:58" x14ac:dyDescent="0.3">
      <c r="Q67" s="253" t="s">
        <v>328</v>
      </c>
      <c r="R67" s="362" t="s">
        <v>329</v>
      </c>
      <c r="S67" s="362" t="s">
        <v>238</v>
      </c>
      <c r="T67" s="362" t="s">
        <v>327</v>
      </c>
      <c r="U67" s="361" t="s">
        <v>328</v>
      </c>
      <c r="V67" s="362" t="s">
        <v>329</v>
      </c>
      <c r="W67" s="362" t="s">
        <v>238</v>
      </c>
      <c r="X67" s="362" t="s">
        <v>327</v>
      </c>
      <c r="Y67" s="361" t="s">
        <v>328</v>
      </c>
      <c r="Z67" s="272" t="s">
        <v>329</v>
      </c>
      <c r="AA67" s="362" t="s">
        <v>238</v>
      </c>
      <c r="AB67" s="381" t="s">
        <v>327</v>
      </c>
      <c r="AC67" s="398" t="s">
        <v>328</v>
      </c>
      <c r="AM67" s="1018"/>
      <c r="AN67" s="1019"/>
      <c r="AO67" s="464">
        <v>2019</v>
      </c>
      <c r="AP67" s="948">
        <v>2020</v>
      </c>
      <c r="AQ67" s="949"/>
      <c r="AR67" s="949"/>
      <c r="AS67" s="956"/>
      <c r="AT67" s="464">
        <v>2021</v>
      </c>
      <c r="AU67" s="983">
        <v>2021</v>
      </c>
      <c r="AV67" s="984"/>
      <c r="AW67" s="985"/>
      <c r="AX67" s="983">
        <v>2022</v>
      </c>
      <c r="AY67" s="984"/>
      <c r="AZ67" s="984"/>
      <c r="BA67" s="985"/>
      <c r="BB67" s="262">
        <v>2023</v>
      </c>
    </row>
    <row r="68" spans="2:58" x14ac:dyDescent="0.3">
      <c r="Q68" s="478">
        <v>76.48</v>
      </c>
      <c r="R68" s="448">
        <v>75.34842857142857</v>
      </c>
      <c r="S68" s="448">
        <v>75.34842857142857</v>
      </c>
      <c r="T68" s="448">
        <v>75.34842857142857</v>
      </c>
      <c r="U68" s="448">
        <v>75.34842857142857</v>
      </c>
      <c r="V68" s="448">
        <v>75.34842857142857</v>
      </c>
      <c r="W68" s="448">
        <v>75.34842857142857</v>
      </c>
      <c r="X68" s="448">
        <v>75.34842857142857</v>
      </c>
      <c r="Y68" s="448">
        <v>75.34842857142857</v>
      </c>
      <c r="Z68" s="448">
        <v>75.34842857142857</v>
      </c>
      <c r="AA68" s="448">
        <v>75.34842857142857</v>
      </c>
      <c r="AB68" s="448">
        <v>75.34842857142857</v>
      </c>
      <c r="AC68" s="437">
        <v>75.34842857142857</v>
      </c>
      <c r="AM68" s="1018"/>
      <c r="AN68" s="1019"/>
      <c r="AO68" s="440" t="s">
        <v>327</v>
      </c>
      <c r="AP68" s="155" t="s">
        <v>328</v>
      </c>
      <c r="AQ68" s="154" t="s">
        <v>329</v>
      </c>
      <c r="AR68" s="154" t="s">
        <v>238</v>
      </c>
      <c r="AS68" s="205" t="s">
        <v>327</v>
      </c>
      <c r="AT68" s="440" t="s">
        <v>328</v>
      </c>
      <c r="AU68" s="361" t="s">
        <v>329</v>
      </c>
      <c r="AV68" s="362" t="s">
        <v>238</v>
      </c>
      <c r="AW68" s="381" t="s">
        <v>327</v>
      </c>
      <c r="AX68" s="361" t="s">
        <v>328</v>
      </c>
      <c r="AY68" s="362" t="s">
        <v>329</v>
      </c>
      <c r="AZ68" s="362" t="s">
        <v>238</v>
      </c>
      <c r="BA68" s="381" t="s">
        <v>327</v>
      </c>
      <c r="BB68" s="398" t="s">
        <v>328</v>
      </c>
    </row>
    <row r="69" spans="2:58" ht="27.6" customHeight="1" x14ac:dyDescent="0.3">
      <c r="Q69" s="309">
        <v>428.87827479999993</v>
      </c>
      <c r="R69" s="269">
        <v>440.82899417472106</v>
      </c>
      <c r="S69" s="269">
        <v>443.16378910828843</v>
      </c>
      <c r="T69" s="269">
        <v>449.456681310205</v>
      </c>
      <c r="U69" s="269">
        <v>444.1136258666665</v>
      </c>
      <c r="V69" s="269">
        <v>448.41748970468939</v>
      </c>
      <c r="W69" s="269">
        <v>447.24836323261991</v>
      </c>
      <c r="X69" s="269">
        <v>446.31815136261321</v>
      </c>
      <c r="Y69" s="269">
        <v>434.91237653333314</v>
      </c>
      <c r="Z69" s="269">
        <v>415.05454853287694</v>
      </c>
      <c r="AA69" s="269">
        <v>419.51886552192474</v>
      </c>
      <c r="AB69" s="269">
        <v>423.20412375711771</v>
      </c>
      <c r="AC69" s="270">
        <v>406.37747211466649</v>
      </c>
      <c r="AM69" s="458" t="s">
        <v>457</v>
      </c>
      <c r="AN69" s="451"/>
      <c r="AO69" s="459">
        <v>4.8</v>
      </c>
      <c r="AP69" s="434">
        <v>3.9</v>
      </c>
      <c r="AQ69" s="434">
        <v>3.2</v>
      </c>
      <c r="AR69" s="434">
        <v>3.8</v>
      </c>
      <c r="AS69" s="434">
        <v>3.7</v>
      </c>
      <c r="AT69" s="434">
        <v>3.7</v>
      </c>
      <c r="AU69" s="465">
        <v>3.7</v>
      </c>
      <c r="AV69" s="448">
        <v>3.7</v>
      </c>
      <c r="AW69" s="448">
        <v>3.8</v>
      </c>
      <c r="AX69" s="448">
        <v>3.8</v>
      </c>
      <c r="AY69" s="448">
        <v>3.9</v>
      </c>
      <c r="AZ69" s="448">
        <v>3.9</v>
      </c>
      <c r="BA69" s="448">
        <v>4</v>
      </c>
      <c r="BB69" s="437">
        <v>4</v>
      </c>
    </row>
    <row r="70" spans="2:58" ht="27.6" customHeight="1" x14ac:dyDescent="0.3">
      <c r="Q70" s="310">
        <v>505.35827479999995</v>
      </c>
      <c r="R70" s="271">
        <v>516.17742274614966</v>
      </c>
      <c r="S70" s="271">
        <v>518.51221767971697</v>
      </c>
      <c r="T70" s="271">
        <v>524.8051098816336</v>
      </c>
      <c r="U70" s="271">
        <v>519.46205443809504</v>
      </c>
      <c r="V70" s="271">
        <v>523.76591827611799</v>
      </c>
      <c r="W70" s="271">
        <v>522.59679180404851</v>
      </c>
      <c r="X70" s="271">
        <v>521.66657993404181</v>
      </c>
      <c r="Y70" s="271">
        <v>510.26080510476174</v>
      </c>
      <c r="Z70" s="271">
        <v>490.40297710430548</v>
      </c>
      <c r="AA70" s="271">
        <v>494.86729409335328</v>
      </c>
      <c r="AB70" s="271">
        <v>498.55255232854631</v>
      </c>
      <c r="AC70" s="282">
        <v>481.72590068609509</v>
      </c>
      <c r="AM70" s="413" t="s">
        <v>458</v>
      </c>
      <c r="AN70" s="267"/>
      <c r="AO70" s="457">
        <v>3.3969999999999998</v>
      </c>
      <c r="AP70" s="150">
        <v>4.1660000000000004</v>
      </c>
      <c r="AQ70" s="150">
        <v>-7.6660000000000004</v>
      </c>
      <c r="AR70" s="150">
        <v>-0.84299999999999997</v>
      </c>
      <c r="AS70" s="150">
        <v>2.097</v>
      </c>
      <c r="AT70" s="150">
        <v>9.5879999999999992</v>
      </c>
      <c r="AU70" s="293">
        <v>14.488</v>
      </c>
      <c r="AV70" s="269">
        <v>9.7850000000000001</v>
      </c>
      <c r="AW70" s="269">
        <v>5.202</v>
      </c>
      <c r="AX70" s="269">
        <v>5.4939999999999998</v>
      </c>
      <c r="AY70" s="269">
        <v>5.7560000000000002</v>
      </c>
      <c r="AZ70" s="269">
        <v>4.133</v>
      </c>
      <c r="BA70" s="269">
        <v>3.5270000000000001</v>
      </c>
      <c r="BB70" s="270">
        <v>3.488</v>
      </c>
    </row>
    <row r="71" spans="2:58" x14ac:dyDescent="0.3">
      <c r="AM71" s="157" t="s">
        <v>459</v>
      </c>
      <c r="AO71" s="150">
        <f>AO70</f>
        <v>3.3969999999999998</v>
      </c>
      <c r="AP71" s="150">
        <f t="shared" ref="AP71:AT71" si="7">AP70</f>
        <v>4.1660000000000004</v>
      </c>
      <c r="AQ71" s="150">
        <f t="shared" si="7"/>
        <v>-7.6660000000000004</v>
      </c>
      <c r="AR71" s="150">
        <f t="shared" si="7"/>
        <v>-0.84299999999999997</v>
      </c>
      <c r="AS71" s="150">
        <f t="shared" si="7"/>
        <v>2.097</v>
      </c>
      <c r="AT71" s="150">
        <f t="shared" si="7"/>
        <v>9.5879999999999992</v>
      </c>
      <c r="AU71" s="456">
        <f t="shared" ref="AU71:BB71" si="8">N32</f>
        <v>9</v>
      </c>
      <c r="AV71" s="456">
        <f t="shared" si="8"/>
        <v>10</v>
      </c>
      <c r="AW71" s="456">
        <f t="shared" si="8"/>
        <v>10</v>
      </c>
      <c r="AX71" s="456">
        <f t="shared" si="8"/>
        <v>10.672333088448504</v>
      </c>
      <c r="AY71" s="456">
        <f t="shared" si="8"/>
        <v>10</v>
      </c>
      <c r="AZ71" s="456">
        <f t="shared" si="8"/>
        <v>9.5</v>
      </c>
      <c r="BA71" s="456">
        <f t="shared" si="8"/>
        <v>9</v>
      </c>
      <c r="BB71" s="456">
        <f t="shared" si="8"/>
        <v>8</v>
      </c>
    </row>
    <row r="72" spans="2:58" x14ac:dyDescent="0.3">
      <c r="AM72" s="1020" t="s">
        <v>460</v>
      </c>
      <c r="AN72" s="1021"/>
      <c r="AO72" s="457"/>
      <c r="AP72" s="150"/>
      <c r="AQ72" s="150"/>
      <c r="AR72" s="150"/>
      <c r="AS72" s="150"/>
      <c r="AT72" s="150"/>
      <c r="AU72" s="293"/>
      <c r="AV72" s="269"/>
      <c r="AW72" s="269"/>
      <c r="AX72" s="269"/>
      <c r="AY72" s="269"/>
      <c r="AZ72" s="269"/>
      <c r="BA72" s="269"/>
      <c r="BB72" s="270"/>
    </row>
    <row r="73" spans="2:58" ht="27.6" customHeight="1" x14ac:dyDescent="0.3">
      <c r="AM73" s="188" t="s">
        <v>461</v>
      </c>
      <c r="AN73" s="179"/>
      <c r="AO73" s="165">
        <v>2368</v>
      </c>
      <c r="AP73" s="160">
        <v>2391</v>
      </c>
      <c r="AQ73" s="160">
        <v>2410</v>
      </c>
      <c r="AR73" s="160">
        <v>2432</v>
      </c>
      <c r="AS73" s="160">
        <v>2455</v>
      </c>
      <c r="AT73" s="160">
        <v>2477</v>
      </c>
      <c r="AU73" s="447">
        <v>2500</v>
      </c>
      <c r="AV73" s="272">
        <v>2523</v>
      </c>
      <c r="AW73" s="272">
        <v>2546</v>
      </c>
      <c r="AX73" s="272">
        <v>2571</v>
      </c>
      <c r="AY73" s="272">
        <v>2595</v>
      </c>
      <c r="AZ73" s="272">
        <v>2621</v>
      </c>
      <c r="BA73" s="272">
        <v>2646</v>
      </c>
      <c r="BB73" s="254">
        <v>2672</v>
      </c>
    </row>
    <row r="74" spans="2:58" ht="27.6" customHeight="1" x14ac:dyDescent="0.3">
      <c r="AM74" s="188" t="s">
        <v>462</v>
      </c>
      <c r="AN74" s="179"/>
      <c r="AO74" s="289">
        <v>2357</v>
      </c>
      <c r="AP74" s="149">
        <v>2382</v>
      </c>
      <c r="AQ74" s="149">
        <v>2335</v>
      </c>
      <c r="AR74" s="149">
        <v>2330</v>
      </c>
      <c r="AS74" s="149">
        <v>2318</v>
      </c>
      <c r="AT74" s="149">
        <v>2339</v>
      </c>
      <c r="AU74" s="361">
        <v>2361</v>
      </c>
      <c r="AV74" s="362">
        <v>2379</v>
      </c>
      <c r="AW74" s="362">
        <v>2397</v>
      </c>
      <c r="AX74" s="362">
        <v>2417</v>
      </c>
      <c r="AY74" s="362">
        <v>2439</v>
      </c>
      <c r="AZ74" s="362">
        <v>2462</v>
      </c>
      <c r="BA74" s="362">
        <v>2486</v>
      </c>
      <c r="BB74" s="381">
        <v>2513</v>
      </c>
    </row>
    <row r="75" spans="2:58" ht="27.6" customHeight="1" x14ac:dyDescent="0.3">
      <c r="AM75" s="188" t="s">
        <v>463</v>
      </c>
      <c r="AN75" s="179"/>
      <c r="AO75" s="453">
        <v>2357.4</v>
      </c>
      <c r="AP75" s="442">
        <v>2381.6</v>
      </c>
      <c r="AQ75" s="442">
        <v>2334.5</v>
      </c>
      <c r="AR75" s="442">
        <v>2329.6</v>
      </c>
      <c r="AS75" s="442">
        <v>2341.6999999999998</v>
      </c>
      <c r="AT75" s="442">
        <v>2395.9</v>
      </c>
      <c r="AU75" s="444">
        <v>2478.4</v>
      </c>
      <c r="AV75" s="445">
        <v>2536.9</v>
      </c>
      <c r="AW75" s="445">
        <v>2569.3000000000002</v>
      </c>
      <c r="AX75" s="445">
        <v>2603.9</v>
      </c>
      <c r="AY75" s="445">
        <v>2640.6</v>
      </c>
      <c r="AZ75" s="445">
        <v>2667.4</v>
      </c>
      <c r="BA75" s="445">
        <v>2690.6</v>
      </c>
      <c r="BB75" s="446">
        <v>2713.8</v>
      </c>
      <c r="BC75" s="454"/>
      <c r="BD75" s="454"/>
      <c r="BE75" s="454"/>
      <c r="BF75" s="454"/>
    </row>
    <row r="76" spans="2:58" x14ac:dyDescent="0.3">
      <c r="AM76" s="1014" t="s">
        <v>464</v>
      </c>
      <c r="AN76" s="1015"/>
      <c r="AO76" s="289"/>
      <c r="AP76" s="149"/>
      <c r="AQ76" s="149"/>
      <c r="AR76" s="149"/>
      <c r="AS76" s="149"/>
      <c r="AT76" s="149"/>
      <c r="AU76" s="361"/>
      <c r="AV76" s="362"/>
      <c r="AW76" s="362"/>
      <c r="AX76" s="362"/>
      <c r="AY76" s="362"/>
      <c r="AZ76" s="362"/>
      <c r="BA76" s="362"/>
      <c r="BB76" s="381"/>
    </row>
    <row r="77" spans="2:58" ht="27.6" customHeight="1" x14ac:dyDescent="0.3">
      <c r="AM77" s="188" t="s">
        <v>461</v>
      </c>
      <c r="AN77" s="179"/>
      <c r="AO77" s="165">
        <f t="shared" ref="AO77:AV77" si="9">AO73-H65</f>
        <v>2088.5120000000002</v>
      </c>
      <c r="AP77" s="160">
        <f t="shared" si="9"/>
        <v>2105.7440000000001</v>
      </c>
      <c r="AQ77" s="160">
        <f t="shared" si="9"/>
        <v>2000.115</v>
      </c>
      <c r="AR77" s="160">
        <f t="shared" si="9"/>
        <v>2051.4499999999998</v>
      </c>
      <c r="AS77" s="160">
        <f t="shared" si="9"/>
        <v>2097.8420000000001</v>
      </c>
      <c r="AT77" s="160">
        <f t="shared" si="9"/>
        <v>2091.8150000000001</v>
      </c>
      <c r="AU77" s="447">
        <f t="shared" si="9"/>
        <v>2075.9809999999998</v>
      </c>
      <c r="AV77" s="272">
        <f t="shared" si="9"/>
        <v>2091.11</v>
      </c>
      <c r="AW77" s="272">
        <f t="shared" ref="AW77:BB77" si="10">AW73-P65</f>
        <v>2078.1151479999999</v>
      </c>
      <c r="AX77" s="272">
        <f t="shared" si="10"/>
        <v>2065.6417252000001</v>
      </c>
      <c r="AY77" s="272">
        <f t="shared" si="10"/>
        <v>2024.1825394285715</v>
      </c>
      <c r="AZ77" s="272">
        <f t="shared" si="10"/>
        <v>2085.0641493045246</v>
      </c>
      <c r="BA77" s="272">
        <f t="shared" si="10"/>
        <v>2109.6724974989102</v>
      </c>
      <c r="BB77" s="254">
        <f t="shared" si="10"/>
        <v>2140.9020181235519</v>
      </c>
    </row>
    <row r="78" spans="2:58" ht="27.6" customHeight="1" x14ac:dyDescent="0.3">
      <c r="AM78" s="188" t="s">
        <v>462</v>
      </c>
      <c r="AN78" s="179"/>
      <c r="AO78" s="165">
        <f t="shared" ref="AO78:AV78" si="11">AO74-H65</f>
        <v>2077.5120000000002</v>
      </c>
      <c r="AP78" s="160">
        <f t="shared" si="11"/>
        <v>2096.7440000000001</v>
      </c>
      <c r="AQ78" s="160">
        <f t="shared" si="11"/>
        <v>1925.115</v>
      </c>
      <c r="AR78" s="160">
        <f t="shared" si="11"/>
        <v>1949.45</v>
      </c>
      <c r="AS78" s="160">
        <f t="shared" si="11"/>
        <v>1960.8420000000001</v>
      </c>
      <c r="AT78" s="160">
        <f t="shared" si="11"/>
        <v>1953.8150000000001</v>
      </c>
      <c r="AU78" s="447">
        <f t="shared" si="11"/>
        <v>1936.981</v>
      </c>
      <c r="AV78" s="272">
        <f t="shared" si="11"/>
        <v>1947.1100000000001</v>
      </c>
      <c r="AW78" s="272">
        <f t="shared" ref="AW78:BB78" si="12">AW74-P65</f>
        <v>1929.1151479999999</v>
      </c>
      <c r="AX78" s="272">
        <f t="shared" si="12"/>
        <v>1911.6417252000001</v>
      </c>
      <c r="AY78" s="272">
        <f t="shared" si="12"/>
        <v>1868.1825394285715</v>
      </c>
      <c r="AZ78" s="272">
        <f t="shared" si="12"/>
        <v>1926.0641493045246</v>
      </c>
      <c r="BA78" s="272">
        <f t="shared" si="12"/>
        <v>1949.6724974989102</v>
      </c>
      <c r="BB78" s="254">
        <f t="shared" si="12"/>
        <v>1981.9020181235521</v>
      </c>
    </row>
    <row r="79" spans="2:58" ht="27.6" customHeight="1" x14ac:dyDescent="0.3">
      <c r="AM79" s="438" t="s">
        <v>463</v>
      </c>
      <c r="AN79" s="455"/>
      <c r="AO79" s="449">
        <f t="shared" ref="AO79:AU79" si="13">AO75-H65</f>
        <v>2077.9120000000003</v>
      </c>
      <c r="AP79" s="441">
        <f t="shared" si="13"/>
        <v>2096.3440000000001</v>
      </c>
      <c r="AQ79" s="441">
        <f t="shared" si="13"/>
        <v>1924.615</v>
      </c>
      <c r="AR79" s="441">
        <f t="shared" si="13"/>
        <v>1949.05</v>
      </c>
      <c r="AS79" s="441">
        <f t="shared" si="13"/>
        <v>1984.5419999999999</v>
      </c>
      <c r="AT79" s="441">
        <f t="shared" si="13"/>
        <v>2010.7150000000001</v>
      </c>
      <c r="AU79" s="450">
        <f t="shared" si="13"/>
        <v>2054.3809999999999</v>
      </c>
      <c r="AV79" s="275">
        <f t="shared" ref="AV79" si="14">AV75-O65</f>
        <v>2105.0100000000002</v>
      </c>
      <c r="AW79" s="275">
        <f t="shared" ref="AW79:BB79" si="15">AW75-P65</f>
        <v>2101.415148</v>
      </c>
      <c r="AX79" s="275">
        <f t="shared" si="15"/>
        <v>2098.5417252000002</v>
      </c>
      <c r="AY79" s="275">
        <f t="shared" si="15"/>
        <v>2069.7825394285715</v>
      </c>
      <c r="AZ79" s="275">
        <f t="shared" si="15"/>
        <v>2131.4641493045247</v>
      </c>
      <c r="BA79" s="275">
        <f t="shared" si="15"/>
        <v>2154.2724974989101</v>
      </c>
      <c r="BB79" s="422">
        <f t="shared" si="15"/>
        <v>2182.7020181235521</v>
      </c>
    </row>
  </sheetData>
  <mergeCells count="41">
    <mergeCell ref="AM76:AN76"/>
    <mergeCell ref="AM66:AN68"/>
    <mergeCell ref="I28:L28"/>
    <mergeCell ref="M28:P28"/>
    <mergeCell ref="M61:P61"/>
    <mergeCell ref="AM72:AN72"/>
    <mergeCell ref="Q28:R28"/>
    <mergeCell ref="Q61:R61"/>
    <mergeCell ref="D60:R60"/>
    <mergeCell ref="S60:AC60"/>
    <mergeCell ref="AX67:BA67"/>
    <mergeCell ref="U28:X28"/>
    <mergeCell ref="U61:X61"/>
    <mergeCell ref="Y28:AB28"/>
    <mergeCell ref="Y61:AB61"/>
    <mergeCell ref="B56:AC58"/>
    <mergeCell ref="B54:AC55"/>
    <mergeCell ref="B60:C62"/>
    <mergeCell ref="I61:L61"/>
    <mergeCell ref="E28:H28"/>
    <mergeCell ref="E61:H61"/>
    <mergeCell ref="AP67:AS67"/>
    <mergeCell ref="B27:C29"/>
    <mergeCell ref="AU66:BB66"/>
    <mergeCell ref="AU67:AW67"/>
    <mergeCell ref="B22:AC22"/>
    <mergeCell ref="B23:AC25"/>
    <mergeCell ref="AO66:AT66"/>
    <mergeCell ref="M7:P7"/>
    <mergeCell ref="Q7:R7"/>
    <mergeCell ref="D27:R27"/>
    <mergeCell ref="S27:AC27"/>
    <mergeCell ref="B1:AC1"/>
    <mergeCell ref="B6:C8"/>
    <mergeCell ref="E7:H7"/>
    <mergeCell ref="I7:L7"/>
    <mergeCell ref="U7:X7"/>
    <mergeCell ref="Y7:AB7"/>
    <mergeCell ref="B2:AC4"/>
    <mergeCell ref="D6:R6"/>
    <mergeCell ref="S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70" zoomScaleNormal="70" workbookViewId="0">
      <selection activeCell="R11" sqref="R11"/>
    </sheetView>
  </sheetViews>
  <sheetFormatPr defaultColWidth="11.5546875" defaultRowHeight="14.4" x14ac:dyDescent="0.3"/>
  <cols>
    <col min="2" max="2" width="49.44140625" customWidth="1"/>
    <col min="6" max="25" width="6.44140625" customWidth="1"/>
    <col min="27" max="27" width="10.109375" customWidth="1"/>
  </cols>
  <sheetData>
    <row r="1" spans="2:29" x14ac:dyDescent="0.3">
      <c r="B1" s="947" t="s">
        <v>52</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7" customHeight="1" x14ac:dyDescent="0.3">
      <c r="B2" s="979" t="s">
        <v>937</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2:29" ht="14.7" customHeight="1"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2:29" ht="5.7" customHeight="1"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2:29" ht="1.5" customHeight="1" x14ac:dyDescent="0.3">
      <c r="B5" s="979"/>
      <c r="C5" s="979"/>
      <c r="D5" s="979"/>
      <c r="E5" s="979"/>
      <c r="F5" s="979"/>
      <c r="G5" s="979"/>
      <c r="H5" s="979"/>
      <c r="I5" s="979"/>
      <c r="J5" s="979"/>
      <c r="K5" s="979"/>
      <c r="L5" s="979"/>
      <c r="M5" s="979"/>
      <c r="N5" s="979"/>
      <c r="O5" s="979"/>
      <c r="P5" s="979"/>
      <c r="Q5" s="979"/>
      <c r="R5" s="979"/>
      <c r="S5" s="979"/>
      <c r="T5" s="979"/>
      <c r="U5" s="979"/>
      <c r="V5" s="979"/>
      <c r="W5" s="979"/>
      <c r="X5" s="979"/>
      <c r="Y5" s="979"/>
      <c r="Z5" s="979"/>
      <c r="AA5" s="979"/>
      <c r="AB5" s="979"/>
      <c r="AC5" s="979"/>
    </row>
    <row r="6" spans="2:29" ht="14.7" customHeight="1" x14ac:dyDescent="0.3">
      <c r="B6" s="979"/>
      <c r="C6" s="979"/>
      <c r="D6" s="979"/>
      <c r="E6" s="979"/>
      <c r="F6" s="979"/>
      <c r="G6" s="979"/>
      <c r="H6" s="979"/>
      <c r="I6" s="979"/>
      <c r="J6" s="979"/>
      <c r="K6" s="979"/>
      <c r="L6" s="979"/>
      <c r="M6" s="979"/>
      <c r="N6" s="979"/>
      <c r="O6" s="979"/>
      <c r="P6" s="979"/>
      <c r="Q6" s="979"/>
      <c r="R6" s="979"/>
      <c r="S6" s="979"/>
      <c r="T6" s="979"/>
      <c r="U6" s="979"/>
      <c r="V6" s="979"/>
      <c r="W6" s="979"/>
      <c r="X6" s="979"/>
      <c r="Y6" s="979"/>
      <c r="Z6" s="979"/>
      <c r="AA6" s="979"/>
      <c r="AB6" s="979"/>
      <c r="AC6" s="979"/>
    </row>
    <row r="7" spans="2:29" ht="33.75" customHeight="1" x14ac:dyDescent="0.3">
      <c r="B7" s="71"/>
      <c r="C7" s="71"/>
      <c r="D7" s="71"/>
      <c r="E7" s="71"/>
      <c r="F7" s="71"/>
      <c r="G7" s="71"/>
      <c r="H7" s="71"/>
      <c r="I7" s="71"/>
      <c r="J7" s="71"/>
      <c r="K7" s="71"/>
      <c r="L7" s="71"/>
      <c r="M7" s="71"/>
      <c r="N7" s="71"/>
      <c r="O7" s="71"/>
      <c r="P7" s="71"/>
      <c r="Q7" s="71"/>
      <c r="R7" s="71"/>
      <c r="S7" s="71"/>
      <c r="T7" s="71"/>
      <c r="U7" s="71"/>
      <c r="V7" s="71"/>
      <c r="W7" s="71"/>
      <c r="X7" s="71"/>
      <c r="Y7" s="71"/>
    </row>
    <row r="8" spans="2:29" ht="14.7" customHeight="1" x14ac:dyDescent="0.3">
      <c r="B8" s="980" t="s">
        <v>465</v>
      </c>
      <c r="C8" s="960"/>
      <c r="D8" s="957" t="s">
        <v>325</v>
      </c>
      <c r="E8" s="958"/>
      <c r="F8" s="958"/>
      <c r="G8" s="958"/>
      <c r="H8" s="958"/>
      <c r="I8" s="958"/>
      <c r="J8" s="958"/>
      <c r="K8" s="958"/>
      <c r="L8" s="958"/>
      <c r="M8" s="958"/>
      <c r="N8" s="958"/>
      <c r="O8" s="958"/>
      <c r="P8" s="958"/>
      <c r="Q8" s="958"/>
      <c r="R8" s="958"/>
      <c r="S8" s="990" t="s">
        <v>326</v>
      </c>
      <c r="T8" s="990"/>
      <c r="U8" s="990"/>
      <c r="V8" s="990"/>
      <c r="W8" s="990"/>
      <c r="X8" s="990"/>
      <c r="Y8" s="990"/>
      <c r="Z8" s="990"/>
      <c r="AA8" s="990"/>
      <c r="AB8" s="990"/>
      <c r="AC8" s="991"/>
    </row>
    <row r="9" spans="2:29" x14ac:dyDescent="0.3">
      <c r="B9" s="981"/>
      <c r="C9" s="982"/>
      <c r="D9" s="155">
        <v>2018</v>
      </c>
      <c r="E9" s="995">
        <v>2019</v>
      </c>
      <c r="F9" s="996"/>
      <c r="G9" s="996"/>
      <c r="H9" s="1003"/>
      <c r="I9" s="995">
        <v>2020</v>
      </c>
      <c r="J9" s="996"/>
      <c r="K9" s="996"/>
      <c r="L9" s="996"/>
      <c r="M9" s="995">
        <v>2021</v>
      </c>
      <c r="N9" s="996"/>
      <c r="O9" s="996"/>
      <c r="P9" s="996"/>
      <c r="Q9" s="986">
        <v>2022</v>
      </c>
      <c r="R9" s="987"/>
      <c r="S9" s="295"/>
      <c r="T9" s="296"/>
      <c r="U9" s="983">
        <v>2023</v>
      </c>
      <c r="V9" s="984"/>
      <c r="W9" s="984"/>
      <c r="X9" s="984"/>
      <c r="Y9" s="983">
        <v>2024</v>
      </c>
      <c r="Z9" s="984"/>
      <c r="AA9" s="984"/>
      <c r="AB9" s="985"/>
      <c r="AC9" s="262">
        <v>2025</v>
      </c>
    </row>
    <row r="10" spans="2:29" x14ac:dyDescent="0.3">
      <c r="B10" s="993"/>
      <c r="C10" s="994"/>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78" t="s">
        <v>327</v>
      </c>
      <c r="Q10" s="176" t="s">
        <v>328</v>
      </c>
      <c r="R10" s="158"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
      <c r="B11" s="482" t="s">
        <v>943</v>
      </c>
      <c r="C11" s="71" t="s">
        <v>589</v>
      </c>
      <c r="D11" s="483"/>
      <c r="E11" s="484"/>
      <c r="F11" s="515">
        <v>60.5</v>
      </c>
      <c r="G11" s="515">
        <v>81.400000000000006</v>
      </c>
      <c r="H11" s="515">
        <f>'Haver Pivoted'!GS42</f>
        <v>82.2</v>
      </c>
      <c r="I11" s="515">
        <f>'Haver Pivoted'!GT42</f>
        <v>80.3</v>
      </c>
      <c r="J11" s="515">
        <f>'Haver Pivoted'!GU42</f>
        <v>1123.5999999999999</v>
      </c>
      <c r="K11" s="515">
        <f>'Haver Pivoted'!GV42</f>
        <v>1220.5</v>
      </c>
      <c r="L11" s="515">
        <f>'Haver Pivoted'!GW42</f>
        <v>618.6</v>
      </c>
      <c r="M11" s="515">
        <f>'Haver Pivoted'!GX42</f>
        <v>403.8</v>
      </c>
      <c r="N11" s="515">
        <f>'Haver Pivoted'!GY42</f>
        <v>697</v>
      </c>
      <c r="O11" s="515">
        <f>'Haver Pivoted'!GZ42</f>
        <v>554.5</v>
      </c>
      <c r="P11" s="70">
        <f>'Haver Pivoted'!HA42</f>
        <v>304.7</v>
      </c>
      <c r="Q11" s="70">
        <f>'Haver Pivoted'!HB42</f>
        <v>149.4</v>
      </c>
      <c r="R11" s="523">
        <f>'Haver Pivoted'!HC42</f>
        <v>157.69999999999999</v>
      </c>
      <c r="S11" s="514">
        <f t="shared" ref="S11:AC11" si="0">S12+S13</f>
        <v>106.89582687927108</v>
      </c>
      <c r="T11" s="514">
        <f t="shared" si="0"/>
        <v>84.986000000000004</v>
      </c>
      <c r="U11" s="514">
        <f t="shared" si="0"/>
        <v>84.986000000000004</v>
      </c>
      <c r="V11" s="514">
        <f t="shared" si="0"/>
        <v>84.986000000000004</v>
      </c>
      <c r="W11" s="514">
        <f t="shared" si="0"/>
        <v>84.986000000000004</v>
      </c>
      <c r="X11" s="514">
        <f t="shared" si="0"/>
        <v>76.300000000000011</v>
      </c>
      <c r="Y11" s="514">
        <f t="shared" si="0"/>
        <v>76.300000000000011</v>
      </c>
      <c r="Z11" s="514">
        <f t="shared" si="0"/>
        <v>76.300000000000011</v>
      </c>
      <c r="AA11" s="514">
        <f t="shared" si="0"/>
        <v>76.300000000000011</v>
      </c>
      <c r="AB11" s="514">
        <f t="shared" si="0"/>
        <v>76.100000000000009</v>
      </c>
      <c r="AC11" s="499">
        <f t="shared" si="0"/>
        <v>76.100000000000009</v>
      </c>
    </row>
    <row r="12" spans="2:29" ht="16.5" customHeight="1" x14ac:dyDescent="0.3">
      <c r="B12" s="415" t="s">
        <v>466</v>
      </c>
      <c r="C12" s="71"/>
      <c r="D12" s="482"/>
      <c r="E12" s="71"/>
      <c r="F12" s="70">
        <f>F11</f>
        <v>60.5</v>
      </c>
      <c r="G12" s="70">
        <f>G11</f>
        <v>81.400000000000006</v>
      </c>
      <c r="H12" s="70">
        <f t="shared" ref="H12:M12" si="1">H11-H13</f>
        <v>82.2</v>
      </c>
      <c r="I12" s="70">
        <f t="shared" si="1"/>
        <v>80.3</v>
      </c>
      <c r="J12" s="70">
        <f>J11-J13</f>
        <v>134.09999999999991</v>
      </c>
      <c r="K12" s="70">
        <f t="shared" si="1"/>
        <v>93.900000000000091</v>
      </c>
      <c r="L12" s="70">
        <f>L11-L13</f>
        <v>80.199999999999932</v>
      </c>
      <c r="M12" s="70">
        <f t="shared" si="1"/>
        <v>73.900000000000034</v>
      </c>
      <c r="N12" s="70">
        <f>N11-N13</f>
        <v>76.299999999999955</v>
      </c>
      <c r="O12" s="70">
        <f>O11-O13</f>
        <v>76.383519999999976</v>
      </c>
      <c r="P12" s="70">
        <f>P11-P13</f>
        <v>72.499999999999972</v>
      </c>
      <c r="Q12" s="70">
        <f>Q11-Q13</f>
        <v>79</v>
      </c>
      <c r="R12" s="423">
        <f>R11-R13</f>
        <v>95.899999999999991</v>
      </c>
      <c r="S12" s="337">
        <f t="shared" ref="S12:AC12" si="2">AVERAGE($F$11:$I$11)</f>
        <v>76.100000000000009</v>
      </c>
      <c r="T12" s="337">
        <f t="shared" si="2"/>
        <v>76.100000000000009</v>
      </c>
      <c r="U12" s="337">
        <f t="shared" si="2"/>
        <v>76.100000000000009</v>
      </c>
      <c r="V12" s="337">
        <f t="shared" si="2"/>
        <v>76.100000000000009</v>
      </c>
      <c r="W12" s="337">
        <f t="shared" si="2"/>
        <v>76.100000000000009</v>
      </c>
      <c r="X12" s="337">
        <f t="shared" si="2"/>
        <v>76.100000000000009</v>
      </c>
      <c r="Y12" s="337">
        <f t="shared" si="2"/>
        <v>76.100000000000009</v>
      </c>
      <c r="Z12" s="337">
        <f t="shared" si="2"/>
        <v>76.100000000000009</v>
      </c>
      <c r="AA12" s="337">
        <f t="shared" si="2"/>
        <v>76.100000000000009</v>
      </c>
      <c r="AB12" s="337">
        <f t="shared" si="2"/>
        <v>76.100000000000009</v>
      </c>
      <c r="AC12" s="401">
        <f t="shared" si="2"/>
        <v>76.100000000000009</v>
      </c>
    </row>
    <row r="13" spans="2:29" x14ac:dyDescent="0.3">
      <c r="B13" s="414" t="s">
        <v>467</v>
      </c>
      <c r="C13" s="71"/>
      <c r="D13" s="482"/>
      <c r="E13" s="71"/>
      <c r="F13" s="521"/>
      <c r="G13" s="521"/>
      <c r="H13" s="70">
        <f>SUM(H16:H25)</f>
        <v>0</v>
      </c>
      <c r="I13" s="70">
        <f>SUM(I16:I25)</f>
        <v>0</v>
      </c>
      <c r="J13" s="70">
        <f t="shared" ref="J13:AC13" si="3">SUM(J16:J25)+J14</f>
        <v>989.5</v>
      </c>
      <c r="K13" s="70">
        <f t="shared" si="3"/>
        <v>1126.5999999999999</v>
      </c>
      <c r="L13" s="70">
        <f t="shared" si="3"/>
        <v>538.40000000000009</v>
      </c>
      <c r="M13" s="70">
        <f t="shared" si="3"/>
        <v>329.9</v>
      </c>
      <c r="N13" s="73">
        <f t="shared" si="3"/>
        <v>620.70000000000005</v>
      </c>
      <c r="O13" s="73">
        <f>SUM(O16:O25)+O14</f>
        <v>478.11648000000002</v>
      </c>
      <c r="P13" s="73">
        <f>SUM(P16:P25)+P14</f>
        <v>232.20000000000002</v>
      </c>
      <c r="Q13" s="73">
        <f t="shared" si="3"/>
        <v>70.400000000000006</v>
      </c>
      <c r="R13" s="322">
        <f t="shared" si="3"/>
        <v>61.8</v>
      </c>
      <c r="S13" s="337">
        <f t="shared" si="3"/>
        <v>30.795826879271068</v>
      </c>
      <c r="T13" s="337">
        <f t="shared" si="3"/>
        <v>8.886000000000001</v>
      </c>
      <c r="U13" s="337">
        <f t="shared" si="3"/>
        <v>8.886000000000001</v>
      </c>
      <c r="V13" s="337">
        <f t="shared" si="3"/>
        <v>8.886000000000001</v>
      </c>
      <c r="W13" s="337">
        <f t="shared" si="3"/>
        <v>8.886000000000001</v>
      </c>
      <c r="X13" s="337">
        <f t="shared" si="3"/>
        <v>0.2</v>
      </c>
      <c r="Y13" s="337">
        <f t="shared" si="3"/>
        <v>0.2</v>
      </c>
      <c r="Z13" s="337">
        <f t="shared" si="3"/>
        <v>0.2</v>
      </c>
      <c r="AA13" s="337">
        <f t="shared" si="3"/>
        <v>0.2</v>
      </c>
      <c r="AB13" s="337">
        <f t="shared" si="3"/>
        <v>0</v>
      </c>
      <c r="AC13" s="401">
        <f t="shared" si="3"/>
        <v>0</v>
      </c>
    </row>
    <row r="14" spans="2:29" x14ac:dyDescent="0.3">
      <c r="B14" s="412" t="s">
        <v>50</v>
      </c>
      <c r="C14" s="72" t="s">
        <v>377</v>
      </c>
      <c r="D14" s="335"/>
      <c r="E14" s="72"/>
      <c r="F14" s="70"/>
      <c r="G14" s="70"/>
      <c r="H14" s="70">
        <f>'Haver Pivoted'!GS49</f>
        <v>0</v>
      </c>
      <c r="I14" s="70">
        <f>'Haver Pivoted'!GT49</f>
        <v>0</v>
      </c>
      <c r="J14" s="70">
        <f>'Haver Pivoted'!GU49</f>
        <v>576.9</v>
      </c>
      <c r="K14" s="70">
        <f>'Haver Pivoted'!GV49</f>
        <v>819.5</v>
      </c>
      <c r="L14" s="70">
        <f>'Haver Pivoted'!GW49</f>
        <v>246.3</v>
      </c>
      <c r="M14" s="70">
        <f>'Haver Pivoted'!GX49</f>
        <v>184.6</v>
      </c>
      <c r="N14" s="70">
        <f>'Haver Pivoted'!GY49</f>
        <v>427.2</v>
      </c>
      <c r="O14" s="70">
        <f>'Haver Pivoted'!GZ49</f>
        <v>265</v>
      </c>
      <c r="P14" s="70">
        <f>'Haver Pivoted'!HA49</f>
        <v>28.6</v>
      </c>
      <c r="Q14" s="70">
        <f>'Haver Pivoted'!HB49</f>
        <v>0</v>
      </c>
      <c r="R14" s="423">
        <f>'Haver Pivoted'!HC49</f>
        <v>0</v>
      </c>
      <c r="S14" s="337"/>
      <c r="T14" s="337"/>
      <c r="U14" s="337"/>
      <c r="V14" s="337"/>
      <c r="W14" s="337"/>
      <c r="X14" s="337"/>
      <c r="Y14" s="337"/>
      <c r="Z14" s="500"/>
      <c r="AA14" s="500"/>
      <c r="AB14" s="500"/>
      <c r="AC14" s="508"/>
    </row>
    <row r="15" spans="2:29" x14ac:dyDescent="0.3">
      <c r="B15" s="414" t="s">
        <v>468</v>
      </c>
      <c r="C15" s="71"/>
      <c r="D15" s="482"/>
      <c r="E15" s="71"/>
      <c r="F15" s="521"/>
      <c r="G15" s="521"/>
      <c r="H15" s="70">
        <f t="shared" ref="H15:AC15" si="4">SUM(H16:H25)</f>
        <v>0</v>
      </c>
      <c r="I15" s="70">
        <f t="shared" si="4"/>
        <v>0</v>
      </c>
      <c r="J15" s="70">
        <f t="shared" si="4"/>
        <v>412.6</v>
      </c>
      <c r="K15" s="70">
        <f t="shared" si="4"/>
        <v>307.10000000000002</v>
      </c>
      <c r="L15" s="70">
        <f t="shared" si="4"/>
        <v>292.10000000000002</v>
      </c>
      <c r="M15" s="70">
        <f t="shared" si="4"/>
        <v>145.30000000000001</v>
      </c>
      <c r="N15" s="70">
        <f t="shared" si="4"/>
        <v>193.50000000000003</v>
      </c>
      <c r="O15" s="70">
        <f t="shared" si="4"/>
        <v>213.11648</v>
      </c>
      <c r="P15" s="70">
        <f>SUM(P16:P25)</f>
        <v>203.60000000000002</v>
      </c>
      <c r="Q15" s="70">
        <f t="shared" si="4"/>
        <v>70.400000000000006</v>
      </c>
      <c r="R15" s="423">
        <f t="shared" si="4"/>
        <v>61.8</v>
      </c>
      <c r="S15" s="501">
        <f t="shared" si="4"/>
        <v>30.795826879271068</v>
      </c>
      <c r="T15" s="501">
        <f t="shared" si="4"/>
        <v>8.886000000000001</v>
      </c>
      <c r="U15" s="501">
        <f t="shared" si="4"/>
        <v>8.886000000000001</v>
      </c>
      <c r="V15" s="501">
        <f t="shared" si="4"/>
        <v>8.886000000000001</v>
      </c>
      <c r="W15" s="501">
        <f t="shared" si="4"/>
        <v>8.886000000000001</v>
      </c>
      <c r="X15" s="501">
        <f t="shared" si="4"/>
        <v>0.2</v>
      </c>
      <c r="Y15" s="501">
        <f t="shared" si="4"/>
        <v>0.2</v>
      </c>
      <c r="Z15" s="501">
        <f t="shared" si="4"/>
        <v>0.2</v>
      </c>
      <c r="AA15" s="501">
        <f t="shared" si="4"/>
        <v>0.2</v>
      </c>
      <c r="AB15" s="501">
        <f t="shared" si="4"/>
        <v>0</v>
      </c>
      <c r="AC15" s="519">
        <f t="shared" si="4"/>
        <v>0</v>
      </c>
    </row>
    <row r="16" spans="2:29" x14ac:dyDescent="0.3">
      <c r="B16" s="487" t="s">
        <v>145</v>
      </c>
      <c r="C16" s="53" t="s">
        <v>469</v>
      </c>
      <c r="D16" s="334"/>
      <c r="E16" s="53"/>
      <c r="F16" s="70"/>
      <c r="G16" s="70"/>
      <c r="H16" s="70">
        <f>'Haver Pivoted'!GS53</f>
        <v>0</v>
      </c>
      <c r="I16" s="70">
        <f>'Haver Pivoted'!GT53</f>
        <v>0</v>
      </c>
      <c r="J16" s="70">
        <f>'Haver Pivoted'!GU53</f>
        <v>16.899999999999999</v>
      </c>
      <c r="K16" s="70">
        <f>'Haver Pivoted'!GV53</f>
        <v>18.399999999999999</v>
      </c>
      <c r="L16" s="70">
        <f>'Haver Pivoted'!GW53</f>
        <v>46.2</v>
      </c>
      <c r="M16" s="70">
        <f>'Haver Pivoted'!GX53</f>
        <v>0.9</v>
      </c>
      <c r="N16" s="70">
        <f>'Haver Pivoted'!GY53</f>
        <v>14.3</v>
      </c>
      <c r="O16" s="70">
        <f>'Haver Pivoted'!GZ53</f>
        <v>8.6999999999999993</v>
      </c>
      <c r="P16" s="70">
        <f>'Haver Pivoted'!HA53</f>
        <v>1.2</v>
      </c>
      <c r="Q16" s="70">
        <f>'Haver Pivoted'!HB53</f>
        <v>0.6</v>
      </c>
      <c r="R16" s="423">
        <f>'Haver Pivoted'!HC53</f>
        <v>0</v>
      </c>
      <c r="S16" s="337"/>
      <c r="T16" s="337"/>
      <c r="U16" s="337"/>
      <c r="V16" s="502"/>
      <c r="W16" s="502"/>
      <c r="X16" s="502"/>
      <c r="Y16" s="502"/>
      <c r="Z16" s="500"/>
      <c r="AA16" s="500"/>
      <c r="AB16" s="500"/>
      <c r="AC16" s="508"/>
    </row>
    <row r="17" spans="2:29" x14ac:dyDescent="0.3">
      <c r="B17" s="487" t="s">
        <v>143</v>
      </c>
      <c r="C17" s="53" t="s">
        <v>470</v>
      </c>
      <c r="D17" s="334"/>
      <c r="E17" s="53"/>
      <c r="F17" s="70"/>
      <c r="G17" s="70"/>
      <c r="H17" s="70">
        <f>'Haver Pivoted'!GS51</f>
        <v>0</v>
      </c>
      <c r="I17" s="70">
        <f>'Haver Pivoted'!GT51</f>
        <v>0</v>
      </c>
      <c r="J17" s="70">
        <f>'Haver Pivoted'!GU51</f>
        <v>73.3</v>
      </c>
      <c r="K17" s="70">
        <f>'Haver Pivoted'!GV51</f>
        <v>73.3</v>
      </c>
      <c r="L17" s="70">
        <f>'Haver Pivoted'!GW51</f>
        <v>73.3</v>
      </c>
      <c r="M17" s="70">
        <f>'Haver Pivoted'!GX51</f>
        <v>62.9</v>
      </c>
      <c r="N17" s="70">
        <f>'Haver Pivoted'!GY51</f>
        <v>62.9</v>
      </c>
      <c r="O17" s="70">
        <f>'Haver Pivoted'!GZ51</f>
        <v>62.9</v>
      </c>
      <c r="P17" s="70">
        <f>'Haver Pivoted'!HA51</f>
        <v>62.9</v>
      </c>
      <c r="Q17" s="70">
        <f>'Haver Pivoted'!HB51</f>
        <v>0</v>
      </c>
      <c r="R17" s="423">
        <f>'Haver Pivoted'!HC51</f>
        <v>0</v>
      </c>
      <c r="S17" s="337">
        <f t="shared" ref="S17:AC17" si="5">R17</f>
        <v>0</v>
      </c>
      <c r="T17" s="337">
        <f t="shared" si="5"/>
        <v>0</v>
      </c>
      <c r="U17" s="337">
        <f t="shared" si="5"/>
        <v>0</v>
      </c>
      <c r="V17" s="337">
        <f t="shared" si="5"/>
        <v>0</v>
      </c>
      <c r="W17" s="337">
        <f t="shared" si="5"/>
        <v>0</v>
      </c>
      <c r="X17" s="337">
        <f t="shared" si="5"/>
        <v>0</v>
      </c>
      <c r="Y17" s="337">
        <f t="shared" si="5"/>
        <v>0</v>
      </c>
      <c r="Z17" s="337">
        <f t="shared" si="5"/>
        <v>0</v>
      </c>
      <c r="AA17" s="337">
        <f t="shared" si="5"/>
        <v>0</v>
      </c>
      <c r="AB17" s="337">
        <f t="shared" si="5"/>
        <v>0</v>
      </c>
      <c r="AC17" s="337">
        <f t="shared" si="5"/>
        <v>0</v>
      </c>
    </row>
    <row r="18" spans="2:29" x14ac:dyDescent="0.3">
      <c r="B18" s="487" t="s">
        <v>142</v>
      </c>
      <c r="C18" s="72" t="s">
        <v>471</v>
      </c>
      <c r="D18" s="335"/>
      <c r="E18" s="72"/>
      <c r="F18" s="70"/>
      <c r="G18" s="70"/>
      <c r="H18" s="70">
        <f>'Haver Pivoted'!GS50</f>
        <v>0</v>
      </c>
      <c r="I18" s="70">
        <f>'Haver Pivoted'!GT50</f>
        <v>0</v>
      </c>
      <c r="J18" s="70">
        <f>'Haver Pivoted'!GU50</f>
        <v>63.8</v>
      </c>
      <c r="K18" s="70">
        <f>'Haver Pivoted'!GV50</f>
        <v>15</v>
      </c>
      <c r="L18" s="70">
        <f>'Haver Pivoted'!GW50</f>
        <v>0.1</v>
      </c>
      <c r="M18" s="70">
        <f>'Haver Pivoted'!GX50</f>
        <v>38</v>
      </c>
      <c r="N18" s="70">
        <f>'Haver Pivoted'!GY50</f>
        <v>47.3</v>
      </c>
      <c r="O18" s="70">
        <f>'Haver Pivoted'!GZ50</f>
        <v>0.7</v>
      </c>
      <c r="P18" s="70">
        <f>'Haver Pivoted'!HA50</f>
        <v>0</v>
      </c>
      <c r="Q18" s="70">
        <f>'Haver Pivoted'!HB50</f>
        <v>0.3</v>
      </c>
      <c r="R18" s="423">
        <f>'Haver Pivoted'!HC50</f>
        <v>0.2</v>
      </c>
      <c r="S18" s="337">
        <f t="shared" ref="S18:AC18" si="6">S28</f>
        <v>0</v>
      </c>
      <c r="T18" s="337">
        <f t="shared" si="6"/>
        <v>0</v>
      </c>
      <c r="U18" s="337">
        <f t="shared" si="6"/>
        <v>0</v>
      </c>
      <c r="V18" s="337">
        <f t="shared" si="6"/>
        <v>0</v>
      </c>
      <c r="W18" s="337">
        <f t="shared" si="6"/>
        <v>0</v>
      </c>
      <c r="X18" s="337">
        <f t="shared" si="6"/>
        <v>0</v>
      </c>
      <c r="Y18" s="337">
        <f t="shared" si="6"/>
        <v>0</v>
      </c>
      <c r="Z18" s="337">
        <f t="shared" si="6"/>
        <v>0</v>
      </c>
      <c r="AA18" s="337">
        <f t="shared" si="6"/>
        <v>0</v>
      </c>
      <c r="AB18" s="337">
        <f t="shared" si="6"/>
        <v>0</v>
      </c>
      <c r="AC18" s="401">
        <f t="shared" si="6"/>
        <v>0</v>
      </c>
    </row>
    <row r="19" spans="2:29" x14ac:dyDescent="0.3">
      <c r="B19" s="487" t="s">
        <v>472</v>
      </c>
      <c r="C19" s="72" t="s">
        <v>357</v>
      </c>
      <c r="D19" s="335"/>
      <c r="E19" s="72"/>
      <c r="F19" s="70"/>
      <c r="G19" s="70"/>
      <c r="H19" s="70">
        <f>'Haver Pivoted'!GS54</f>
        <v>0</v>
      </c>
      <c r="I19" s="70">
        <f>'Haver Pivoted'!GT54</f>
        <v>0</v>
      </c>
      <c r="J19" s="70">
        <f>'Haver Pivoted'!GU54</f>
        <v>96.6</v>
      </c>
      <c r="K19" s="70">
        <f>'Haver Pivoted'!GV54</f>
        <v>35.1</v>
      </c>
      <c r="L19" s="70">
        <f>'Haver Pivoted'!GW54</f>
        <v>20.7</v>
      </c>
      <c r="M19" s="70">
        <f>'Haver Pivoted'!GX54</f>
        <v>25.7</v>
      </c>
      <c r="N19" s="70">
        <f>'Haver Pivoted'!GY54</f>
        <v>16</v>
      </c>
      <c r="O19" s="70">
        <f>'Haver Pivoted'!GZ54</f>
        <v>22.4</v>
      </c>
      <c r="P19" s="70">
        <f>'Haver Pivoted'!HA54</f>
        <v>38.700000000000003</v>
      </c>
      <c r="Q19" s="70">
        <f>'Haver Pivoted'!HB54</f>
        <v>32.200000000000003</v>
      </c>
      <c r="R19" s="485">
        <f>'Haver Pivoted'!HC54</f>
        <v>26</v>
      </c>
      <c r="S19" s="337">
        <f>'Provider Relief'!S13</f>
        <v>8.8838268792710693</v>
      </c>
      <c r="T19" s="337">
        <f>'Provider Relief'!T13</f>
        <v>0</v>
      </c>
      <c r="U19" s="337"/>
      <c r="V19" s="337"/>
      <c r="W19" s="337"/>
      <c r="X19" s="337"/>
      <c r="Y19" s="337"/>
      <c r="Z19" s="500"/>
      <c r="AA19" s="500"/>
      <c r="AB19" s="500"/>
      <c r="AC19" s="508"/>
    </row>
    <row r="20" spans="2:29" x14ac:dyDescent="0.3">
      <c r="B20" s="487" t="s">
        <v>144</v>
      </c>
      <c r="C20" s="72" t="s">
        <v>473</v>
      </c>
      <c r="D20" s="335"/>
      <c r="E20" s="72"/>
      <c r="F20" s="70"/>
      <c r="G20" s="70"/>
      <c r="H20" s="70">
        <f>'Haver Pivoted'!GS52</f>
        <v>0</v>
      </c>
      <c r="I20" s="70">
        <f>'Haver Pivoted'!GT52</f>
        <v>0</v>
      </c>
      <c r="J20" s="70">
        <f>'Haver Pivoted'!GU52</f>
        <v>22</v>
      </c>
      <c r="K20" s="70">
        <f>'Haver Pivoted'!GV52</f>
        <v>25.3</v>
      </c>
      <c r="L20" s="70">
        <f>'Haver Pivoted'!GW52</f>
        <v>11.8</v>
      </c>
      <c r="M20" s="70">
        <f>'Haver Pivoted'!GX52</f>
        <v>9.8000000000000007</v>
      </c>
      <c r="N20" s="70">
        <f>'Haver Pivoted'!GY52</f>
        <v>12.3</v>
      </c>
      <c r="O20" s="70">
        <f>'Haver Pivoted'!GZ52</f>
        <v>18.5</v>
      </c>
      <c r="P20" s="70">
        <f>'Haver Pivoted'!HA52</f>
        <v>15.7</v>
      </c>
      <c r="Q20" s="70">
        <f>'Haver Pivoted'!HB52</f>
        <v>18.600000000000001</v>
      </c>
      <c r="R20" s="485">
        <f>'Haver Pivoted'!HC52</f>
        <v>19</v>
      </c>
      <c r="S20" s="337">
        <f t="shared" ref="S20:AC20" si="7">S35</f>
        <v>5.6120000000000001</v>
      </c>
      <c r="T20" s="337">
        <f t="shared" si="7"/>
        <v>0.48599999999999993</v>
      </c>
      <c r="U20" s="337">
        <f t="shared" si="7"/>
        <v>0.48599999999999993</v>
      </c>
      <c r="V20" s="337">
        <f t="shared" si="7"/>
        <v>0.48599999999999993</v>
      </c>
      <c r="W20" s="337">
        <f t="shared" si="7"/>
        <v>0.48599999999999993</v>
      </c>
      <c r="X20" s="337">
        <f t="shared" si="7"/>
        <v>0</v>
      </c>
      <c r="Y20" s="337">
        <f t="shared" si="7"/>
        <v>0</v>
      </c>
      <c r="Z20" s="337">
        <f t="shared" si="7"/>
        <v>0</v>
      </c>
      <c r="AA20" s="337">
        <f t="shared" si="7"/>
        <v>0</v>
      </c>
      <c r="AB20" s="337">
        <f t="shared" si="7"/>
        <v>0</v>
      </c>
      <c r="AC20" s="401">
        <f t="shared" si="7"/>
        <v>0</v>
      </c>
    </row>
    <row r="21" spans="2:29" x14ac:dyDescent="0.3">
      <c r="B21" s="487" t="s">
        <v>148</v>
      </c>
      <c r="C21" s="72" t="s">
        <v>474</v>
      </c>
      <c r="D21" s="335"/>
      <c r="E21" s="72"/>
      <c r="F21" s="70"/>
      <c r="G21" s="70"/>
      <c r="H21" s="70">
        <f>'Haver Pivoted'!GS55</f>
        <v>0</v>
      </c>
      <c r="I21" s="70">
        <f>'Haver Pivoted'!GT55</f>
        <v>0</v>
      </c>
      <c r="J21" s="70">
        <f>'Haver Pivoted'!GU55</f>
        <v>140</v>
      </c>
      <c r="K21" s="70">
        <f>'Haver Pivoted'!GV55</f>
        <v>140</v>
      </c>
      <c r="L21" s="70">
        <f>'Haver Pivoted'!GW55</f>
        <v>140</v>
      </c>
      <c r="M21" s="70">
        <f>'Haver Pivoted'!GX55</f>
        <v>8</v>
      </c>
      <c r="N21" s="70">
        <f>'Haver Pivoted'!GY55</f>
        <v>8</v>
      </c>
      <c r="O21" s="70">
        <f>'Haver Pivoted'!GZ55</f>
        <v>8</v>
      </c>
      <c r="P21" s="70">
        <f>'Haver Pivoted'!HA55</f>
        <v>8</v>
      </c>
      <c r="Q21" s="70">
        <f>'Haver Pivoted'!HB55</f>
        <v>0</v>
      </c>
      <c r="R21" s="423">
        <f>'Haver Pivoted'!HC55</f>
        <v>0</v>
      </c>
      <c r="S21" s="337">
        <f t="shared" ref="S21:AC21" si="8">R21</f>
        <v>0</v>
      </c>
      <c r="T21" s="337">
        <f t="shared" si="8"/>
        <v>0</v>
      </c>
      <c r="U21" s="337">
        <f t="shared" si="8"/>
        <v>0</v>
      </c>
      <c r="V21" s="337">
        <f t="shared" si="8"/>
        <v>0</v>
      </c>
      <c r="W21" s="337">
        <f t="shared" si="8"/>
        <v>0</v>
      </c>
      <c r="X21" s="337">
        <f t="shared" si="8"/>
        <v>0</v>
      </c>
      <c r="Y21" s="337">
        <f t="shared" si="8"/>
        <v>0</v>
      </c>
      <c r="Z21" s="337">
        <f t="shared" si="8"/>
        <v>0</v>
      </c>
      <c r="AA21" s="337">
        <f t="shared" si="8"/>
        <v>0</v>
      </c>
      <c r="AB21" s="337">
        <f t="shared" si="8"/>
        <v>0</v>
      </c>
      <c r="AC21" s="337">
        <f t="shared" si="8"/>
        <v>0</v>
      </c>
    </row>
    <row r="22" spans="2:29" x14ac:dyDescent="0.3">
      <c r="B22" s="487" t="s">
        <v>475</v>
      </c>
      <c r="C22" s="72" t="s">
        <v>857</v>
      </c>
      <c r="D22" s="333"/>
      <c r="E22" s="70"/>
      <c r="F22" s="70"/>
      <c r="G22" s="70"/>
      <c r="H22" s="70"/>
      <c r="I22" s="70"/>
      <c r="J22" s="70"/>
      <c r="K22" s="70"/>
      <c r="L22" s="70"/>
      <c r="M22" s="70"/>
      <c r="N22" s="70">
        <f>'Haver Pivoted'!GY87</f>
        <v>11.3</v>
      </c>
      <c r="O22" s="70">
        <f>'Haver Pivoted'!GZ87</f>
        <v>10.4</v>
      </c>
      <c r="P22" s="70">
        <f>'Haver Pivoted'!HA87</f>
        <v>5.3</v>
      </c>
      <c r="Q22" s="70">
        <f>'Haver Pivoted'!HB87</f>
        <v>2.4</v>
      </c>
      <c r="R22" s="423">
        <f>'Haver Pivoted'!HC87</f>
        <v>0.3</v>
      </c>
      <c r="S22" s="337">
        <v>0</v>
      </c>
      <c r="T22" s="337">
        <v>0</v>
      </c>
      <c r="U22" s="337">
        <v>0</v>
      </c>
      <c r="V22" s="337">
        <v>0</v>
      </c>
      <c r="W22" s="337">
        <v>0</v>
      </c>
      <c r="X22" s="337">
        <v>0</v>
      </c>
      <c r="Y22" s="337">
        <v>0</v>
      </c>
      <c r="Z22" s="337">
        <v>0</v>
      </c>
      <c r="AA22" s="337">
        <v>0</v>
      </c>
      <c r="AB22" s="337">
        <v>0</v>
      </c>
      <c r="AC22" s="337">
        <v>0</v>
      </c>
    </row>
    <row r="23" spans="2:29" x14ac:dyDescent="0.3">
      <c r="B23" s="487" t="s">
        <v>476</v>
      </c>
      <c r="C23" s="72" t="s">
        <v>856</v>
      </c>
      <c r="D23" s="335"/>
      <c r="E23" s="72"/>
      <c r="F23" s="70"/>
      <c r="G23" s="488"/>
      <c r="H23" s="70"/>
      <c r="I23" s="70"/>
      <c r="J23" s="70"/>
      <c r="K23" s="70"/>
      <c r="L23" s="70"/>
      <c r="M23" s="70"/>
      <c r="N23" s="70">
        <f>'Haver Pivoted'!GY86</f>
        <v>21.4</v>
      </c>
      <c r="O23" s="70">
        <f>'Haver Pivoted'!GZ86</f>
        <v>57</v>
      </c>
      <c r="P23" s="70">
        <f>'Haver Pivoted'!HA86</f>
        <v>35.5</v>
      </c>
      <c r="Q23" s="70">
        <f>'Haver Pivoted'!HB86</f>
        <v>0</v>
      </c>
      <c r="R23" s="423">
        <f>'Haver Pivoted'!HC86</f>
        <v>0</v>
      </c>
      <c r="S23" s="337">
        <f t="shared" ref="S23:AC23" si="9">R23</f>
        <v>0</v>
      </c>
      <c r="T23" s="337">
        <f t="shared" si="9"/>
        <v>0</v>
      </c>
      <c r="U23" s="337">
        <f t="shared" si="9"/>
        <v>0</v>
      </c>
      <c r="V23" s="337">
        <f t="shared" si="9"/>
        <v>0</v>
      </c>
      <c r="W23" s="337">
        <f t="shared" si="9"/>
        <v>0</v>
      </c>
      <c r="X23" s="337">
        <f t="shared" si="9"/>
        <v>0</v>
      </c>
      <c r="Y23" s="337">
        <f t="shared" si="9"/>
        <v>0</v>
      </c>
      <c r="Z23" s="337">
        <f t="shared" si="9"/>
        <v>0</v>
      </c>
      <c r="AA23" s="337">
        <f t="shared" si="9"/>
        <v>0</v>
      </c>
      <c r="AB23" s="337">
        <f t="shared" si="9"/>
        <v>0</v>
      </c>
      <c r="AC23" s="337">
        <f t="shared" si="9"/>
        <v>0</v>
      </c>
    </row>
    <row r="24" spans="2:29" x14ac:dyDescent="0.3">
      <c r="B24" s="487" t="s">
        <v>477</v>
      </c>
      <c r="C24" s="72"/>
      <c r="D24" s="335"/>
      <c r="E24" s="72"/>
      <c r="F24" s="70"/>
      <c r="G24" s="70"/>
      <c r="H24" s="70"/>
      <c r="I24" s="70"/>
      <c r="J24" s="70"/>
      <c r="K24" s="70"/>
      <c r="L24" s="70"/>
      <c r="M24" s="70"/>
      <c r="N24" s="70"/>
      <c r="O24" s="73">
        <f>O39+O40</f>
        <v>12.51648</v>
      </c>
      <c r="P24" s="73">
        <f>P39+P40</f>
        <v>11.3</v>
      </c>
      <c r="Q24" s="73">
        <f t="shared" ref="Q24:AC24" si="10">Q39+Q40</f>
        <v>11.3</v>
      </c>
      <c r="R24" s="322">
        <f t="shared" si="10"/>
        <v>11.3</v>
      </c>
      <c r="S24" s="337">
        <f t="shared" si="10"/>
        <v>11.3</v>
      </c>
      <c r="T24" s="337">
        <f t="shared" si="10"/>
        <v>8.4</v>
      </c>
      <c r="U24" s="337">
        <f t="shared" si="10"/>
        <v>8.4</v>
      </c>
      <c r="V24" s="337">
        <f t="shared" si="10"/>
        <v>8.4</v>
      </c>
      <c r="W24" s="337">
        <f t="shared" si="10"/>
        <v>8.4</v>
      </c>
      <c r="X24" s="337">
        <f t="shared" si="10"/>
        <v>0.2</v>
      </c>
      <c r="Y24" s="337">
        <f t="shared" si="10"/>
        <v>0.2</v>
      </c>
      <c r="Z24" s="337">
        <f t="shared" si="10"/>
        <v>0.2</v>
      </c>
      <c r="AA24" s="337">
        <f t="shared" si="10"/>
        <v>0.2</v>
      </c>
      <c r="AB24" s="337">
        <f t="shared" si="10"/>
        <v>0</v>
      </c>
      <c r="AC24" s="401">
        <f t="shared" si="10"/>
        <v>0</v>
      </c>
    </row>
    <row r="25" spans="2:29" x14ac:dyDescent="0.3">
      <c r="B25" s="487" t="s">
        <v>478</v>
      </c>
      <c r="C25" s="72"/>
      <c r="D25" s="335"/>
      <c r="E25" s="72"/>
      <c r="F25" s="73"/>
      <c r="G25" s="73"/>
      <c r="H25" s="152"/>
      <c r="I25" s="152"/>
      <c r="J25" s="152"/>
      <c r="K25" s="152"/>
      <c r="L25" s="152"/>
      <c r="M25" s="152"/>
      <c r="N25" s="73"/>
      <c r="O25" s="73">
        <f>O32</f>
        <v>12</v>
      </c>
      <c r="P25" s="73">
        <v>25</v>
      </c>
      <c r="Q25" s="73">
        <v>5</v>
      </c>
      <c r="R25" s="73">
        <v>5</v>
      </c>
      <c r="S25" s="524">
        <v>5</v>
      </c>
      <c r="T25" s="516">
        <f t="shared" ref="T25:AC25" si="11">T32</f>
        <v>0</v>
      </c>
      <c r="U25" s="516">
        <f t="shared" si="11"/>
        <v>0</v>
      </c>
      <c r="V25" s="516">
        <f t="shared" si="11"/>
        <v>0</v>
      </c>
      <c r="W25" s="516">
        <f t="shared" si="11"/>
        <v>0</v>
      </c>
      <c r="X25" s="516">
        <f t="shared" si="11"/>
        <v>0</v>
      </c>
      <c r="Y25" s="516">
        <f t="shared" si="11"/>
        <v>0</v>
      </c>
      <c r="Z25" s="516">
        <f t="shared" si="11"/>
        <v>0</v>
      </c>
      <c r="AA25" s="516">
        <f t="shared" si="11"/>
        <v>0</v>
      </c>
      <c r="AB25" s="516">
        <f t="shared" si="11"/>
        <v>0</v>
      </c>
      <c r="AC25" s="518">
        <f t="shared" si="11"/>
        <v>0</v>
      </c>
    </row>
    <row r="26" spans="2:29" ht="15" customHeight="1" x14ac:dyDescent="0.3">
      <c r="B26" s="1024" t="s">
        <v>479</v>
      </c>
      <c r="C26" s="1025"/>
      <c r="D26" s="481"/>
      <c r="E26" s="489"/>
      <c r="F26" s="489"/>
      <c r="G26" s="489"/>
      <c r="H26" s="73"/>
      <c r="I26" s="73"/>
      <c r="J26" s="73"/>
      <c r="K26" s="73"/>
      <c r="L26" s="73"/>
      <c r="M26" s="73"/>
      <c r="N26" s="73"/>
      <c r="O26" s="73"/>
      <c r="P26" s="506"/>
      <c r="Q26" s="73"/>
      <c r="R26" s="322"/>
      <c r="S26" s="337"/>
      <c r="T26" s="337"/>
      <c r="U26" s="337"/>
      <c r="V26" s="500"/>
      <c r="W26" s="500"/>
      <c r="X26" s="500"/>
      <c r="Y26" s="500"/>
      <c r="Z26" s="500"/>
      <c r="AA26" s="500"/>
      <c r="AB26" s="500"/>
      <c r="AC26" s="508"/>
    </row>
    <row r="27" spans="2:29" x14ac:dyDescent="0.3">
      <c r="B27" s="414" t="s">
        <v>480</v>
      </c>
      <c r="C27" s="179"/>
      <c r="D27" s="188"/>
      <c r="E27" s="179"/>
      <c r="F27" s="152"/>
      <c r="G27" s="152"/>
      <c r="H27" s="73"/>
      <c r="I27" s="73"/>
      <c r="J27" s="73"/>
      <c r="K27" s="73"/>
      <c r="L27" s="73"/>
      <c r="M27" s="73"/>
      <c r="N27" s="73">
        <f>SUM(N28:N32)</f>
        <v>23</v>
      </c>
      <c r="O27" s="73">
        <f>SUM(O28:O32)</f>
        <v>162</v>
      </c>
      <c r="P27" s="73"/>
      <c r="Q27" s="73"/>
      <c r="R27" s="322"/>
      <c r="S27" s="337"/>
      <c r="T27" s="337"/>
      <c r="U27" s="337"/>
      <c r="V27" s="500"/>
      <c r="W27" s="500"/>
      <c r="X27" s="500"/>
      <c r="Y27" s="500"/>
      <c r="Z27" s="500"/>
      <c r="AA27" s="500"/>
      <c r="AB27" s="500"/>
      <c r="AC27" s="508"/>
    </row>
    <row r="28" spans="2:29" x14ac:dyDescent="0.3">
      <c r="B28" s="412" t="s">
        <v>481</v>
      </c>
      <c r="C28" s="179"/>
      <c r="D28" s="188"/>
      <c r="E28" s="179"/>
      <c r="F28" s="152"/>
      <c r="G28" s="152"/>
      <c r="H28" s="73"/>
      <c r="I28" s="73"/>
      <c r="J28" s="73"/>
      <c r="K28" s="73"/>
      <c r="L28" s="490"/>
      <c r="M28" s="73"/>
      <c r="N28" s="73">
        <f>(4*'Response and Relief Act Score'!$F$15-$M$18)/2</f>
        <v>11</v>
      </c>
      <c r="O28" s="73">
        <f>(4*'Response and Relief Act Score'!$F$15-$M$18)/2</f>
        <v>11</v>
      </c>
      <c r="P28" s="73"/>
      <c r="Q28" s="73"/>
      <c r="R28" s="322"/>
      <c r="S28" s="337"/>
      <c r="T28" s="337"/>
      <c r="U28" s="337"/>
      <c r="V28" s="500"/>
      <c r="W28" s="500"/>
      <c r="X28" s="500"/>
      <c r="Y28" s="500"/>
      <c r="Z28" s="500"/>
      <c r="AA28" s="500"/>
      <c r="AB28" s="500"/>
      <c r="AC28" s="508"/>
    </row>
    <row r="29" spans="2:29" x14ac:dyDescent="0.3">
      <c r="B29" s="412" t="s">
        <v>478</v>
      </c>
      <c r="C29" s="179"/>
      <c r="D29" s="188"/>
      <c r="E29" s="179"/>
      <c r="F29" s="152"/>
      <c r="G29" s="152"/>
      <c r="H29" s="73"/>
      <c r="I29" s="73"/>
      <c r="J29" s="73"/>
      <c r="K29" s="73"/>
      <c r="L29" s="490"/>
      <c r="M29" s="73"/>
      <c r="N29" s="73"/>
      <c r="O29" s="73"/>
      <c r="P29" s="73"/>
      <c r="Q29" s="73"/>
      <c r="R29" s="322"/>
      <c r="S29" s="337"/>
      <c r="T29" s="337"/>
      <c r="U29" s="337"/>
      <c r="V29" s="500"/>
      <c r="W29" s="500"/>
      <c r="X29" s="500"/>
      <c r="Y29" s="500"/>
      <c r="Z29" s="500"/>
      <c r="AA29" s="500"/>
      <c r="AB29" s="500"/>
      <c r="AC29" s="508"/>
    </row>
    <row r="30" spans="2:29" x14ac:dyDescent="0.3">
      <c r="B30" s="509" t="s">
        <v>475</v>
      </c>
      <c r="C30" s="179"/>
      <c r="D30" s="188"/>
      <c r="E30" s="179"/>
      <c r="F30" s="152"/>
      <c r="G30" s="152"/>
      <c r="H30" s="73"/>
      <c r="I30" s="73"/>
      <c r="J30" s="73"/>
      <c r="K30" s="73"/>
      <c r="L30" s="73"/>
      <c r="M30" s="73"/>
      <c r="N30" s="73"/>
      <c r="O30" s="73">
        <v>79</v>
      </c>
      <c r="P30" s="73"/>
      <c r="Q30" s="365"/>
      <c r="R30" s="419"/>
      <c r="S30" s="406"/>
      <c r="T30" s="406"/>
      <c r="U30" s="406"/>
      <c r="V30" s="500"/>
      <c r="W30" s="500"/>
      <c r="X30" s="500"/>
      <c r="Y30" s="500"/>
      <c r="Z30" s="500"/>
      <c r="AA30" s="500"/>
      <c r="AB30" s="500"/>
      <c r="AC30" s="508"/>
    </row>
    <row r="31" spans="2:29" x14ac:dyDescent="0.3">
      <c r="B31" s="510" t="s">
        <v>482</v>
      </c>
      <c r="C31" s="179"/>
      <c r="D31" s="188"/>
      <c r="E31" s="179"/>
      <c r="F31" s="152"/>
      <c r="G31" s="152"/>
      <c r="H31" s="73"/>
      <c r="I31" s="73"/>
      <c r="J31" s="73"/>
      <c r="K31" s="73"/>
      <c r="L31" s="73"/>
      <c r="M31" s="73"/>
      <c r="N31" s="73"/>
      <c r="O31" s="73">
        <f>'Response and Relief Act Score'!F13*4</f>
        <v>60</v>
      </c>
      <c r="P31" s="73"/>
      <c r="Q31" s="365"/>
      <c r="R31" s="419"/>
      <c r="S31" s="406"/>
      <c r="T31" s="406"/>
      <c r="U31" s="406"/>
      <c r="V31" s="500"/>
      <c r="W31" s="500"/>
      <c r="X31" s="500"/>
      <c r="Y31" s="500"/>
      <c r="Z31" s="500"/>
      <c r="AA31" s="500"/>
      <c r="AB31" s="500"/>
      <c r="AC31" s="508"/>
    </row>
    <row r="32" spans="2:29" ht="27.6" customHeight="1" x14ac:dyDescent="0.3">
      <c r="B32" s="510" t="s">
        <v>483</v>
      </c>
      <c r="C32" s="179"/>
      <c r="D32" s="188"/>
      <c r="E32" s="179"/>
      <c r="F32" s="152"/>
      <c r="G32" s="152"/>
      <c r="H32" s="73"/>
      <c r="I32" s="73"/>
      <c r="J32" s="73"/>
      <c r="K32" s="73"/>
      <c r="L32" s="490"/>
      <c r="M32" s="73"/>
      <c r="N32" s="73">
        <f>'Response and Relief Act Score'!F14*4/2</f>
        <v>12</v>
      </c>
      <c r="O32" s="73">
        <f>'Response and Relief Act Score'!F14*4/2</f>
        <v>12</v>
      </c>
      <c r="P32" s="73"/>
      <c r="Q32" s="73"/>
      <c r="R32" s="322"/>
      <c r="S32" s="337"/>
      <c r="T32" s="337"/>
      <c r="U32" s="337"/>
      <c r="V32" s="500"/>
      <c r="W32" s="500"/>
      <c r="X32" s="500"/>
      <c r="Y32" s="500"/>
      <c r="Z32" s="500"/>
      <c r="AA32" s="500"/>
      <c r="AB32" s="500"/>
      <c r="AC32" s="508"/>
    </row>
    <row r="33" spans="1:78" x14ac:dyDescent="0.3">
      <c r="B33" s="1022" t="s">
        <v>484</v>
      </c>
      <c r="C33" s="1023"/>
      <c r="D33" s="188"/>
      <c r="E33" s="179"/>
      <c r="F33" s="152"/>
      <c r="G33" s="152"/>
      <c r="H33" s="73"/>
      <c r="I33" s="73"/>
      <c r="J33" s="73"/>
      <c r="K33" s="73"/>
      <c r="L33" s="490"/>
      <c r="M33" s="73"/>
      <c r="N33" s="73"/>
      <c r="O33" s="73"/>
      <c r="P33" s="73"/>
      <c r="Q33" s="73"/>
      <c r="R33" s="322"/>
      <c r="S33" s="514"/>
      <c r="T33" s="514"/>
      <c r="U33" s="514"/>
      <c r="V33" s="517"/>
      <c r="W33" s="517"/>
      <c r="X33" s="517"/>
      <c r="Y33" s="517"/>
      <c r="Z33" s="517"/>
      <c r="AA33" s="517"/>
      <c r="AB33" s="517"/>
      <c r="AC33" s="493"/>
    </row>
    <row r="34" spans="1:78" ht="13.5" customHeight="1" x14ac:dyDescent="0.3">
      <c r="B34" s="510" t="s">
        <v>143</v>
      </c>
      <c r="C34" s="179"/>
      <c r="D34" s="188"/>
      <c r="E34" s="179"/>
      <c r="F34" s="152"/>
      <c r="G34" s="152"/>
      <c r="H34" s="73"/>
      <c r="I34" s="73"/>
      <c r="J34" s="73"/>
      <c r="K34" s="73"/>
      <c r="L34" s="490"/>
      <c r="M34" s="73">
        <f>'ARP Quarterly'!C18</f>
        <v>0</v>
      </c>
      <c r="N34" s="73">
        <f>'ARP Quarterly'!D18</f>
        <v>2.2132800000000001</v>
      </c>
      <c r="O34" s="73">
        <f>'ARP Quarterly'!E18</f>
        <v>10.082720000000002</v>
      </c>
      <c r="P34" s="73">
        <f>'ARP Quarterly'!F18</f>
        <v>7.1439999999999992</v>
      </c>
      <c r="Q34" s="73">
        <f>'ARP Quarterly'!G18</f>
        <v>7.1439999999999992</v>
      </c>
      <c r="R34" s="322">
        <f>'ARP Quarterly'!H18</f>
        <v>7.1439999999999992</v>
      </c>
      <c r="S34" s="337">
        <f>'ARP Quarterly'!I18</f>
        <v>7.1439999999999992</v>
      </c>
      <c r="T34" s="337">
        <f>'ARP Quarterly'!J18</f>
        <v>0</v>
      </c>
      <c r="U34" s="337">
        <f>'ARP Quarterly'!K18</f>
        <v>0</v>
      </c>
      <c r="V34" s="337">
        <f>'ARP Quarterly'!L18</f>
        <v>0</v>
      </c>
      <c r="W34" s="337">
        <f>'ARP Quarterly'!M18</f>
        <v>0</v>
      </c>
      <c r="X34" s="337">
        <f>'ARP Quarterly'!N18</f>
        <v>0</v>
      </c>
      <c r="Y34" s="337">
        <f>'ARP Quarterly'!O18</f>
        <v>0</v>
      </c>
      <c r="Z34" s="337">
        <f>'ARP Quarterly'!P18</f>
        <v>0</v>
      </c>
      <c r="AA34" s="337">
        <f>'ARP Quarterly'!Q18</f>
        <v>0</v>
      </c>
      <c r="AB34" s="337">
        <f>'ARP Quarterly'!R18</f>
        <v>0</v>
      </c>
      <c r="AC34" s="401">
        <f>'ARP Quarterly'!S18</f>
        <v>0</v>
      </c>
    </row>
    <row r="35" spans="1:78" x14ac:dyDescent="0.3">
      <c r="B35" s="510" t="s">
        <v>485</v>
      </c>
      <c r="C35" s="179"/>
      <c r="D35" s="188"/>
      <c r="E35" s="179"/>
      <c r="F35" s="152"/>
      <c r="G35" s="152"/>
      <c r="H35" s="73"/>
      <c r="I35" s="73"/>
      <c r="J35" s="73"/>
      <c r="K35" s="73"/>
      <c r="L35" s="490"/>
      <c r="M35" s="73">
        <f>'ARP Quarterly'!C19</f>
        <v>0</v>
      </c>
      <c r="N35" s="73">
        <f>'ARP Quarterly'!D19</f>
        <v>15.128640000000001</v>
      </c>
      <c r="O35" s="73">
        <f>'ARP Quarterly'!E19</f>
        <v>68.919360000000012</v>
      </c>
      <c r="P35" s="73">
        <f>'ARP Quarterly'!F19</f>
        <v>5.6120000000000001</v>
      </c>
      <c r="Q35" s="73">
        <f>'ARP Quarterly'!G19</f>
        <v>5.6120000000000001</v>
      </c>
      <c r="R35" s="322">
        <f>'ARP Quarterly'!H19</f>
        <v>5.6120000000000001</v>
      </c>
      <c r="S35" s="337">
        <f>'ARP Quarterly'!I19</f>
        <v>5.6120000000000001</v>
      </c>
      <c r="T35" s="337">
        <f>'ARP Quarterly'!J19</f>
        <v>0.48599999999999993</v>
      </c>
      <c r="U35" s="337">
        <f>'ARP Quarterly'!K19</f>
        <v>0.48599999999999993</v>
      </c>
      <c r="V35" s="337">
        <f>'ARP Quarterly'!L19</f>
        <v>0.48599999999999993</v>
      </c>
      <c r="W35" s="337">
        <f>'ARP Quarterly'!M19</f>
        <v>0.48599999999999993</v>
      </c>
      <c r="X35" s="337">
        <f>'ARP Quarterly'!N19</f>
        <v>0</v>
      </c>
      <c r="Y35" s="337">
        <f>'ARP Quarterly'!O19</f>
        <v>0</v>
      </c>
      <c r="Z35" s="337">
        <f>'ARP Quarterly'!P19</f>
        <v>0</v>
      </c>
      <c r="AA35" s="337">
        <f>'ARP Quarterly'!Q19</f>
        <v>0</v>
      </c>
      <c r="AB35" s="337">
        <f>'ARP Quarterly'!R19</f>
        <v>0</v>
      </c>
      <c r="AC35" s="401">
        <f>'ARP Quarterly'!S19</f>
        <v>0</v>
      </c>
    </row>
    <row r="36" spans="1:78" x14ac:dyDescent="0.3">
      <c r="B36" s="510" t="s">
        <v>148</v>
      </c>
      <c r="C36" s="179"/>
      <c r="D36" s="188"/>
      <c r="E36" s="179"/>
      <c r="F36" s="152"/>
      <c r="G36" s="152"/>
      <c r="H36" s="73"/>
      <c r="I36" s="73"/>
      <c r="J36" s="73"/>
      <c r="K36" s="73"/>
      <c r="L36" s="490"/>
      <c r="M36" s="73">
        <f>'ARP Quarterly'!C20</f>
        <v>0</v>
      </c>
      <c r="N36" s="73">
        <f>'ARP Quarterly'!D20</f>
        <v>3.2479199999999997</v>
      </c>
      <c r="O36" s="73">
        <f>'ARP Quarterly'!E20</f>
        <v>14.796080000000002</v>
      </c>
      <c r="P36" s="73">
        <f>'ARP Quarterly'!F20</f>
        <v>1.7329999999999999</v>
      </c>
      <c r="Q36" s="73">
        <f>'ARP Quarterly'!G20</f>
        <v>1.7329999999999999</v>
      </c>
      <c r="R36" s="322">
        <f>'ARP Quarterly'!H20</f>
        <v>1.7329999999999999</v>
      </c>
      <c r="S36" s="337">
        <f>'ARP Quarterly'!I20</f>
        <v>1.7329999999999999</v>
      </c>
      <c r="T36" s="337">
        <f>'ARP Quarterly'!J20</f>
        <v>0</v>
      </c>
      <c r="U36" s="337">
        <f>'ARP Quarterly'!K20</f>
        <v>0</v>
      </c>
      <c r="V36" s="337">
        <f>'ARP Quarterly'!L20</f>
        <v>0</v>
      </c>
      <c r="W36" s="337">
        <f>'ARP Quarterly'!M20</f>
        <v>0</v>
      </c>
      <c r="X36" s="337">
        <f>'ARP Quarterly'!N20</f>
        <v>0</v>
      </c>
      <c r="Y36" s="337">
        <f>'ARP Quarterly'!O20</f>
        <v>0</v>
      </c>
      <c r="Z36" s="337">
        <f>'ARP Quarterly'!P20</f>
        <v>0</v>
      </c>
      <c r="AA36" s="337">
        <f>'ARP Quarterly'!Q20</f>
        <v>0</v>
      </c>
      <c r="AB36" s="337">
        <f>'ARP Quarterly'!R20</f>
        <v>0</v>
      </c>
      <c r="AC36" s="401">
        <f>'ARP Quarterly'!S20</f>
        <v>0</v>
      </c>
    </row>
    <row r="37" spans="1:78" x14ac:dyDescent="0.3">
      <c r="B37" s="510" t="s">
        <v>475</v>
      </c>
      <c r="C37" s="179"/>
      <c r="D37" s="188"/>
      <c r="E37" s="179"/>
      <c r="F37" s="152"/>
      <c r="G37" s="152"/>
      <c r="H37" s="73"/>
      <c r="I37" s="73"/>
      <c r="J37" s="73"/>
      <c r="K37" s="73"/>
      <c r="L37" s="490"/>
      <c r="M37" s="73">
        <f>'ARP Quarterly'!C21</f>
        <v>0</v>
      </c>
      <c r="N37" s="73">
        <f>'ARP Quarterly'!D21</f>
        <v>13.2921</v>
      </c>
      <c r="O37" s="73">
        <f>'ARP Quarterly'!E21</f>
        <v>60.552900000000008</v>
      </c>
      <c r="P37" s="73">
        <f>'ARP Quarterly'!F21</f>
        <v>1.0687500000000001</v>
      </c>
      <c r="Q37" s="73">
        <f>'ARP Quarterly'!G21</f>
        <v>1.0687500000000001</v>
      </c>
      <c r="R37" s="322">
        <f>'ARP Quarterly'!H21</f>
        <v>1.0687500000000001</v>
      </c>
      <c r="S37" s="337">
        <f>'ARP Quarterly'!I21</f>
        <v>1.0687500000000001</v>
      </c>
      <c r="T37" s="337">
        <f>'ARP Quarterly'!J21</f>
        <v>0.78750000000000009</v>
      </c>
      <c r="U37" s="337">
        <f>'ARP Quarterly'!K21</f>
        <v>0.78750000000000009</v>
      </c>
      <c r="V37" s="337">
        <f>'ARP Quarterly'!L21</f>
        <v>0.78750000000000009</v>
      </c>
      <c r="W37" s="337">
        <f>'ARP Quarterly'!M21</f>
        <v>0.78750000000000009</v>
      </c>
      <c r="X37" s="337">
        <f>'ARP Quarterly'!N21</f>
        <v>0</v>
      </c>
      <c r="Y37" s="337">
        <f>'ARP Quarterly'!O21</f>
        <v>0</v>
      </c>
      <c r="Z37" s="337">
        <f>'ARP Quarterly'!P21</f>
        <v>0</v>
      </c>
      <c r="AA37" s="337">
        <f>'ARP Quarterly'!Q21</f>
        <v>0</v>
      </c>
      <c r="AB37" s="337">
        <f>'ARP Quarterly'!R21</f>
        <v>0</v>
      </c>
      <c r="AC37" s="401">
        <f>'ARP Quarterly'!S21</f>
        <v>0</v>
      </c>
    </row>
    <row r="38" spans="1:78" ht="30" customHeight="1" x14ac:dyDescent="0.3">
      <c r="B38" s="510" t="s">
        <v>486</v>
      </c>
      <c r="C38" s="179"/>
      <c r="D38" s="188"/>
      <c r="E38" s="179"/>
      <c r="F38" s="152"/>
      <c r="G38" s="152"/>
      <c r="H38" s="73"/>
      <c r="I38" s="73"/>
      <c r="J38" s="73"/>
      <c r="K38" s="73"/>
      <c r="L38" s="490"/>
      <c r="M38" s="73">
        <f>'ARP Quarterly'!C22</f>
        <v>0</v>
      </c>
      <c r="N38" s="73">
        <f>'ARP Quarterly'!D22</f>
        <v>22.153499999999998</v>
      </c>
      <c r="O38" s="73">
        <f>'ARP Quarterly'!E22</f>
        <v>100.92150000000002</v>
      </c>
      <c r="P38" s="73">
        <f>'ARP Quarterly'!F22</f>
        <v>1.7812500000000002</v>
      </c>
      <c r="Q38" s="73">
        <f>'ARP Quarterly'!G22</f>
        <v>1.7812500000000002</v>
      </c>
      <c r="R38" s="322">
        <f>'ARP Quarterly'!H22</f>
        <v>1.7812500000000002</v>
      </c>
      <c r="S38" s="337">
        <f>'ARP Quarterly'!I22</f>
        <v>1.7812500000000002</v>
      </c>
      <c r="T38" s="337">
        <f>'ARP Quarterly'!J22</f>
        <v>1.3125000000000002</v>
      </c>
      <c r="U38" s="337">
        <f>'ARP Quarterly'!K22</f>
        <v>1.3125000000000002</v>
      </c>
      <c r="V38" s="337">
        <f>'ARP Quarterly'!L22</f>
        <v>1.3125000000000002</v>
      </c>
      <c r="W38" s="337">
        <f>'ARP Quarterly'!M22</f>
        <v>1.3125000000000002</v>
      </c>
      <c r="X38" s="337">
        <f>'ARP Quarterly'!N22</f>
        <v>0</v>
      </c>
      <c r="Y38" s="337">
        <f>'ARP Quarterly'!O22</f>
        <v>0</v>
      </c>
      <c r="Z38" s="337">
        <f>'ARP Quarterly'!P22</f>
        <v>0</v>
      </c>
      <c r="AA38" s="337">
        <f>'ARP Quarterly'!Q22</f>
        <v>0</v>
      </c>
      <c r="AB38" s="337">
        <f>'ARP Quarterly'!R22</f>
        <v>0</v>
      </c>
      <c r="AC38" s="401">
        <f>'ARP Quarterly'!S22</f>
        <v>0</v>
      </c>
    </row>
    <row r="39" spans="1:78" x14ac:dyDescent="0.3">
      <c r="B39" s="510" t="s">
        <v>487</v>
      </c>
      <c r="C39" s="179"/>
      <c r="D39" s="188"/>
      <c r="E39" s="179"/>
      <c r="F39" s="152"/>
      <c r="G39" s="152"/>
      <c r="H39" s="73"/>
      <c r="I39" s="73"/>
      <c r="J39" s="73"/>
      <c r="K39" s="73"/>
      <c r="L39" s="490"/>
      <c r="M39" s="73">
        <f>'ARP Quarterly'!C23</f>
        <v>0</v>
      </c>
      <c r="N39" s="73">
        <f>'ARP Quarterly'!D23</f>
        <v>2.9519999999999995</v>
      </c>
      <c r="O39" s="73">
        <f>'ARP Quarterly'!E23</f>
        <v>13.448</v>
      </c>
      <c r="P39" s="73">
        <f>'ARP Quarterly'!F23</f>
        <v>11.3</v>
      </c>
      <c r="Q39" s="73">
        <f>'ARP Quarterly'!G23</f>
        <v>11.3</v>
      </c>
      <c r="R39" s="322">
        <f>'ARP Quarterly'!H23</f>
        <v>11.3</v>
      </c>
      <c r="S39" s="337">
        <f>'ARP Quarterly'!I23</f>
        <v>11.3</v>
      </c>
      <c r="T39" s="337">
        <f>'ARP Quarterly'!J23</f>
        <v>8.4</v>
      </c>
      <c r="U39" s="337">
        <f>'ARP Quarterly'!K23</f>
        <v>8.4</v>
      </c>
      <c r="V39" s="337">
        <f>'ARP Quarterly'!L23</f>
        <v>8.4</v>
      </c>
      <c r="W39" s="337">
        <f>'ARP Quarterly'!M23</f>
        <v>8.4</v>
      </c>
      <c r="X39" s="337">
        <f>'ARP Quarterly'!N23</f>
        <v>0.2</v>
      </c>
      <c r="Y39" s="337">
        <f>'ARP Quarterly'!O23</f>
        <v>0.2</v>
      </c>
      <c r="Z39" s="337">
        <f>'ARP Quarterly'!P23</f>
        <v>0.2</v>
      </c>
      <c r="AA39" s="337">
        <f>'ARP Quarterly'!Q23</f>
        <v>0.2</v>
      </c>
      <c r="AB39" s="337">
        <f>'ARP Quarterly'!R23</f>
        <v>0</v>
      </c>
      <c r="AC39" s="401">
        <f>'ARP Quarterly'!S23</f>
        <v>0</v>
      </c>
    </row>
    <row r="40" spans="1:78" x14ac:dyDescent="0.3">
      <c r="B40" s="510" t="s">
        <v>488</v>
      </c>
      <c r="C40" s="179"/>
      <c r="D40" s="188"/>
      <c r="E40" s="179"/>
      <c r="F40" s="152"/>
      <c r="G40" s="152"/>
      <c r="H40" s="73"/>
      <c r="I40" s="73"/>
      <c r="J40" s="73"/>
      <c r="K40" s="73"/>
      <c r="L40" s="490"/>
      <c r="M40" s="73">
        <f>'ARP Quarterly'!C24</f>
        <v>0</v>
      </c>
      <c r="N40" s="73">
        <f>'ARP Quarterly'!D24</f>
        <v>-0.20447999999999997</v>
      </c>
      <c r="O40" s="73">
        <f>'ARP Quarterly'!E24</f>
        <v>-0.93152000000000001</v>
      </c>
      <c r="P40" s="73">
        <v>0</v>
      </c>
      <c r="Q40" s="73">
        <v>0</v>
      </c>
      <c r="R40" s="322">
        <v>0</v>
      </c>
      <c r="S40" s="337">
        <v>0</v>
      </c>
      <c r="T40" s="337">
        <v>0</v>
      </c>
      <c r="U40" s="337">
        <v>0</v>
      </c>
      <c r="V40" s="337">
        <v>0</v>
      </c>
      <c r="W40" s="337">
        <v>0</v>
      </c>
      <c r="X40" s="337">
        <v>0</v>
      </c>
      <c r="Y40" s="337">
        <v>0</v>
      </c>
      <c r="Z40" s="337">
        <v>0</v>
      </c>
      <c r="AA40" s="337">
        <v>0</v>
      </c>
      <c r="AB40" s="337">
        <v>0</v>
      </c>
      <c r="AC40" s="401">
        <v>0</v>
      </c>
    </row>
    <row r="41" spans="1:78" x14ac:dyDescent="0.3">
      <c r="B41" s="510" t="s">
        <v>360</v>
      </c>
      <c r="C41" s="179"/>
      <c r="D41" s="188"/>
      <c r="E41" s="179"/>
      <c r="F41" s="152"/>
      <c r="G41" s="152"/>
      <c r="H41" s="73"/>
      <c r="I41" s="73"/>
      <c r="J41" s="73"/>
      <c r="K41" s="73"/>
      <c r="L41" s="490"/>
      <c r="M41" s="73">
        <f>'ARP Quarterly'!C25</f>
        <v>0</v>
      </c>
      <c r="N41" s="73">
        <f>'ARP Quarterly'!D25</f>
        <v>58.782959999999996</v>
      </c>
      <c r="O41" s="73">
        <f>'ARP Quarterly'!E25</f>
        <v>267.78904000000006</v>
      </c>
      <c r="P41" s="73">
        <f>'ARP Quarterly'!F25</f>
        <v>110.24799999999999</v>
      </c>
      <c r="Q41" s="346">
        <f>'ARP Quarterly'!G25</f>
        <v>110.24799999999999</v>
      </c>
      <c r="R41" s="322">
        <f>'ARP Quarterly'!H25</f>
        <v>110.24799999999999</v>
      </c>
      <c r="S41" s="337">
        <f>'ARP Quarterly'!I25</f>
        <v>110.24799999999999</v>
      </c>
      <c r="T41" s="337">
        <f>'ARP Quarterly'!J25</f>
        <v>12.362</v>
      </c>
      <c r="U41" s="337">
        <f>'ARP Quarterly'!K25</f>
        <v>12.362</v>
      </c>
      <c r="V41" s="337">
        <f>'ARP Quarterly'!L25</f>
        <v>12.362</v>
      </c>
      <c r="W41" s="337">
        <f>'ARP Quarterly'!M25</f>
        <v>12.362</v>
      </c>
      <c r="X41" s="337">
        <f>'ARP Quarterly'!N25</f>
        <v>-0.67500000000000004</v>
      </c>
      <c r="Y41" s="337">
        <f>'ARP Quarterly'!O25</f>
        <v>-0.67500000000000004</v>
      </c>
      <c r="Z41" s="337">
        <f>'ARP Quarterly'!P25</f>
        <v>-0.67500000000000004</v>
      </c>
      <c r="AA41" s="337">
        <f>'ARP Quarterly'!Q25</f>
        <v>-0.67500000000000004</v>
      </c>
      <c r="AB41" s="337">
        <f>'ARP Quarterly'!R25</f>
        <v>0</v>
      </c>
      <c r="AC41" s="401">
        <f>'ARP Quarterly'!S25</f>
        <v>0</v>
      </c>
    </row>
    <row r="42" spans="1:78" x14ac:dyDescent="0.3">
      <c r="B42" s="1022" t="s">
        <v>489</v>
      </c>
      <c r="C42" s="1023"/>
      <c r="D42" s="483"/>
      <c r="E42" s="484"/>
      <c r="F42" s="403"/>
      <c r="G42" s="403"/>
      <c r="H42" s="394"/>
      <c r="I42" s="394"/>
      <c r="J42" s="394"/>
      <c r="K42" s="394"/>
      <c r="L42" s="491"/>
      <c r="M42" s="394"/>
      <c r="N42" s="394"/>
      <c r="O42" s="394"/>
      <c r="P42" s="492"/>
      <c r="Q42" s="73"/>
      <c r="R42" s="492"/>
      <c r="S42" s="514"/>
      <c r="T42" s="514"/>
      <c r="U42" s="514"/>
      <c r="V42" s="517"/>
      <c r="W42" s="517"/>
      <c r="X42" s="517"/>
      <c r="Y42" s="517"/>
      <c r="Z42" s="517"/>
      <c r="AA42" s="517"/>
      <c r="AB42" s="517"/>
      <c r="AC42" s="493"/>
    </row>
    <row r="43" spans="1:78" ht="21" customHeight="1" x14ac:dyDescent="0.3">
      <c r="B43" s="512" t="s">
        <v>490</v>
      </c>
      <c r="C43" s="513"/>
      <c r="D43" s="512"/>
      <c r="E43" s="513"/>
      <c r="F43" s="372"/>
      <c r="G43" s="372"/>
      <c r="H43" s="505"/>
      <c r="I43" s="505"/>
      <c r="J43" s="505"/>
      <c r="K43" s="505"/>
      <c r="L43" s="522"/>
      <c r="M43" s="505">
        <f>'ARP Quarterly'!C6</f>
        <v>0</v>
      </c>
      <c r="N43" s="505">
        <f>'ARP Quarterly'!D6</f>
        <v>58.782959999999989</v>
      </c>
      <c r="O43" s="505">
        <f>'ARP Quarterly'!E6</f>
        <v>267.78904</v>
      </c>
      <c r="P43" s="503">
        <f>'ARP Quarterly'!F6</f>
        <v>110.24799999999999</v>
      </c>
      <c r="Q43" s="505">
        <f>'ARP Quarterly'!G6</f>
        <v>110.24799999999999</v>
      </c>
      <c r="R43" s="503">
        <f>'ARP Quarterly'!H6</f>
        <v>110.24799999999999</v>
      </c>
      <c r="S43" s="494">
        <f>'ARP Quarterly'!I6</f>
        <v>110.24799999999999</v>
      </c>
      <c r="T43" s="494">
        <f>'ARP Quarterly'!J6</f>
        <v>12.726000000000001</v>
      </c>
      <c r="U43" s="494">
        <f>'ARP Quarterly'!K6</f>
        <v>12.726000000000001</v>
      </c>
      <c r="V43" s="494">
        <f>'ARP Quarterly'!L6</f>
        <v>12.726000000000001</v>
      </c>
      <c r="W43" s="494">
        <f>'ARP Quarterly'!M6</f>
        <v>12.726000000000001</v>
      </c>
      <c r="X43" s="494">
        <f>'ARP Quarterly'!N6</f>
        <v>1.365</v>
      </c>
      <c r="Y43" s="494">
        <f>'ARP Quarterly'!O6</f>
        <v>1.365</v>
      </c>
      <c r="Z43" s="494">
        <f>'ARP Quarterly'!P6</f>
        <v>1.365</v>
      </c>
      <c r="AA43" s="494">
        <f>'ARP Quarterly'!Q6</f>
        <v>1.365</v>
      </c>
      <c r="AB43" s="494">
        <f>'ARP Quarterly'!R6</f>
        <v>-0.90100000000000025</v>
      </c>
      <c r="AC43" s="520">
        <f>'ARP Quarterly'!S6</f>
        <v>-0.90100000000000025</v>
      </c>
    </row>
    <row r="44" spans="1:78" ht="19.5" customHeight="1" x14ac:dyDescent="0.3">
      <c r="A44" s="511"/>
      <c r="B44" s="504" t="s">
        <v>199</v>
      </c>
      <c r="C44" s="507"/>
      <c r="D44" s="504"/>
      <c r="E44" s="507"/>
      <c r="F44" s="495">
        <f>F11-F43</f>
        <v>60.5</v>
      </c>
      <c r="G44" s="495">
        <f>G11-G43</f>
        <v>81.400000000000006</v>
      </c>
      <c r="H44" s="495">
        <f t="shared" ref="H44:AC44" si="12">H11-H43</f>
        <v>82.2</v>
      </c>
      <c r="I44" s="495">
        <f>I11-I43</f>
        <v>80.3</v>
      </c>
      <c r="J44" s="495">
        <f t="shared" si="12"/>
        <v>1123.5999999999999</v>
      </c>
      <c r="K44" s="495">
        <f t="shared" si="12"/>
        <v>1220.5</v>
      </c>
      <c r="L44" s="495">
        <f>L11-L43</f>
        <v>618.6</v>
      </c>
      <c r="M44" s="495">
        <f>M11-M43</f>
        <v>403.8</v>
      </c>
      <c r="N44" s="495">
        <f t="shared" si="12"/>
        <v>638.21704</v>
      </c>
      <c r="O44" s="495">
        <f>O11-O43</f>
        <v>286.71096</v>
      </c>
      <c r="P44" s="496">
        <f>P11-P43</f>
        <v>194.452</v>
      </c>
      <c r="Q44" s="495">
        <f t="shared" si="12"/>
        <v>39.152000000000015</v>
      </c>
      <c r="R44" s="486">
        <f t="shared" si="12"/>
        <v>47.451999999999998</v>
      </c>
      <c r="S44" s="497">
        <f t="shared" si="12"/>
        <v>-3.3521731207289065</v>
      </c>
      <c r="T44" s="497">
        <f t="shared" si="12"/>
        <v>72.260000000000005</v>
      </c>
      <c r="U44" s="497">
        <f t="shared" si="12"/>
        <v>72.260000000000005</v>
      </c>
      <c r="V44" s="497">
        <f t="shared" si="12"/>
        <v>72.260000000000005</v>
      </c>
      <c r="W44" s="497">
        <f t="shared" si="12"/>
        <v>72.260000000000005</v>
      </c>
      <c r="X44" s="497">
        <f t="shared" si="12"/>
        <v>74.935000000000016</v>
      </c>
      <c r="Y44" s="497">
        <f t="shared" si="12"/>
        <v>74.935000000000016</v>
      </c>
      <c r="Z44" s="497">
        <f t="shared" si="12"/>
        <v>74.935000000000016</v>
      </c>
      <c r="AA44" s="497">
        <f t="shared" si="12"/>
        <v>74.935000000000016</v>
      </c>
      <c r="AB44" s="497">
        <f t="shared" si="12"/>
        <v>77.001000000000005</v>
      </c>
      <c r="AC44" s="498">
        <f t="shared" si="12"/>
        <v>77.001000000000005</v>
      </c>
      <c r="AE44" s="511"/>
      <c r="AF44" s="511"/>
      <c r="AG44" s="511"/>
      <c r="AH44" s="511"/>
      <c r="AI44" s="511"/>
      <c r="AJ44" s="511"/>
      <c r="AK44" s="511"/>
      <c r="AL44" s="511"/>
      <c r="AM44" s="511"/>
      <c r="AN44" s="511"/>
      <c r="AO44" s="511"/>
      <c r="AP44" s="511"/>
      <c r="AQ44" s="511"/>
      <c r="AR44" s="511"/>
      <c r="AS44" s="511"/>
      <c r="AT44" s="511"/>
      <c r="AU44" s="511"/>
      <c r="AV44" s="511"/>
      <c r="AW44" s="511"/>
      <c r="AX44" s="511"/>
      <c r="AY44" s="511"/>
      <c r="AZ44" s="511"/>
      <c r="BA44" s="511"/>
      <c r="BB44" s="511"/>
      <c r="BC44" s="511"/>
      <c r="BD44" s="511"/>
      <c r="BE44" s="511"/>
      <c r="BF44" s="511"/>
      <c r="BG44" s="511"/>
      <c r="BH44" s="511"/>
      <c r="BI44" s="511"/>
      <c r="BJ44" s="511"/>
      <c r="BK44" s="511"/>
      <c r="BL44" s="511"/>
      <c r="BM44" s="511"/>
      <c r="BN44" s="511"/>
      <c r="BO44" s="511"/>
      <c r="BP44" s="511"/>
      <c r="BQ44" s="511"/>
      <c r="BR44" s="511"/>
      <c r="BS44" s="511"/>
      <c r="BT44" s="511"/>
      <c r="BU44" s="511"/>
      <c r="BV44" s="511"/>
      <c r="BW44" s="511"/>
      <c r="BX44" s="511"/>
      <c r="BY44" s="511"/>
      <c r="BZ44" s="511"/>
    </row>
    <row r="45" spans="1:78" x14ac:dyDescent="0.3">
      <c r="B45" s="182"/>
      <c r="C45" s="157"/>
      <c r="D45" s="157"/>
      <c r="E45" s="157"/>
      <c r="F45" s="157"/>
      <c r="G45" s="157"/>
      <c r="H45" s="157"/>
      <c r="I45" s="157"/>
      <c r="J45" s="157"/>
      <c r="K45" s="157"/>
      <c r="L45" s="157"/>
      <c r="M45" s="157"/>
      <c r="N45" s="157"/>
      <c r="O45" s="157"/>
      <c r="P45" s="430"/>
      <c r="Q45" s="430"/>
      <c r="R45" s="430"/>
      <c r="S45" s="430"/>
      <c r="T45" s="430"/>
      <c r="U45" s="430"/>
      <c r="V45" s="430"/>
      <c r="W45" s="430"/>
      <c r="X45" s="430"/>
      <c r="Y45" s="430"/>
      <c r="Z45" s="430"/>
      <c r="AA45" s="430"/>
      <c r="AB45" s="430"/>
      <c r="AC45" s="430"/>
    </row>
    <row r="46" spans="1:78" x14ac:dyDescent="0.3">
      <c r="Q46" s="253" t="s">
        <v>328</v>
      </c>
      <c r="R46" s="362" t="s">
        <v>329</v>
      </c>
      <c r="S46" s="362" t="s">
        <v>238</v>
      </c>
      <c r="T46" s="362" t="s">
        <v>327</v>
      </c>
      <c r="U46" s="361" t="s">
        <v>328</v>
      </c>
      <c r="V46" s="362" t="s">
        <v>329</v>
      </c>
      <c r="W46" s="362" t="s">
        <v>238</v>
      </c>
      <c r="X46" s="362" t="s">
        <v>327</v>
      </c>
      <c r="Y46" s="361" t="s">
        <v>328</v>
      </c>
      <c r="Z46" s="272" t="s">
        <v>329</v>
      </c>
      <c r="AA46" s="362" t="s">
        <v>238</v>
      </c>
      <c r="AB46" s="381" t="s">
        <v>327</v>
      </c>
      <c r="AC46" s="398" t="s">
        <v>328</v>
      </c>
    </row>
    <row r="47" spans="1:78" ht="14.7" customHeight="1" x14ac:dyDescent="0.3">
      <c r="Q47" s="423">
        <v>149.4</v>
      </c>
      <c r="R47" s="514">
        <v>118.99896461824954</v>
      </c>
      <c r="S47" s="514">
        <v>98.012</v>
      </c>
      <c r="T47" s="514">
        <v>84.986000000000004</v>
      </c>
      <c r="U47" s="514">
        <v>84.986000000000004</v>
      </c>
      <c r="V47" s="514">
        <v>84.986000000000004</v>
      </c>
      <c r="W47" s="514">
        <v>84.986000000000004</v>
      </c>
      <c r="X47" s="514">
        <v>76.300000000000011</v>
      </c>
      <c r="Y47" s="514">
        <v>76.300000000000011</v>
      </c>
      <c r="Z47" s="514">
        <v>76.300000000000011</v>
      </c>
      <c r="AA47" s="514">
        <v>76.300000000000011</v>
      </c>
      <c r="AB47" s="514">
        <v>76.100000000000009</v>
      </c>
      <c r="AC47" s="499">
        <v>76.100000000000009</v>
      </c>
    </row>
    <row r="48" spans="1:78" x14ac:dyDescent="0.3">
      <c r="Q48" s="423">
        <v>79</v>
      </c>
      <c r="R48" s="337">
        <v>76.100000000000009</v>
      </c>
      <c r="S48" s="337">
        <v>76.100000000000009</v>
      </c>
      <c r="T48" s="337">
        <v>76.100000000000009</v>
      </c>
      <c r="U48" s="337">
        <v>76.100000000000009</v>
      </c>
      <c r="V48" s="337">
        <v>76.100000000000009</v>
      </c>
      <c r="W48" s="337">
        <v>76.100000000000009</v>
      </c>
      <c r="X48" s="337">
        <v>76.100000000000009</v>
      </c>
      <c r="Y48" s="337">
        <v>76.100000000000009</v>
      </c>
      <c r="Z48" s="337">
        <v>76.100000000000009</v>
      </c>
      <c r="AA48" s="337">
        <v>76.100000000000009</v>
      </c>
      <c r="AB48" s="337">
        <v>76.100000000000009</v>
      </c>
      <c r="AC48" s="401">
        <v>76.100000000000009</v>
      </c>
    </row>
    <row r="49" spans="17:29" x14ac:dyDescent="0.3">
      <c r="Q49" s="322">
        <v>70.400000000000006</v>
      </c>
      <c r="R49" s="337">
        <v>42.898964618249536</v>
      </c>
      <c r="S49" s="337">
        <v>21.911999999999999</v>
      </c>
      <c r="T49" s="337">
        <v>8.886000000000001</v>
      </c>
      <c r="U49" s="337">
        <v>8.886000000000001</v>
      </c>
      <c r="V49" s="337">
        <v>8.886000000000001</v>
      </c>
      <c r="W49" s="337">
        <v>8.886000000000001</v>
      </c>
      <c r="X49" s="337">
        <v>0.2</v>
      </c>
      <c r="Y49" s="337">
        <v>0.2</v>
      </c>
      <c r="Z49" s="337">
        <v>0.2</v>
      </c>
      <c r="AA49" s="337">
        <v>0.2</v>
      </c>
      <c r="AB49" s="337">
        <v>0</v>
      </c>
      <c r="AC49" s="401">
        <v>0</v>
      </c>
    </row>
    <row r="50" spans="17:29" x14ac:dyDescent="0.3">
      <c r="Q50" s="423">
        <v>0</v>
      </c>
      <c r="R50" s="337"/>
      <c r="S50" s="337"/>
      <c r="T50" s="337"/>
      <c r="U50" s="337"/>
      <c r="V50" s="337"/>
      <c r="W50" s="337"/>
      <c r="X50" s="337"/>
      <c r="Y50" s="337"/>
      <c r="Z50" s="500"/>
      <c r="AA50" s="500"/>
      <c r="AB50" s="500"/>
      <c r="AC50" s="508"/>
    </row>
    <row r="51" spans="17:29" x14ac:dyDescent="0.3">
      <c r="Q51" s="423">
        <v>70.400000000000006</v>
      </c>
      <c r="R51" s="501">
        <v>42.898964618249536</v>
      </c>
      <c r="S51" s="501">
        <v>21.911999999999999</v>
      </c>
      <c r="T51" s="501">
        <v>8.886000000000001</v>
      </c>
      <c r="U51" s="501">
        <v>8.886000000000001</v>
      </c>
      <c r="V51" s="501">
        <v>8.886000000000001</v>
      </c>
      <c r="W51" s="501">
        <v>8.886000000000001</v>
      </c>
      <c r="X51" s="501">
        <v>0.2</v>
      </c>
      <c r="Y51" s="501">
        <v>0.2</v>
      </c>
      <c r="Z51" s="501">
        <v>0.2</v>
      </c>
      <c r="AA51" s="501">
        <v>0.2</v>
      </c>
      <c r="AB51" s="501">
        <v>0</v>
      </c>
      <c r="AC51" s="519">
        <v>0</v>
      </c>
    </row>
    <row r="52" spans="17:29" x14ac:dyDescent="0.3">
      <c r="Q52" s="423">
        <v>0.6</v>
      </c>
      <c r="R52" s="337"/>
      <c r="S52" s="337"/>
      <c r="T52" s="337"/>
      <c r="U52" s="337"/>
      <c r="V52" s="502"/>
      <c r="W52" s="502"/>
      <c r="X52" s="502"/>
      <c r="Y52" s="502"/>
      <c r="Z52" s="500"/>
      <c r="AA52" s="500"/>
      <c r="AB52" s="500"/>
      <c r="AC52" s="508"/>
    </row>
    <row r="53" spans="17:29" x14ac:dyDescent="0.3">
      <c r="Q53" s="423">
        <v>0</v>
      </c>
      <c r="R53" s="337">
        <v>0</v>
      </c>
      <c r="S53" s="337">
        <v>0</v>
      </c>
      <c r="T53" s="337">
        <v>0</v>
      </c>
      <c r="U53" s="337">
        <v>0</v>
      </c>
      <c r="V53" s="337">
        <v>0</v>
      </c>
      <c r="W53" s="337">
        <v>0</v>
      </c>
      <c r="X53" s="337">
        <v>0</v>
      </c>
      <c r="Y53" s="337">
        <v>0</v>
      </c>
      <c r="Z53" s="337">
        <v>0</v>
      </c>
      <c r="AA53" s="337">
        <v>0</v>
      </c>
      <c r="AB53" s="337">
        <v>0</v>
      </c>
      <c r="AC53" s="337">
        <v>0</v>
      </c>
    </row>
    <row r="54" spans="17:29" x14ac:dyDescent="0.3">
      <c r="Q54" s="423">
        <v>0.3</v>
      </c>
      <c r="R54" s="337">
        <v>0</v>
      </c>
      <c r="S54" s="337">
        <v>0</v>
      </c>
      <c r="T54" s="337">
        <v>0</v>
      </c>
      <c r="U54" s="337">
        <v>0</v>
      </c>
      <c r="V54" s="337">
        <v>0</v>
      </c>
      <c r="W54" s="337">
        <v>0</v>
      </c>
      <c r="X54" s="337">
        <v>0</v>
      </c>
      <c r="Y54" s="337">
        <v>0</v>
      </c>
      <c r="Z54" s="337">
        <v>0</v>
      </c>
      <c r="AA54" s="337">
        <v>0</v>
      </c>
      <c r="AB54" s="337">
        <v>0</v>
      </c>
      <c r="AC54" s="401">
        <v>0</v>
      </c>
    </row>
    <row r="55" spans="17:29" x14ac:dyDescent="0.3">
      <c r="Q55" s="423">
        <v>32.200000000000003</v>
      </c>
      <c r="R55" s="337">
        <v>20.986964618249537</v>
      </c>
      <c r="S55" s="337">
        <v>0</v>
      </c>
      <c r="T55" s="337">
        <v>0</v>
      </c>
      <c r="U55" s="337"/>
      <c r="V55" s="337"/>
      <c r="W55" s="337"/>
      <c r="X55" s="337"/>
      <c r="Y55" s="337"/>
      <c r="Z55" s="500"/>
      <c r="AA55" s="500"/>
      <c r="AB55" s="500"/>
      <c r="AC55" s="508"/>
    </row>
    <row r="56" spans="17:29" x14ac:dyDescent="0.3">
      <c r="Q56" s="423">
        <v>18.600000000000001</v>
      </c>
      <c r="R56" s="337">
        <v>5.6120000000000001</v>
      </c>
      <c r="S56" s="337">
        <v>5.6120000000000001</v>
      </c>
      <c r="T56" s="337">
        <v>0.48599999999999993</v>
      </c>
      <c r="U56" s="337">
        <v>0.48599999999999993</v>
      </c>
      <c r="V56" s="337">
        <v>0.48599999999999993</v>
      </c>
      <c r="W56" s="337">
        <v>0.48599999999999993</v>
      </c>
      <c r="X56" s="337">
        <v>0</v>
      </c>
      <c r="Y56" s="337">
        <v>0</v>
      </c>
      <c r="Z56" s="337">
        <v>0</v>
      </c>
      <c r="AA56" s="337">
        <v>0</v>
      </c>
      <c r="AB56" s="337">
        <v>0</v>
      </c>
      <c r="AC56" s="401">
        <v>0</v>
      </c>
    </row>
    <row r="57" spans="17:29" x14ac:dyDescent="0.3">
      <c r="Q57" s="423">
        <v>0</v>
      </c>
      <c r="R57" s="337">
        <v>0</v>
      </c>
      <c r="S57" s="337">
        <v>0</v>
      </c>
      <c r="T57" s="337">
        <v>0</v>
      </c>
      <c r="U57" s="337">
        <v>0</v>
      </c>
      <c r="V57" s="337">
        <v>0</v>
      </c>
      <c r="W57" s="337">
        <v>0</v>
      </c>
      <c r="X57" s="337">
        <v>0</v>
      </c>
      <c r="Y57" s="337">
        <v>0</v>
      </c>
      <c r="Z57" s="337">
        <v>0</v>
      </c>
      <c r="AA57" s="337">
        <v>0</v>
      </c>
      <c r="AB57" s="337">
        <v>0</v>
      </c>
      <c r="AC57" s="337">
        <v>0</v>
      </c>
    </row>
    <row r="58" spans="17:29" x14ac:dyDescent="0.3">
      <c r="Q58" s="423">
        <v>2.4</v>
      </c>
      <c r="R58" s="337">
        <v>0</v>
      </c>
      <c r="S58" s="337">
        <v>0</v>
      </c>
      <c r="T58" s="337">
        <v>0</v>
      </c>
      <c r="U58" s="337">
        <v>0</v>
      </c>
      <c r="V58" s="337">
        <v>0</v>
      </c>
      <c r="W58" s="337">
        <v>0</v>
      </c>
      <c r="X58" s="337">
        <v>0</v>
      </c>
      <c r="Y58" s="337">
        <v>0</v>
      </c>
      <c r="Z58" s="337">
        <v>0</v>
      </c>
      <c r="AA58" s="337">
        <v>0</v>
      </c>
      <c r="AB58" s="337">
        <v>0</v>
      </c>
      <c r="AC58" s="337">
        <v>0</v>
      </c>
    </row>
    <row r="59" spans="17:29" x14ac:dyDescent="0.3">
      <c r="Q59" s="423">
        <v>0</v>
      </c>
      <c r="R59" s="337">
        <v>0</v>
      </c>
      <c r="S59" s="337">
        <v>0</v>
      </c>
      <c r="T59" s="337">
        <v>0</v>
      </c>
      <c r="U59" s="337">
        <v>0</v>
      </c>
      <c r="V59" s="337">
        <v>0</v>
      </c>
      <c r="W59" s="337">
        <v>0</v>
      </c>
      <c r="X59" s="337">
        <v>0</v>
      </c>
      <c r="Y59" s="337">
        <v>0</v>
      </c>
      <c r="Z59" s="337">
        <v>0</v>
      </c>
      <c r="AA59" s="337">
        <v>0</v>
      </c>
      <c r="AB59" s="337">
        <v>0</v>
      </c>
      <c r="AC59" s="337">
        <v>0</v>
      </c>
    </row>
    <row r="60" spans="17:29" x14ac:dyDescent="0.3">
      <c r="Q60" s="322">
        <v>11.3</v>
      </c>
      <c r="R60" s="337">
        <v>11.3</v>
      </c>
      <c r="S60" s="337">
        <v>11.3</v>
      </c>
      <c r="T60" s="337">
        <v>8.4</v>
      </c>
      <c r="U60" s="337">
        <v>8.4</v>
      </c>
      <c r="V60" s="337">
        <v>8.4</v>
      </c>
      <c r="W60" s="337">
        <v>8.4</v>
      </c>
      <c r="X60" s="337">
        <v>0.2</v>
      </c>
      <c r="Y60" s="337">
        <v>0.2</v>
      </c>
      <c r="Z60" s="337">
        <v>0.2</v>
      </c>
      <c r="AA60" s="337">
        <v>0.2</v>
      </c>
      <c r="AB60" s="337">
        <v>0</v>
      </c>
      <c r="AC60" s="401">
        <v>0</v>
      </c>
    </row>
    <row r="61" spans="17:29" x14ac:dyDescent="0.3">
      <c r="Q61" s="322">
        <v>5</v>
      </c>
      <c r="R61" s="401">
        <v>5</v>
      </c>
      <c r="S61" s="401">
        <v>5</v>
      </c>
      <c r="T61" s="516">
        <v>0</v>
      </c>
      <c r="U61" s="516">
        <v>0</v>
      </c>
      <c r="V61" s="516">
        <v>0</v>
      </c>
      <c r="W61" s="516">
        <v>0</v>
      </c>
      <c r="X61" s="516">
        <v>0</v>
      </c>
      <c r="Y61" s="516">
        <v>0</v>
      </c>
      <c r="Z61" s="516">
        <v>0</v>
      </c>
      <c r="AA61" s="516">
        <v>0</v>
      </c>
      <c r="AB61" s="516">
        <v>0</v>
      </c>
      <c r="AC61" s="518">
        <v>0</v>
      </c>
    </row>
    <row r="62" spans="17:29" x14ac:dyDescent="0.3">
      <c r="Q62" s="322"/>
      <c r="R62" s="337"/>
      <c r="S62" s="337"/>
      <c r="T62" s="337"/>
      <c r="U62" s="337"/>
      <c r="V62" s="500"/>
      <c r="W62" s="500"/>
      <c r="X62" s="500"/>
      <c r="Y62" s="500"/>
      <c r="Z62" s="500"/>
      <c r="AA62" s="500"/>
      <c r="AB62" s="500"/>
      <c r="AC62" s="508"/>
    </row>
    <row r="63" spans="17:29" x14ac:dyDescent="0.3">
      <c r="Q63" s="322"/>
      <c r="R63" s="337"/>
      <c r="S63" s="337"/>
      <c r="T63" s="337"/>
      <c r="U63" s="337"/>
      <c r="V63" s="500"/>
      <c r="W63" s="500"/>
      <c r="X63" s="500"/>
      <c r="Y63" s="500"/>
      <c r="Z63" s="500"/>
      <c r="AA63" s="500"/>
      <c r="AB63" s="500"/>
      <c r="AC63" s="508"/>
    </row>
    <row r="64" spans="17:29" ht="14.4" customHeight="1" x14ac:dyDescent="0.3">
      <c r="Q64" s="322"/>
      <c r="R64" s="337"/>
      <c r="S64" s="337"/>
      <c r="T64" s="337"/>
      <c r="U64" s="337"/>
      <c r="V64" s="500"/>
      <c r="W64" s="500"/>
      <c r="X64" s="500"/>
      <c r="Y64" s="500"/>
      <c r="Z64" s="500"/>
      <c r="AA64" s="500"/>
      <c r="AB64" s="500"/>
      <c r="AC64" s="508"/>
    </row>
    <row r="65" spans="17:29" x14ac:dyDescent="0.3">
      <c r="Q65" s="322"/>
      <c r="R65" s="337"/>
      <c r="S65" s="337"/>
      <c r="T65" s="337"/>
      <c r="U65" s="337"/>
      <c r="V65" s="500"/>
      <c r="W65" s="500"/>
      <c r="X65" s="500"/>
      <c r="Y65" s="500"/>
      <c r="Z65" s="500"/>
      <c r="AA65" s="500"/>
      <c r="AB65" s="500"/>
      <c r="AC65" s="508"/>
    </row>
    <row r="66" spans="17:29" x14ac:dyDescent="0.3">
      <c r="Q66" s="419"/>
      <c r="R66" s="406"/>
      <c r="S66" s="406"/>
      <c r="T66" s="406"/>
      <c r="U66" s="406"/>
      <c r="V66" s="500"/>
      <c r="W66" s="500"/>
      <c r="X66" s="500"/>
      <c r="Y66" s="500"/>
      <c r="Z66" s="500"/>
      <c r="AA66" s="500"/>
      <c r="AB66" s="500"/>
      <c r="AC66" s="508"/>
    </row>
    <row r="67" spans="17:29" x14ac:dyDescent="0.3">
      <c r="Q67" s="419"/>
      <c r="R67" s="406"/>
      <c r="S67" s="406"/>
      <c r="T67" s="406"/>
      <c r="U67" s="406"/>
      <c r="V67" s="500"/>
      <c r="W67" s="500"/>
      <c r="X67" s="500"/>
      <c r="Y67" s="500"/>
      <c r="Z67" s="500"/>
      <c r="AA67" s="500"/>
      <c r="AB67" s="500"/>
      <c r="AC67" s="508"/>
    </row>
    <row r="68" spans="17:29" ht="27.6" customHeight="1" x14ac:dyDescent="0.3">
      <c r="Q68" s="322"/>
      <c r="R68" s="337"/>
      <c r="S68" s="337"/>
      <c r="T68" s="337"/>
      <c r="U68" s="337"/>
      <c r="V68" s="500"/>
      <c r="W68" s="500"/>
      <c r="X68" s="500"/>
      <c r="Y68" s="500"/>
      <c r="Z68" s="500"/>
      <c r="AA68" s="500"/>
      <c r="AB68" s="500"/>
      <c r="AC68" s="508"/>
    </row>
    <row r="69" spans="17:29" x14ac:dyDescent="0.3">
      <c r="Q69" s="322"/>
      <c r="R69" s="514"/>
      <c r="S69" s="514"/>
      <c r="T69" s="514"/>
      <c r="U69" s="514"/>
      <c r="V69" s="517"/>
      <c r="W69" s="517"/>
      <c r="X69" s="517"/>
      <c r="Y69" s="517"/>
      <c r="Z69" s="517"/>
      <c r="AA69" s="517"/>
      <c r="AB69" s="517"/>
      <c r="AC69" s="493"/>
    </row>
    <row r="70" spans="17:29" x14ac:dyDescent="0.3">
      <c r="Q70" s="322">
        <v>7.1439999999999992</v>
      </c>
      <c r="R70" s="337">
        <v>7.1439999999999992</v>
      </c>
      <c r="S70" s="337">
        <v>7.1439999999999992</v>
      </c>
      <c r="T70" s="337">
        <v>0</v>
      </c>
      <c r="U70" s="337">
        <v>0</v>
      </c>
      <c r="V70" s="337">
        <v>0</v>
      </c>
      <c r="W70" s="337">
        <v>0</v>
      </c>
      <c r="X70" s="337">
        <v>0</v>
      </c>
      <c r="Y70" s="337">
        <v>0</v>
      </c>
      <c r="Z70" s="337">
        <v>0</v>
      </c>
      <c r="AA70" s="337">
        <v>0</v>
      </c>
      <c r="AB70" s="337">
        <v>0</v>
      </c>
      <c r="AC70" s="401">
        <v>0</v>
      </c>
    </row>
    <row r="71" spans="17:29" ht="14.4" customHeight="1" x14ac:dyDescent="0.3">
      <c r="Q71" s="322">
        <v>5.6120000000000001</v>
      </c>
      <c r="R71" s="337">
        <v>5.6120000000000001</v>
      </c>
      <c r="S71" s="337">
        <v>5.6120000000000001</v>
      </c>
      <c r="T71" s="337">
        <v>0.48599999999999993</v>
      </c>
      <c r="U71" s="337">
        <v>0.48599999999999993</v>
      </c>
      <c r="V71" s="337">
        <v>0.48599999999999993</v>
      </c>
      <c r="W71" s="337">
        <v>0.48599999999999993</v>
      </c>
      <c r="X71" s="337">
        <v>0</v>
      </c>
      <c r="Y71" s="337">
        <v>0</v>
      </c>
      <c r="Z71" s="337">
        <v>0</v>
      </c>
      <c r="AA71" s="337">
        <v>0</v>
      </c>
      <c r="AB71" s="337">
        <v>0</v>
      </c>
      <c r="AC71" s="401">
        <v>0</v>
      </c>
    </row>
    <row r="72" spans="17:29" x14ac:dyDescent="0.3">
      <c r="Q72" s="322">
        <v>1.7329999999999999</v>
      </c>
      <c r="R72" s="337">
        <v>1.7329999999999999</v>
      </c>
      <c r="S72" s="337">
        <v>1.7329999999999999</v>
      </c>
      <c r="T72" s="337">
        <v>0</v>
      </c>
      <c r="U72" s="337">
        <v>0</v>
      </c>
      <c r="V72" s="337">
        <v>0</v>
      </c>
      <c r="W72" s="337">
        <v>0</v>
      </c>
      <c r="X72" s="337">
        <v>0</v>
      </c>
      <c r="Y72" s="337">
        <v>0</v>
      </c>
      <c r="Z72" s="337">
        <v>0</v>
      </c>
      <c r="AA72" s="337">
        <v>0</v>
      </c>
      <c r="AB72" s="337">
        <v>0</v>
      </c>
      <c r="AC72" s="401">
        <v>0</v>
      </c>
    </row>
    <row r="73" spans="17:29" x14ac:dyDescent="0.3">
      <c r="Q73" s="322">
        <v>1.0687500000000001</v>
      </c>
      <c r="R73" s="337">
        <v>1.0687500000000001</v>
      </c>
      <c r="S73" s="337">
        <v>1.0687500000000001</v>
      </c>
      <c r="T73" s="337">
        <v>0.78750000000000009</v>
      </c>
      <c r="U73" s="337">
        <v>0.78750000000000009</v>
      </c>
      <c r="V73" s="337">
        <v>0.78750000000000009</v>
      </c>
      <c r="W73" s="337">
        <v>0.78750000000000009</v>
      </c>
      <c r="X73" s="337">
        <v>0</v>
      </c>
      <c r="Y73" s="337">
        <v>0</v>
      </c>
      <c r="Z73" s="337">
        <v>0</v>
      </c>
      <c r="AA73" s="337">
        <v>0</v>
      </c>
      <c r="AB73" s="337">
        <v>0</v>
      </c>
      <c r="AC73" s="401">
        <v>0</v>
      </c>
    </row>
    <row r="74" spans="17:29" ht="27.6" customHeight="1" x14ac:dyDescent="0.3">
      <c r="Q74" s="322">
        <v>1.7812500000000002</v>
      </c>
      <c r="R74" s="337">
        <v>1.7812500000000002</v>
      </c>
      <c r="S74" s="337">
        <v>1.7812500000000002</v>
      </c>
      <c r="T74" s="337">
        <v>1.3125000000000002</v>
      </c>
      <c r="U74" s="337">
        <v>1.3125000000000002</v>
      </c>
      <c r="V74" s="337">
        <v>1.3125000000000002</v>
      </c>
      <c r="W74" s="337">
        <v>1.3125000000000002</v>
      </c>
      <c r="X74" s="337">
        <v>0</v>
      </c>
      <c r="Y74" s="337">
        <v>0</v>
      </c>
      <c r="Z74" s="337">
        <v>0</v>
      </c>
      <c r="AA74" s="337">
        <v>0</v>
      </c>
      <c r="AB74" s="337">
        <v>0</v>
      </c>
      <c r="AC74" s="401">
        <v>0</v>
      </c>
    </row>
    <row r="75" spans="17:29" x14ac:dyDescent="0.3">
      <c r="Q75" s="322">
        <v>11.3</v>
      </c>
      <c r="R75" s="337">
        <v>11.3</v>
      </c>
      <c r="S75" s="337">
        <v>11.3</v>
      </c>
      <c r="T75" s="337">
        <v>8.4</v>
      </c>
      <c r="U75" s="337">
        <v>8.4</v>
      </c>
      <c r="V75" s="337">
        <v>8.4</v>
      </c>
      <c r="W75" s="337">
        <v>8.4</v>
      </c>
      <c r="X75" s="337">
        <v>0.2</v>
      </c>
      <c r="Y75" s="337">
        <v>0.2</v>
      </c>
      <c r="Z75" s="337">
        <v>0.2</v>
      </c>
      <c r="AA75" s="337">
        <v>0.2</v>
      </c>
      <c r="AB75" s="337">
        <v>0</v>
      </c>
      <c r="AC75" s="401">
        <v>0</v>
      </c>
    </row>
    <row r="76" spans="17:29" x14ac:dyDescent="0.3">
      <c r="Q76" s="322">
        <v>0</v>
      </c>
      <c r="R76" s="337">
        <v>0</v>
      </c>
      <c r="S76" s="337">
        <v>0</v>
      </c>
      <c r="T76" s="337">
        <v>0</v>
      </c>
      <c r="U76" s="337">
        <v>0</v>
      </c>
      <c r="V76" s="337">
        <v>0</v>
      </c>
      <c r="W76" s="337">
        <v>0</v>
      </c>
      <c r="X76" s="337">
        <v>0</v>
      </c>
      <c r="Y76" s="337">
        <v>0</v>
      </c>
      <c r="Z76" s="337">
        <v>0</v>
      </c>
      <c r="AA76" s="337">
        <v>0</v>
      </c>
      <c r="AB76" s="337">
        <v>0</v>
      </c>
      <c r="AC76" s="401">
        <v>0</v>
      </c>
    </row>
    <row r="77" spans="17:29" x14ac:dyDescent="0.3">
      <c r="Q77" s="323">
        <v>110.24799999999999</v>
      </c>
      <c r="R77" s="337">
        <v>110.24799999999999</v>
      </c>
      <c r="S77" s="337">
        <v>110.24799999999999</v>
      </c>
      <c r="T77" s="337">
        <v>12.362</v>
      </c>
      <c r="U77" s="337">
        <v>12.362</v>
      </c>
      <c r="V77" s="337">
        <v>12.362</v>
      </c>
      <c r="W77" s="337">
        <v>12.362</v>
      </c>
      <c r="X77" s="337">
        <v>-0.67500000000000004</v>
      </c>
      <c r="Y77" s="337">
        <v>-0.67500000000000004</v>
      </c>
      <c r="Z77" s="337">
        <v>-0.67500000000000004</v>
      </c>
      <c r="AA77" s="337">
        <v>-0.67500000000000004</v>
      </c>
      <c r="AB77" s="337">
        <v>0</v>
      </c>
      <c r="AC77" s="401">
        <v>0</v>
      </c>
    </row>
    <row r="78" spans="17:29" x14ac:dyDescent="0.3">
      <c r="Q78" s="73"/>
      <c r="R78" s="514"/>
      <c r="S78" s="514"/>
      <c r="T78" s="514"/>
      <c r="U78" s="514"/>
      <c r="V78" s="517"/>
      <c r="W78" s="517"/>
      <c r="X78" s="517"/>
      <c r="Y78" s="517"/>
      <c r="Z78" s="517"/>
      <c r="AA78" s="517"/>
      <c r="AB78" s="517"/>
      <c r="AC78" s="493"/>
    </row>
    <row r="79" spans="17:29" x14ac:dyDescent="0.3">
      <c r="Q79" s="505">
        <v>110.24799999999999</v>
      </c>
      <c r="R79" s="494">
        <v>110.24799999999999</v>
      </c>
      <c r="S79" s="494">
        <v>110.24799999999999</v>
      </c>
      <c r="T79" s="494">
        <v>12.726000000000001</v>
      </c>
      <c r="U79" s="494">
        <v>12.726000000000001</v>
      </c>
      <c r="V79" s="494">
        <v>12.726000000000001</v>
      </c>
      <c r="W79" s="494">
        <v>12.726000000000001</v>
      </c>
      <c r="X79" s="494">
        <v>1.365</v>
      </c>
      <c r="Y79" s="494">
        <v>1.365</v>
      </c>
      <c r="Z79" s="494">
        <v>1.365</v>
      </c>
      <c r="AA79" s="494">
        <v>1.365</v>
      </c>
      <c r="AB79" s="494">
        <v>-0.90100000000000025</v>
      </c>
      <c r="AC79" s="520">
        <v>-0.90100000000000025</v>
      </c>
    </row>
    <row r="80" spans="17:29" ht="14.4" customHeight="1" x14ac:dyDescent="0.3">
      <c r="Q80" s="495">
        <v>39.152000000000015</v>
      </c>
      <c r="R80" s="497">
        <v>8.7509646182495544</v>
      </c>
      <c r="S80" s="497">
        <v>-12.23599999999999</v>
      </c>
      <c r="T80" s="497">
        <v>72.260000000000005</v>
      </c>
      <c r="U80" s="497">
        <v>72.260000000000005</v>
      </c>
      <c r="V80" s="497">
        <v>72.260000000000005</v>
      </c>
      <c r="W80" s="497">
        <v>72.260000000000005</v>
      </c>
      <c r="X80" s="497">
        <v>74.935000000000016</v>
      </c>
      <c r="Y80" s="497">
        <v>74.935000000000016</v>
      </c>
      <c r="Z80" s="497">
        <v>74.935000000000016</v>
      </c>
      <c r="AA80" s="497">
        <v>74.935000000000016</v>
      </c>
      <c r="AB80" s="497">
        <v>77.001000000000005</v>
      </c>
      <c r="AC80" s="498">
        <v>77.001000000000005</v>
      </c>
    </row>
  </sheetData>
  <mergeCells count="14">
    <mergeCell ref="B1:AC1"/>
    <mergeCell ref="B42:C42"/>
    <mergeCell ref="U9:X9"/>
    <mergeCell ref="B26:C26"/>
    <mergeCell ref="B8:C10"/>
    <mergeCell ref="I9:L9"/>
    <mergeCell ref="E9:H9"/>
    <mergeCell ref="B33:C33"/>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topLeftCell="A19" zoomScale="90" zoomScaleNormal="90" workbookViewId="0">
      <selection activeCell="S30" sqref="S30"/>
    </sheetView>
  </sheetViews>
  <sheetFormatPr defaultColWidth="11.554687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947" t="s">
        <v>54</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25" customHeight="1" x14ac:dyDescent="0.3">
      <c r="B2" s="1021" t="s">
        <v>938</v>
      </c>
      <c r="C2" s="1021"/>
      <c r="D2" s="1021"/>
      <c r="E2" s="1021"/>
      <c r="F2" s="1021"/>
      <c r="G2" s="1021"/>
      <c r="H2" s="1021"/>
      <c r="I2" s="1021"/>
      <c r="J2" s="1021"/>
      <c r="K2" s="1021"/>
      <c r="L2" s="1021"/>
      <c r="M2" s="1021"/>
      <c r="N2" s="1021"/>
      <c r="O2" s="1021"/>
      <c r="P2" s="1021"/>
      <c r="Q2" s="1021"/>
      <c r="R2" s="1021"/>
      <c r="S2" s="1021"/>
      <c r="T2" s="1021"/>
      <c r="U2" s="1021"/>
      <c r="V2" s="1029" t="s">
        <v>1011</v>
      </c>
      <c r="W2" s="1029"/>
      <c r="X2" s="1029"/>
      <c r="Y2" s="1029"/>
      <c r="Z2" s="1029"/>
      <c r="AA2" s="1029"/>
      <c r="AB2" s="1029"/>
      <c r="AC2" s="562"/>
    </row>
    <row r="3" spans="2:29" ht="59.7" customHeight="1" x14ac:dyDescent="0.3">
      <c r="B3" s="1021"/>
      <c r="C3" s="1021"/>
      <c r="D3" s="1021"/>
      <c r="E3" s="1021"/>
      <c r="F3" s="1021"/>
      <c r="G3" s="1021"/>
      <c r="H3" s="1021"/>
      <c r="I3" s="1021"/>
      <c r="J3" s="1021"/>
      <c r="K3" s="1021"/>
      <c r="L3" s="1021"/>
      <c r="M3" s="1021"/>
      <c r="N3" s="1021"/>
      <c r="O3" s="1021"/>
      <c r="P3" s="1021"/>
      <c r="Q3" s="1021"/>
      <c r="R3" s="1021"/>
      <c r="S3" s="1021"/>
      <c r="T3" s="1021"/>
      <c r="U3" s="1021"/>
      <c r="V3" s="1029"/>
      <c r="W3" s="1029"/>
      <c r="X3" s="1029"/>
      <c r="Y3" s="1029"/>
      <c r="Z3" s="1029"/>
      <c r="AA3" s="1029"/>
      <c r="AB3" s="1029"/>
      <c r="AC3" s="562"/>
    </row>
    <row r="4" spans="2:29" ht="88.5" customHeight="1" x14ac:dyDescent="0.3">
      <c r="B4" s="1021"/>
      <c r="C4" s="1021"/>
      <c r="D4" s="1021"/>
      <c r="E4" s="1021"/>
      <c r="F4" s="1021"/>
      <c r="G4" s="1021"/>
      <c r="H4" s="1021"/>
      <c r="I4" s="1021"/>
      <c r="J4" s="1021"/>
      <c r="K4" s="1021"/>
      <c r="L4" s="1021"/>
      <c r="M4" s="1021"/>
      <c r="N4" s="1021"/>
      <c r="O4" s="1021"/>
      <c r="P4" s="1021"/>
      <c r="Q4" s="1021"/>
      <c r="R4" s="1021"/>
      <c r="S4" s="1021"/>
      <c r="T4" s="1021"/>
      <c r="U4" s="1021"/>
      <c r="V4" s="1029"/>
      <c r="W4" s="1029"/>
      <c r="X4" s="1029"/>
      <c r="Y4" s="1029"/>
      <c r="Z4" s="1029"/>
      <c r="AA4" s="1029"/>
      <c r="AB4" s="1029"/>
      <c r="AC4" s="562"/>
    </row>
    <row r="5" spans="2:29" ht="33" customHeight="1" x14ac:dyDescent="0.3">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row>
    <row r="6" spans="2:29" x14ac:dyDescent="0.3">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row>
    <row r="7" spans="2:29" ht="14.7" customHeight="1" x14ac:dyDescent="0.3">
      <c r="B7" s="980" t="s">
        <v>465</v>
      </c>
      <c r="C7" s="960"/>
      <c r="D7" s="957" t="s">
        <v>325</v>
      </c>
      <c r="E7" s="958"/>
      <c r="F7" s="958"/>
      <c r="G7" s="958"/>
      <c r="H7" s="958"/>
      <c r="I7" s="958"/>
      <c r="J7" s="958"/>
      <c r="K7" s="958"/>
      <c r="L7" s="958"/>
      <c r="M7" s="958"/>
      <c r="N7" s="958"/>
      <c r="O7" s="958"/>
      <c r="P7" s="958"/>
      <c r="Q7" s="958"/>
      <c r="R7" s="988"/>
      <c r="S7" s="990" t="s">
        <v>326</v>
      </c>
      <c r="T7" s="990"/>
      <c r="U7" s="990"/>
      <c r="V7" s="990"/>
      <c r="W7" s="990"/>
      <c r="X7" s="990"/>
      <c r="Y7" s="990"/>
      <c r="Z7" s="990"/>
      <c r="AA7" s="990"/>
      <c r="AB7" s="990"/>
      <c r="AC7" s="991"/>
    </row>
    <row r="8" spans="2:29" x14ac:dyDescent="0.3">
      <c r="B8" s="981"/>
      <c r="C8" s="1011"/>
      <c r="D8" s="201">
        <v>2018</v>
      </c>
      <c r="E8" s="948">
        <v>2019</v>
      </c>
      <c r="F8" s="949"/>
      <c r="G8" s="949"/>
      <c r="H8" s="956"/>
      <c r="I8" s="948">
        <v>2020</v>
      </c>
      <c r="J8" s="949"/>
      <c r="K8" s="949"/>
      <c r="L8" s="949"/>
      <c r="M8" s="948">
        <v>2021</v>
      </c>
      <c r="N8" s="949"/>
      <c r="O8" s="949"/>
      <c r="P8" s="956"/>
      <c r="Q8" s="986">
        <v>2022</v>
      </c>
      <c r="R8" s="987"/>
      <c r="S8" s="295"/>
      <c r="T8" s="296"/>
      <c r="U8" s="983">
        <v>2023</v>
      </c>
      <c r="V8" s="984"/>
      <c r="W8" s="984"/>
      <c r="X8" s="984"/>
      <c r="Y8" s="983">
        <v>2024</v>
      </c>
      <c r="Z8" s="984"/>
      <c r="AA8" s="984"/>
      <c r="AB8" s="985"/>
      <c r="AC8" s="262">
        <v>2025</v>
      </c>
    </row>
    <row r="9" spans="2:29" x14ac:dyDescent="0.3">
      <c r="B9" s="981"/>
      <c r="C9" s="1011"/>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x14ac:dyDescent="0.3">
      <c r="B10" s="530" t="s">
        <v>101</v>
      </c>
      <c r="C10" s="429" t="s">
        <v>491</v>
      </c>
      <c r="D10" s="558">
        <f>'Haver Pivoted'!GO13</f>
        <v>589.5</v>
      </c>
      <c r="E10" s="536">
        <f>'Haver Pivoted'!GP13</f>
        <v>598.79999999999995</v>
      </c>
      <c r="F10" s="536">
        <f>'Haver Pivoted'!GQ13</f>
        <v>614.5</v>
      </c>
      <c r="G10" s="536">
        <f>'Haver Pivoted'!GR13</f>
        <v>622.4</v>
      </c>
      <c r="H10" s="536">
        <f>'Haver Pivoted'!GS13</f>
        <v>620.5</v>
      </c>
      <c r="I10" s="536">
        <f>'Haver Pivoted'!GT13</f>
        <v>606.20000000000005</v>
      </c>
      <c r="J10" s="536">
        <f>'Haver Pivoted'!GU13</f>
        <v>654.20000000000005</v>
      </c>
      <c r="K10" s="536">
        <f>'Haver Pivoted'!GV13</f>
        <v>690.4</v>
      </c>
      <c r="L10" s="536">
        <f>'Haver Pivoted'!GW13</f>
        <v>678.3</v>
      </c>
      <c r="M10" s="536">
        <f>'Haver Pivoted'!GX13</f>
        <v>695.9</v>
      </c>
      <c r="N10" s="536">
        <f>'Haver Pivoted'!GY13</f>
        <v>730.5</v>
      </c>
      <c r="O10" s="536">
        <f>'Haver Pivoted'!GZ13</f>
        <v>775</v>
      </c>
      <c r="P10" s="536">
        <f>'Haver Pivoted'!HA13</f>
        <v>782.9</v>
      </c>
      <c r="Q10" s="536">
        <f>'Haver Pivoted'!HB13</f>
        <v>791</v>
      </c>
      <c r="R10" s="564">
        <f>'Haver Pivoted'!HC13</f>
        <v>804.5</v>
      </c>
      <c r="S10" s="312"/>
      <c r="T10" s="312"/>
      <c r="U10" s="312"/>
      <c r="V10" s="312"/>
      <c r="W10" s="312"/>
      <c r="X10" s="312"/>
      <c r="Y10" s="312"/>
      <c r="Z10" s="312"/>
      <c r="AA10" s="312"/>
      <c r="AB10" s="312"/>
      <c r="AC10" s="313"/>
    </row>
    <row r="11" spans="2:29" x14ac:dyDescent="0.3">
      <c r="B11" s="180" t="s">
        <v>492</v>
      </c>
      <c r="C11" s="157" t="s">
        <v>387</v>
      </c>
      <c r="D11" s="554">
        <f>'Haver Pivoted'!GO40</f>
        <v>390.86599999999999</v>
      </c>
      <c r="E11" s="479">
        <f>'Haver Pivoted'!GP40</f>
        <v>408.75599999999997</v>
      </c>
      <c r="F11" s="479">
        <f>'Haver Pivoted'!GQ40</f>
        <v>413.34399999999999</v>
      </c>
      <c r="G11" s="479">
        <f>'Haver Pivoted'!GR40</f>
        <v>418.529</v>
      </c>
      <c r="H11" s="479">
        <f>'Haver Pivoted'!GS40</f>
        <v>413.80599999999998</v>
      </c>
      <c r="I11" s="479">
        <f>'Haver Pivoted'!GT40</f>
        <v>428.11799999999999</v>
      </c>
      <c r="J11" s="479">
        <f>'Haver Pivoted'!GU40</f>
        <v>502.49</v>
      </c>
      <c r="K11" s="479">
        <f>'Haver Pivoted'!GV40</f>
        <v>481.71699999999998</v>
      </c>
      <c r="L11" s="479">
        <f>'Haver Pivoted'!GW40</f>
        <v>507.83699999999999</v>
      </c>
      <c r="M11" s="479">
        <f>'Haver Pivoted'!GX40</f>
        <v>511.34500000000003</v>
      </c>
      <c r="N11" s="479">
        <f>'Haver Pivoted'!GY40</f>
        <v>520.72900000000004</v>
      </c>
      <c r="O11" s="479">
        <f>'Haver Pivoted'!GZ40</f>
        <v>530.82100000000003</v>
      </c>
      <c r="P11" s="479">
        <f>'Haver Pivoted'!HA40</f>
        <v>541.83299999999997</v>
      </c>
      <c r="Q11" s="479">
        <f>'Haver Pivoted'!HB40</f>
        <v>578.14700000000005</v>
      </c>
      <c r="R11" s="473">
        <f>'Haver Pivoted'!HC40</f>
        <v>576.01</v>
      </c>
      <c r="S11" s="362"/>
      <c r="T11" s="362"/>
      <c r="U11" s="362"/>
      <c r="V11" s="362"/>
      <c r="W11" s="362"/>
      <c r="X11" s="362"/>
      <c r="Y11" s="362"/>
      <c r="Z11" s="362"/>
      <c r="AA11" s="362"/>
      <c r="AB11" s="362"/>
      <c r="AC11" s="381"/>
    </row>
    <row r="12" spans="2:29" ht="27.6" customHeight="1" x14ac:dyDescent="0.3">
      <c r="B12" s="438" t="s">
        <v>979</v>
      </c>
      <c r="C12" s="563"/>
      <c r="D12" s="561">
        <f t="shared" ref="D12:N12" si="0">D11/D10</f>
        <v>0.6630466497031382</v>
      </c>
      <c r="E12" s="529">
        <f t="shared" si="0"/>
        <v>0.68262525050100198</v>
      </c>
      <c r="F12" s="529">
        <f t="shared" si="0"/>
        <v>0.6726509357200976</v>
      </c>
      <c r="G12" s="529">
        <f t="shared" si="0"/>
        <v>0.67244376606683809</v>
      </c>
      <c r="H12" s="529">
        <f t="shared" si="0"/>
        <v>0.66689121676067686</v>
      </c>
      <c r="I12" s="529">
        <f t="shared" si="0"/>
        <v>0.70623226657868687</v>
      </c>
      <c r="J12" s="529">
        <f t="shared" si="0"/>
        <v>0.76809844084377865</v>
      </c>
      <c r="K12" s="529">
        <f t="shared" si="0"/>
        <v>0.69773609501738121</v>
      </c>
      <c r="L12" s="529">
        <f t="shared" si="0"/>
        <v>0.7486908447589562</v>
      </c>
      <c r="M12" s="529">
        <f t="shared" si="0"/>
        <v>0.7347966661876707</v>
      </c>
      <c r="N12" s="529">
        <f t="shared" si="0"/>
        <v>0.71283915126625608</v>
      </c>
      <c r="O12" s="529">
        <f>O11/O10</f>
        <v>0.68493032258064523</v>
      </c>
      <c r="P12" s="529">
        <f>P11/P10</f>
        <v>0.69208455741474006</v>
      </c>
      <c r="Q12" s="529">
        <f>Q11/Q10</f>
        <v>0.73090644753476619</v>
      </c>
      <c r="R12" s="565">
        <f>R11/R10</f>
        <v>0.71598508390304538</v>
      </c>
      <c r="S12" s="568">
        <f>R12</f>
        <v>0.71598508390304538</v>
      </c>
      <c r="T12" s="568">
        <f>S12+(H52-G52)</f>
        <v>0.71251763168289883</v>
      </c>
      <c r="U12" s="568">
        <f t="shared" ref="U12:Y12" si="1">T12</f>
        <v>0.71251763168289883</v>
      </c>
      <c r="V12" s="568">
        <f t="shared" si="1"/>
        <v>0.71251763168289883</v>
      </c>
      <c r="W12" s="568">
        <f>V12-0.05</f>
        <v>0.66251763168289879</v>
      </c>
      <c r="X12" s="568">
        <f>W12++(I52-H52)</f>
        <v>0.66196726525094018</v>
      </c>
      <c r="Y12" s="568">
        <f t="shared" si="1"/>
        <v>0.66196726525094018</v>
      </c>
      <c r="Z12" s="568">
        <f t="shared" ref="Z12" si="2">Y12</f>
        <v>0.66196726525094018</v>
      </c>
      <c r="AA12" s="568">
        <f t="shared" ref="AA12" si="3">Z12</f>
        <v>0.66196726525094018</v>
      </c>
      <c r="AB12" s="568">
        <f>AA12+(J52-I52)</f>
        <v>0.65704127013669966</v>
      </c>
      <c r="AC12" s="569">
        <f t="shared" ref="AC12" si="4">AB12</f>
        <v>0.65704127013669966</v>
      </c>
    </row>
    <row r="13" spans="2:29" ht="27.6" customHeight="1" x14ac:dyDescent="0.3"/>
    <row r="14" spans="2:29" x14ac:dyDescent="0.3">
      <c r="B14" s="157"/>
      <c r="C14" s="157"/>
      <c r="D14" s="528"/>
      <c r="E14" s="528"/>
      <c r="F14" s="528"/>
      <c r="G14" s="528"/>
      <c r="H14" s="528"/>
      <c r="I14" s="528"/>
      <c r="J14" s="528"/>
      <c r="K14" s="528"/>
      <c r="L14" s="528"/>
      <c r="M14" s="528"/>
      <c r="N14" s="528"/>
      <c r="O14" s="528"/>
      <c r="P14" s="157"/>
      <c r="Q14" s="564">
        <v>791</v>
      </c>
      <c r="R14" s="574"/>
      <c r="S14" s="312"/>
      <c r="T14" s="312"/>
      <c r="U14" s="312"/>
      <c r="V14" s="312"/>
      <c r="W14" s="312"/>
      <c r="X14" s="312"/>
      <c r="Y14" s="312"/>
      <c r="Z14" s="312"/>
      <c r="AA14" s="312"/>
      <c r="AB14" s="312"/>
      <c r="AC14" s="313"/>
    </row>
    <row r="15" spans="2:29" x14ac:dyDescent="0.3">
      <c r="Q15" s="473">
        <v>578.14700000000005</v>
      </c>
      <c r="R15" s="471"/>
      <c r="S15" s="362"/>
      <c r="T15" s="362"/>
      <c r="U15" s="362"/>
      <c r="V15" s="362"/>
      <c r="W15" s="362"/>
      <c r="X15" s="362"/>
      <c r="Y15" s="362"/>
      <c r="Z15" s="362"/>
      <c r="AA15" s="362"/>
      <c r="AB15" s="362"/>
      <c r="AC15" s="381"/>
    </row>
    <row r="16" spans="2:29" x14ac:dyDescent="0.3">
      <c r="B16" s="182" t="s">
        <v>400</v>
      </c>
      <c r="Q16" s="575">
        <v>0.73090644753476619</v>
      </c>
      <c r="R16" s="572">
        <v>0.73090644753476619</v>
      </c>
      <c r="S16" s="572">
        <v>0.73090644753476619</v>
      </c>
      <c r="T16" s="572">
        <v>0.72743899531461964</v>
      </c>
      <c r="U16" s="572">
        <v>0.72743899531461964</v>
      </c>
      <c r="V16" s="572">
        <v>0.72743899531461964</v>
      </c>
      <c r="W16" s="572">
        <v>0.6774389953146196</v>
      </c>
      <c r="X16" s="572">
        <v>0.67688862888266099</v>
      </c>
      <c r="Y16" s="572">
        <v>0.67688862888266099</v>
      </c>
      <c r="Z16" s="572">
        <v>0.67688862888266099</v>
      </c>
      <c r="AA16" s="572">
        <v>0.67688862888266099</v>
      </c>
      <c r="AB16" s="572">
        <v>0.67196263376842047</v>
      </c>
      <c r="AC16" s="573">
        <v>0.67196263376842047</v>
      </c>
    </row>
    <row r="17" spans="2:29" ht="25.2" customHeight="1" x14ac:dyDescent="0.3">
      <c r="B17" s="537" t="s">
        <v>493</v>
      </c>
      <c r="C17" s="545">
        <v>2020</v>
      </c>
      <c r="D17" s="546">
        <v>2021</v>
      </c>
      <c r="E17" s="546">
        <v>2022</v>
      </c>
      <c r="F17" s="546">
        <v>2023</v>
      </c>
      <c r="G17" s="547">
        <v>2024</v>
      </c>
      <c r="H17" s="149"/>
      <c r="I17" s="149"/>
      <c r="J17" s="149"/>
    </row>
    <row r="18" spans="2:29" ht="31.5" customHeight="1" x14ac:dyDescent="0.3">
      <c r="B18" s="559" t="s">
        <v>977</v>
      </c>
      <c r="C18" s="544">
        <v>458.46800000000002</v>
      </c>
      <c r="D18" s="274">
        <v>520.58799999999997</v>
      </c>
      <c r="E18" s="274">
        <v>589.25400000000002</v>
      </c>
      <c r="F18" s="274">
        <v>601.34799999999996</v>
      </c>
      <c r="G18" s="274">
        <v>545.42499999999995</v>
      </c>
    </row>
    <row r="19" spans="2:29" x14ac:dyDescent="0.3">
      <c r="B19" s="180" t="s">
        <v>494</v>
      </c>
      <c r="C19" s="534">
        <f>AVERAGE(H12:K12)</f>
        <v>0.70973950480013093</v>
      </c>
      <c r="D19" s="528">
        <f>AVERAGE(L12:O12)</f>
        <v>0.72031424619838214</v>
      </c>
      <c r="E19" s="528">
        <f>AVERAGE(P12:S12)</f>
        <v>0.7137402931888992</v>
      </c>
      <c r="F19" s="528">
        <f>AVERAGE(T12:W12)</f>
        <v>0.70001763168289877</v>
      </c>
      <c r="G19" s="528">
        <f>AVERAGE(X12:AA12)</f>
        <v>0.66196726525094018</v>
      </c>
    </row>
    <row r="20" spans="2:29" x14ac:dyDescent="0.3">
      <c r="B20" s="180" t="s">
        <v>495</v>
      </c>
      <c r="C20" s="289">
        <f>C18/C19</f>
        <v>645.96657914527214</v>
      </c>
      <c r="D20" s="149">
        <f>D18/D19</f>
        <v>722.72345403067948</v>
      </c>
      <c r="E20" s="149">
        <f>E18/E19</f>
        <v>825.58600883703718</v>
      </c>
      <c r="F20" s="149">
        <f>F18/F19</f>
        <v>859.04693365267235</v>
      </c>
      <c r="G20" s="149">
        <f>G18/G19</f>
        <v>823.94557651312095</v>
      </c>
    </row>
    <row r="21" spans="2:29" ht="32.25" customHeight="1" x14ac:dyDescent="0.3">
      <c r="B21" s="438" t="s">
        <v>496</v>
      </c>
      <c r="C21" s="290"/>
      <c r="D21" s="529">
        <f>D20/C20-1</f>
        <v>0.11882483918435871</v>
      </c>
      <c r="E21" s="529">
        <f t="shared" ref="E21:G21" si="5">E20/D20-1</f>
        <v>0.14232629954470966</v>
      </c>
      <c r="F21" s="529">
        <v>0.09</v>
      </c>
      <c r="G21" s="529">
        <f t="shared" si="5"/>
        <v>-4.0860814193585671E-2</v>
      </c>
      <c r="I21" s="533"/>
      <c r="J21" s="533"/>
      <c r="K21" s="533"/>
      <c r="L21" s="533"/>
      <c r="R21" s="36"/>
      <c r="S21" s="560"/>
      <c r="T21" s="560"/>
      <c r="U21" s="560"/>
    </row>
    <row r="23" spans="2:29" x14ac:dyDescent="0.3">
      <c r="B23" s="182" t="s">
        <v>413</v>
      </c>
    </row>
    <row r="24" spans="2:29" x14ac:dyDescent="0.3">
      <c r="B24" s="980" t="s">
        <v>497</v>
      </c>
      <c r="C24" s="959"/>
      <c r="D24" s="957" t="s">
        <v>325</v>
      </c>
      <c r="E24" s="958"/>
      <c r="F24" s="958"/>
      <c r="G24" s="958"/>
      <c r="H24" s="958"/>
      <c r="I24" s="958"/>
      <c r="J24" s="958"/>
      <c r="K24" s="958"/>
      <c r="L24" s="958"/>
      <c r="M24" s="958"/>
      <c r="N24" s="958"/>
      <c r="O24" s="958"/>
      <c r="P24" s="958"/>
      <c r="Q24" s="958"/>
      <c r="R24" s="988"/>
      <c r="S24" s="990" t="s">
        <v>326</v>
      </c>
      <c r="T24" s="990"/>
      <c r="U24" s="990"/>
      <c r="V24" s="990"/>
      <c r="W24" s="990"/>
      <c r="X24" s="990"/>
      <c r="Y24" s="990"/>
      <c r="Z24" s="990"/>
      <c r="AA24" s="990"/>
      <c r="AB24" s="990"/>
      <c r="AC24" s="991"/>
    </row>
    <row r="25" spans="2:29" x14ac:dyDescent="0.3">
      <c r="B25" s="981"/>
      <c r="C25" s="1011"/>
      <c r="D25" s="201">
        <v>2018</v>
      </c>
      <c r="E25" s="948">
        <v>2019</v>
      </c>
      <c r="F25" s="949"/>
      <c r="G25" s="949"/>
      <c r="H25" s="956"/>
      <c r="I25" s="948">
        <v>2020</v>
      </c>
      <c r="J25" s="949"/>
      <c r="K25" s="949"/>
      <c r="L25" s="949"/>
      <c r="M25" s="948">
        <v>2021</v>
      </c>
      <c r="N25" s="949"/>
      <c r="O25" s="949"/>
      <c r="P25" s="956"/>
      <c r="Q25" s="986">
        <v>2022</v>
      </c>
      <c r="R25" s="987"/>
      <c r="S25" s="295"/>
      <c r="T25" s="296"/>
      <c r="U25" s="983">
        <v>2023</v>
      </c>
      <c r="V25" s="984"/>
      <c r="W25" s="984"/>
      <c r="X25" s="984"/>
      <c r="Y25" s="983">
        <v>2024</v>
      </c>
      <c r="Z25" s="984"/>
      <c r="AA25" s="984"/>
      <c r="AB25" s="985"/>
      <c r="AC25" s="262">
        <v>2025</v>
      </c>
    </row>
    <row r="26" spans="2:29" x14ac:dyDescent="0.3">
      <c r="B26" s="993"/>
      <c r="C26" s="1012"/>
      <c r="D26" s="155" t="s">
        <v>327</v>
      </c>
      <c r="E26" s="155" t="s">
        <v>328</v>
      </c>
      <c r="F26" s="154" t="s">
        <v>329</v>
      </c>
      <c r="G26" s="154" t="s">
        <v>238</v>
      </c>
      <c r="H26" s="205" t="s">
        <v>327</v>
      </c>
      <c r="I26" s="154" t="s">
        <v>328</v>
      </c>
      <c r="J26" s="154" t="s">
        <v>329</v>
      </c>
      <c r="K26" s="154" t="s">
        <v>238</v>
      </c>
      <c r="L26" s="154" t="s">
        <v>327</v>
      </c>
      <c r="M26" s="155" t="s">
        <v>328</v>
      </c>
      <c r="N26" s="154" t="s">
        <v>329</v>
      </c>
      <c r="O26" s="154" t="s">
        <v>238</v>
      </c>
      <c r="P26" s="205" t="s">
        <v>327</v>
      </c>
      <c r="Q26" s="155" t="s">
        <v>328</v>
      </c>
      <c r="R26" s="205" t="s">
        <v>329</v>
      </c>
      <c r="S26" s="362" t="s">
        <v>238</v>
      </c>
      <c r="T26" s="381" t="s">
        <v>327</v>
      </c>
      <c r="U26" s="361" t="s">
        <v>328</v>
      </c>
      <c r="V26" s="362" t="s">
        <v>329</v>
      </c>
      <c r="W26" s="362" t="s">
        <v>238</v>
      </c>
      <c r="X26" s="362" t="s">
        <v>327</v>
      </c>
      <c r="Y26" s="361" t="s">
        <v>328</v>
      </c>
      <c r="Z26" s="272" t="s">
        <v>329</v>
      </c>
      <c r="AA26" s="362" t="s">
        <v>238</v>
      </c>
      <c r="AB26" s="381" t="s">
        <v>327</v>
      </c>
      <c r="AC26" s="398" t="s">
        <v>328</v>
      </c>
    </row>
    <row r="27" spans="2:29" ht="19.5" customHeight="1" x14ac:dyDescent="0.3">
      <c r="B27" s="551" t="s">
        <v>498</v>
      </c>
      <c r="C27" s="552"/>
      <c r="D27" s="555">
        <f t="shared" ref="D27:R27" si="6">D10</f>
        <v>589.5</v>
      </c>
      <c r="E27" s="556">
        <f t="shared" si="6"/>
        <v>598.79999999999995</v>
      </c>
      <c r="F27" s="556">
        <f t="shared" si="6"/>
        <v>614.5</v>
      </c>
      <c r="G27" s="556">
        <f t="shared" si="6"/>
        <v>622.4</v>
      </c>
      <c r="H27" s="556">
        <f t="shared" si="6"/>
        <v>620.5</v>
      </c>
      <c r="I27" s="556">
        <f t="shared" si="6"/>
        <v>606.20000000000005</v>
      </c>
      <c r="J27" s="556">
        <f t="shared" si="6"/>
        <v>654.20000000000005</v>
      </c>
      <c r="K27" s="556">
        <f t="shared" si="6"/>
        <v>690.4</v>
      </c>
      <c r="L27" s="556">
        <f t="shared" si="6"/>
        <v>678.3</v>
      </c>
      <c r="M27" s="556">
        <f t="shared" si="6"/>
        <v>695.9</v>
      </c>
      <c r="N27" s="556">
        <f t="shared" si="6"/>
        <v>730.5</v>
      </c>
      <c r="O27" s="556">
        <f t="shared" si="6"/>
        <v>775</v>
      </c>
      <c r="P27" s="556">
        <f t="shared" si="6"/>
        <v>782.9</v>
      </c>
      <c r="Q27" s="556">
        <f t="shared" si="6"/>
        <v>791</v>
      </c>
      <c r="R27" s="571">
        <f t="shared" si="6"/>
        <v>804.5</v>
      </c>
      <c r="S27" s="550">
        <f>R27*(1+$E$21)^0.25+S30</f>
        <v>808.71319649094062</v>
      </c>
      <c r="T27" s="550">
        <f>S27*(1+$F$21)^0.25</f>
        <v>826.32549875174232</v>
      </c>
      <c r="U27" s="550">
        <f>T27*(1+$F$21)^0.25</f>
        <v>844.32136491662254</v>
      </c>
      <c r="V27" s="550">
        <f>U27*(1+$F$21)^0.25</f>
        <v>862.70914830965739</v>
      </c>
      <c r="W27" s="550">
        <f>V27*(1+$F$21)^0.25</f>
        <v>881.4973841751256</v>
      </c>
      <c r="X27" s="550">
        <f t="shared" ref="X27:AC27" si="7">W27*(1+$G$21)^0.25</f>
        <v>872.35134802581535</v>
      </c>
      <c r="Y27" s="550">
        <f t="shared" si="7"/>
        <v>863.3002071975194</v>
      </c>
      <c r="Z27" s="550">
        <f t="shared" si="7"/>
        <v>854.34297709737098</v>
      </c>
      <c r="AA27" s="550">
        <f t="shared" si="7"/>
        <v>845.47868334821396</v>
      </c>
      <c r="AB27" s="550">
        <f t="shared" si="7"/>
        <v>836.70636168260853</v>
      </c>
      <c r="AC27" s="532">
        <f t="shared" si="7"/>
        <v>828.02505783793754</v>
      </c>
    </row>
    <row r="28" spans="2:29" ht="19.2" customHeight="1" x14ac:dyDescent="0.3">
      <c r="B28" s="531" t="s">
        <v>207</v>
      </c>
      <c r="C28" s="261"/>
      <c r="D28" s="553">
        <f>D10*D12</f>
        <v>390.86599999999999</v>
      </c>
      <c r="E28" s="570">
        <f t="shared" ref="E28:Q28" si="8">E10*E12</f>
        <v>408.75599999999997</v>
      </c>
      <c r="F28" s="570">
        <f t="shared" si="8"/>
        <v>413.34399999999999</v>
      </c>
      <c r="G28" s="570">
        <f t="shared" si="8"/>
        <v>418.529</v>
      </c>
      <c r="H28" s="570">
        <f t="shared" si="8"/>
        <v>413.80599999999998</v>
      </c>
      <c r="I28" s="570">
        <f t="shared" si="8"/>
        <v>428.11799999999999</v>
      </c>
      <c r="J28" s="570">
        <f t="shared" si="8"/>
        <v>502.49</v>
      </c>
      <c r="K28" s="570">
        <f t="shared" si="8"/>
        <v>481.71699999999998</v>
      </c>
      <c r="L28" s="570">
        <f t="shared" si="8"/>
        <v>507.83699999999993</v>
      </c>
      <c r="M28" s="570">
        <f t="shared" si="8"/>
        <v>511.34500000000003</v>
      </c>
      <c r="N28" s="570">
        <f t="shared" si="8"/>
        <v>520.72900000000004</v>
      </c>
      <c r="O28" s="570">
        <f t="shared" si="8"/>
        <v>530.82100000000003</v>
      </c>
      <c r="P28" s="570">
        <f t="shared" si="8"/>
        <v>541.83299999999997</v>
      </c>
      <c r="Q28" s="570">
        <f t="shared" si="8"/>
        <v>578.14700000000005</v>
      </c>
      <c r="R28" s="566">
        <f>R27*R12</f>
        <v>576.01</v>
      </c>
      <c r="S28" s="538">
        <f t="shared" ref="S28:AC28" si="9">S27*S12</f>
        <v>579.02658584306619</v>
      </c>
      <c r="T28" s="538">
        <f t="shared" si="9"/>
        <v>588.77148736978165</v>
      </c>
      <c r="U28" s="538">
        <f t="shared" si="9"/>
        <v>601.59385930966448</v>
      </c>
      <c r="V28" s="538">
        <f t="shared" si="9"/>
        <v>614.69547918476781</v>
      </c>
      <c r="W28" s="538">
        <f t="shared" si="9"/>
        <v>584.00755929837464</v>
      </c>
      <c r="X28" s="538">
        <f t="shared" si="9"/>
        <v>577.46803619062018</v>
      </c>
      <c r="Y28" s="538">
        <f t="shared" si="9"/>
        <v>571.47647724911189</v>
      </c>
      <c r="Z28" s="538">
        <f t="shared" si="9"/>
        <v>565.54708413549326</v>
      </c>
      <c r="AA28" s="538">
        <f t="shared" si="9"/>
        <v>559.67921184398278</v>
      </c>
      <c r="AB28" s="538">
        <f t="shared" si="9"/>
        <v>549.75061061139797</v>
      </c>
      <c r="AC28" s="538">
        <f t="shared" si="9"/>
        <v>544.04663570685273</v>
      </c>
    </row>
    <row r="29" spans="2:29" ht="19.2" customHeight="1" x14ac:dyDescent="0.3">
      <c r="B29" s="151" t="s">
        <v>499</v>
      </c>
      <c r="C29" s="268"/>
      <c r="D29" s="557">
        <f t="shared" ref="D29:G29" si="10">D27-D28</f>
        <v>198.63400000000001</v>
      </c>
      <c r="E29" s="300">
        <f t="shared" si="10"/>
        <v>190.04399999999998</v>
      </c>
      <c r="F29" s="300">
        <f t="shared" si="10"/>
        <v>201.15600000000001</v>
      </c>
      <c r="G29" s="300">
        <f t="shared" si="10"/>
        <v>203.87099999999998</v>
      </c>
      <c r="H29" s="300">
        <f t="shared" ref="H29:AC29" si="11">H27-H28</f>
        <v>206.69400000000002</v>
      </c>
      <c r="I29" s="300">
        <f t="shared" si="11"/>
        <v>178.08200000000005</v>
      </c>
      <c r="J29" s="300">
        <f t="shared" si="11"/>
        <v>151.71000000000004</v>
      </c>
      <c r="K29" s="300">
        <f t="shared" si="11"/>
        <v>208.68299999999999</v>
      </c>
      <c r="L29" s="300">
        <f t="shared" si="11"/>
        <v>170.46300000000002</v>
      </c>
      <c r="M29" s="300">
        <f t="shared" si="11"/>
        <v>184.55499999999995</v>
      </c>
      <c r="N29" s="300">
        <f t="shared" si="11"/>
        <v>209.77099999999996</v>
      </c>
      <c r="O29" s="300">
        <f>O27-O28</f>
        <v>244.17899999999997</v>
      </c>
      <c r="P29" s="300">
        <f>P27-P28</f>
        <v>241.06700000000001</v>
      </c>
      <c r="Q29" s="300">
        <f t="shared" si="11"/>
        <v>212.85299999999995</v>
      </c>
      <c r="R29" s="567">
        <f t="shared" si="11"/>
        <v>228.49</v>
      </c>
      <c r="S29" s="548">
        <f t="shared" si="11"/>
        <v>229.68661064787443</v>
      </c>
      <c r="T29" s="548">
        <f t="shared" si="11"/>
        <v>237.55401138196066</v>
      </c>
      <c r="U29" s="548">
        <f t="shared" si="11"/>
        <v>242.72750560695806</v>
      </c>
      <c r="V29" s="548">
        <f t="shared" si="11"/>
        <v>248.01366912488959</v>
      </c>
      <c r="W29" s="548">
        <f t="shared" si="11"/>
        <v>297.48982487675096</v>
      </c>
      <c r="X29" s="548">
        <f t="shared" si="11"/>
        <v>294.88331183519517</v>
      </c>
      <c r="Y29" s="548">
        <f t="shared" si="11"/>
        <v>291.8237299484075</v>
      </c>
      <c r="Z29" s="548">
        <f t="shared" si="11"/>
        <v>288.79589296187771</v>
      </c>
      <c r="AA29" s="548">
        <f t="shared" si="11"/>
        <v>285.79947150423118</v>
      </c>
      <c r="AB29" s="548">
        <f t="shared" si="11"/>
        <v>286.95575107121056</v>
      </c>
      <c r="AC29" s="549">
        <f t="shared" si="11"/>
        <v>283.97842213108481</v>
      </c>
    </row>
    <row r="30" spans="2:29" x14ac:dyDescent="0.3">
      <c r="B30" s="157" t="s">
        <v>907</v>
      </c>
      <c r="H30" s="278"/>
      <c r="I30" s="278"/>
      <c r="J30" s="278"/>
      <c r="K30" s="278"/>
      <c r="L30" s="278"/>
      <c r="M30" s="535"/>
      <c r="N30" s="278"/>
      <c r="O30" s="278"/>
      <c r="P30" s="278"/>
      <c r="Q30" s="278">
        <v>10</v>
      </c>
      <c r="R30" s="278"/>
      <c r="S30" s="278">
        <f>-10-10-3</f>
        <v>-23</v>
      </c>
      <c r="T30" s="278"/>
      <c r="U30" s="278"/>
      <c r="V30" s="278"/>
      <c r="W30" s="278"/>
    </row>
    <row r="31" spans="2:29" x14ac:dyDescent="0.3">
      <c r="H31" s="278"/>
      <c r="I31" s="278"/>
      <c r="J31" s="278"/>
      <c r="K31" s="278"/>
      <c r="L31" s="278"/>
      <c r="M31" s="535"/>
      <c r="N31" s="278"/>
      <c r="O31" s="278"/>
      <c r="P31" s="278"/>
      <c r="Q31" s="278"/>
      <c r="R31" s="278"/>
      <c r="S31" s="278"/>
      <c r="T31" s="278"/>
      <c r="U31" s="278"/>
      <c r="V31" s="278"/>
      <c r="W31" s="278"/>
    </row>
    <row r="32" spans="2:29" x14ac:dyDescent="0.3">
      <c r="H32" s="278"/>
      <c r="I32" s="278"/>
      <c r="J32" s="278"/>
      <c r="K32" s="278"/>
      <c r="L32" s="278"/>
      <c r="M32" s="535"/>
      <c r="N32" s="278"/>
      <c r="O32" s="278"/>
      <c r="P32" s="278"/>
      <c r="Q32" s="253" t="s">
        <v>328</v>
      </c>
      <c r="R32" s="362" t="s">
        <v>329</v>
      </c>
      <c r="S32" s="362" t="s">
        <v>238</v>
      </c>
      <c r="T32" s="362" t="s">
        <v>327</v>
      </c>
      <c r="U32" s="361" t="s">
        <v>328</v>
      </c>
      <c r="V32" s="362" t="s">
        <v>329</v>
      </c>
      <c r="W32" s="362" t="s">
        <v>238</v>
      </c>
      <c r="X32" s="362" t="s">
        <v>327</v>
      </c>
      <c r="Y32" s="361" t="s">
        <v>328</v>
      </c>
      <c r="Z32" s="272" t="s">
        <v>329</v>
      </c>
      <c r="AA32" s="362" t="s">
        <v>238</v>
      </c>
      <c r="AB32" s="381" t="s">
        <v>327</v>
      </c>
      <c r="AC32" s="398" t="s">
        <v>328</v>
      </c>
    </row>
    <row r="33" spans="2:29" x14ac:dyDescent="0.3">
      <c r="H33" s="278"/>
      <c r="I33" s="278"/>
      <c r="J33" s="278"/>
      <c r="K33" s="278"/>
      <c r="L33" s="278"/>
      <c r="M33" s="535"/>
      <c r="N33" s="278"/>
      <c r="O33" s="278"/>
      <c r="P33" s="278"/>
      <c r="Q33" s="566">
        <v>791</v>
      </c>
      <c r="R33" s="550">
        <v>815.63340582128023</v>
      </c>
      <c r="S33" s="550">
        <v>831.03394777701794</v>
      </c>
      <c r="T33" s="550">
        <v>849.13235539636253</v>
      </c>
      <c r="U33" s="550">
        <v>867.62491341020325</v>
      </c>
      <c r="V33" s="550">
        <v>886.5202056971192</v>
      </c>
      <c r="W33" s="550">
        <v>905.82700307694995</v>
      </c>
      <c r="X33" s="550">
        <v>896.15988007246301</v>
      </c>
      <c r="Y33" s="550">
        <v>886.59592606919432</v>
      </c>
      <c r="Z33" s="550">
        <v>877.13404003193318</v>
      </c>
      <c r="AA33" s="550">
        <v>867.77313267588374</v>
      </c>
      <c r="AB33" s="550">
        <v>858.51212634126239</v>
      </c>
      <c r="AC33" s="532">
        <v>849.34995486923401</v>
      </c>
    </row>
    <row r="34" spans="2:29" x14ac:dyDescent="0.3">
      <c r="H34" s="278"/>
      <c r="I34" s="278"/>
      <c r="J34" s="278"/>
      <c r="K34" s="278"/>
      <c r="L34" s="278"/>
      <c r="M34" s="535"/>
      <c r="N34" s="278"/>
      <c r="O34" s="278"/>
      <c r="P34" s="278"/>
      <c r="Q34" s="553">
        <v>578.14700000000005</v>
      </c>
      <c r="R34" s="538">
        <v>596.15171513951418</v>
      </c>
      <c r="S34" s="538">
        <v>607.40807055049254</v>
      </c>
      <c r="T34" s="538">
        <v>617.69198749866655</v>
      </c>
      <c r="U34" s="538">
        <v>631.14419532105217</v>
      </c>
      <c r="V34" s="538">
        <v>644.88936775842228</v>
      </c>
      <c r="W34" s="538">
        <v>613.64253489330179</v>
      </c>
      <c r="X34" s="538">
        <v>606.60043248189936</v>
      </c>
      <c r="Y34" s="538">
        <v>600.12670076993004</v>
      </c>
      <c r="Z34" s="538">
        <v>593.72205770352434</v>
      </c>
      <c r="AA34" s="538">
        <v>587.3857659581904</v>
      </c>
      <c r="AB34" s="538">
        <v>576.88806953840162</v>
      </c>
      <c r="AC34" s="538">
        <v>570.7314326650195</v>
      </c>
    </row>
    <row r="35" spans="2:29" x14ac:dyDescent="0.3">
      <c r="H35" s="278"/>
      <c r="I35" s="278"/>
      <c r="J35" s="278"/>
      <c r="K35" s="278"/>
      <c r="L35" s="278"/>
      <c r="M35" s="535"/>
      <c r="N35" s="278"/>
      <c r="O35" s="278"/>
      <c r="P35" s="278"/>
      <c r="Q35" s="567">
        <v>212.85299999999995</v>
      </c>
      <c r="R35" s="548">
        <v>219.48169068176605</v>
      </c>
      <c r="S35" s="548">
        <v>223.6258772265254</v>
      </c>
      <c r="T35" s="548">
        <v>231.44036789769598</v>
      </c>
      <c r="U35" s="548">
        <v>236.48071808915108</v>
      </c>
      <c r="V35" s="548">
        <v>241.63083793869691</v>
      </c>
      <c r="W35" s="548">
        <v>292.18446818364816</v>
      </c>
      <c r="X35" s="548">
        <v>289.55944759056365</v>
      </c>
      <c r="Y35" s="548">
        <v>286.46922529926428</v>
      </c>
      <c r="Z35" s="548">
        <v>283.41198232840884</v>
      </c>
      <c r="AA35" s="548">
        <v>280.38736671769334</v>
      </c>
      <c r="AB35" s="548">
        <v>281.62405680286076</v>
      </c>
      <c r="AC35" s="549">
        <v>278.61852220421451</v>
      </c>
    </row>
    <row r="36" spans="2:29" x14ac:dyDescent="0.3">
      <c r="H36" s="278"/>
      <c r="I36" s="278"/>
      <c r="J36" s="278"/>
      <c r="K36" s="278"/>
      <c r="L36" s="278"/>
      <c r="M36" s="535"/>
      <c r="N36" s="278"/>
      <c r="O36" s="278"/>
      <c r="P36" s="278"/>
      <c r="Q36" s="278">
        <v>10</v>
      </c>
      <c r="R36" s="278"/>
      <c r="S36" s="278">
        <v>-10</v>
      </c>
      <c r="T36" s="278"/>
      <c r="U36" s="278"/>
      <c r="V36" s="278"/>
      <c r="W36" s="278"/>
    </row>
    <row r="37" spans="2:29" x14ac:dyDescent="0.3">
      <c r="H37" s="278"/>
      <c r="I37" s="278"/>
      <c r="J37" s="278"/>
      <c r="K37" s="278"/>
      <c r="L37" s="278"/>
      <c r="M37" s="535"/>
      <c r="N37" s="278"/>
      <c r="O37" s="278"/>
      <c r="P37" s="278"/>
      <c r="Q37" s="278"/>
      <c r="R37" s="278"/>
      <c r="S37" s="278"/>
      <c r="T37" s="278"/>
      <c r="U37" s="278"/>
      <c r="V37" s="278"/>
      <c r="W37" s="278"/>
    </row>
    <row r="39" spans="2:29" ht="14.4" customHeight="1" x14ac:dyDescent="0.3"/>
    <row r="40" spans="2:29" ht="14.4" customHeight="1" x14ac:dyDescent="0.3">
      <c r="B40" s="539" t="s">
        <v>500</v>
      </c>
      <c r="C40" s="540"/>
      <c r="D40" s="540"/>
      <c r="E40" s="541"/>
      <c r="F40" s="542">
        <v>2021</v>
      </c>
      <c r="G40" s="542">
        <v>2022</v>
      </c>
      <c r="H40" s="542">
        <v>2023</v>
      </c>
      <c r="I40" s="542">
        <v>2024</v>
      </c>
      <c r="J40" s="542">
        <v>2025</v>
      </c>
      <c r="K40" s="542">
        <v>2025</v>
      </c>
      <c r="L40" s="542">
        <v>2027</v>
      </c>
      <c r="M40" s="542">
        <v>2028</v>
      </c>
      <c r="N40" s="542">
        <v>2029</v>
      </c>
      <c r="O40" s="542">
        <v>2030</v>
      </c>
      <c r="P40" s="543">
        <v>2031</v>
      </c>
    </row>
    <row r="41" spans="2:29" x14ac:dyDescent="0.3">
      <c r="B41" s="1026" t="s">
        <v>501</v>
      </c>
      <c r="C41" s="1027"/>
      <c r="D41" s="1027"/>
      <c r="E41" s="1028"/>
      <c r="F41" s="149">
        <v>287</v>
      </c>
      <c r="G41" s="149">
        <v>534</v>
      </c>
      <c r="H41" s="149">
        <v>247</v>
      </c>
      <c r="I41" s="149">
        <v>63</v>
      </c>
      <c r="J41" s="149"/>
      <c r="K41" s="149"/>
      <c r="L41" s="149"/>
      <c r="M41" s="149"/>
      <c r="N41" s="149"/>
      <c r="O41" s="149"/>
      <c r="P41" s="156"/>
    </row>
    <row r="42" spans="2:29" x14ac:dyDescent="0.3">
      <c r="B42" s="1026" t="s">
        <v>502</v>
      </c>
      <c r="C42" s="1027"/>
      <c r="D42" s="1027"/>
      <c r="E42" s="1028"/>
      <c r="F42" s="149">
        <v>0</v>
      </c>
      <c r="G42" s="149">
        <v>0</v>
      </c>
      <c r="H42" s="149">
        <v>756</v>
      </c>
      <c r="I42" s="149">
        <v>1249</v>
      </c>
      <c r="J42" s="149">
        <v>1417</v>
      </c>
      <c r="K42" s="149">
        <v>1522</v>
      </c>
      <c r="L42" s="149">
        <v>1107</v>
      </c>
      <c r="M42" s="149"/>
      <c r="N42" s="149"/>
      <c r="O42" s="149"/>
      <c r="P42" s="156"/>
    </row>
    <row r="43" spans="2:29" x14ac:dyDescent="0.3">
      <c r="B43" s="1026" t="s">
        <v>503</v>
      </c>
      <c r="C43" s="1027"/>
      <c r="D43" s="1027"/>
      <c r="E43" s="1028"/>
      <c r="F43" s="149">
        <v>0</v>
      </c>
      <c r="G43" s="149">
        <v>5</v>
      </c>
      <c r="H43" s="149">
        <v>77</v>
      </c>
      <c r="I43" s="149">
        <v>307</v>
      </c>
      <c r="J43" s="149">
        <v>332</v>
      </c>
      <c r="K43" s="149">
        <v>270</v>
      </c>
      <c r="L43" s="149">
        <v>25</v>
      </c>
      <c r="M43" s="149">
        <v>32</v>
      </c>
      <c r="N43" s="149">
        <v>40</v>
      </c>
      <c r="O43" s="149">
        <v>49</v>
      </c>
      <c r="P43" s="156">
        <v>58</v>
      </c>
    </row>
    <row r="44" spans="2:29" ht="32.700000000000003" customHeight="1" x14ac:dyDescent="0.3">
      <c r="B44" s="1039" t="s">
        <v>504</v>
      </c>
      <c r="C44" s="1040"/>
      <c r="D44" s="1040"/>
      <c r="E44" s="1041"/>
      <c r="F44" s="149">
        <v>0</v>
      </c>
      <c r="G44" s="149">
        <v>0</v>
      </c>
      <c r="H44" s="149">
        <v>3768</v>
      </c>
      <c r="I44" s="149">
        <v>3428</v>
      </c>
      <c r="J44" s="149">
        <v>2176</v>
      </c>
      <c r="K44" s="149">
        <v>2304</v>
      </c>
      <c r="L44" s="149">
        <v>2129</v>
      </c>
      <c r="M44" s="149">
        <v>1335</v>
      </c>
      <c r="N44" s="149">
        <v>478</v>
      </c>
      <c r="O44" s="149">
        <v>531</v>
      </c>
      <c r="P44" s="156">
        <v>212</v>
      </c>
    </row>
    <row r="45" spans="2:29" ht="32.700000000000003" customHeight="1" x14ac:dyDescent="0.3">
      <c r="B45" s="1039" t="s">
        <v>505</v>
      </c>
      <c r="C45" s="1040"/>
      <c r="D45" s="1040"/>
      <c r="E45" s="1041"/>
      <c r="F45" s="149">
        <v>38</v>
      </c>
      <c r="G45" s="149">
        <v>81</v>
      </c>
      <c r="H45" s="149">
        <v>43</v>
      </c>
      <c r="I45" s="149"/>
      <c r="J45" s="149"/>
      <c r="K45" s="149"/>
      <c r="L45" s="149"/>
      <c r="M45" s="149"/>
      <c r="N45" s="149"/>
      <c r="O45" s="149"/>
      <c r="P45" s="156"/>
    </row>
    <row r="46" spans="2:29" x14ac:dyDescent="0.3">
      <c r="B46" s="1026" t="s">
        <v>506</v>
      </c>
      <c r="C46" s="1027"/>
      <c r="D46" s="1027"/>
      <c r="E46" s="1028"/>
      <c r="F46" s="149"/>
      <c r="G46" s="149"/>
      <c r="H46" s="149"/>
      <c r="I46" s="149">
        <v>-184</v>
      </c>
      <c r="J46" s="149">
        <v>-1830</v>
      </c>
      <c r="K46" s="149">
        <v>-2406</v>
      </c>
      <c r="L46" s="149">
        <v>-2419</v>
      </c>
      <c r="M46" s="149">
        <v>-2467</v>
      </c>
      <c r="N46" s="149">
        <v>-2531</v>
      </c>
      <c r="O46" s="149">
        <v>-2667</v>
      </c>
      <c r="P46" s="156">
        <v>-2809</v>
      </c>
    </row>
    <row r="47" spans="2:29" ht="15.75" customHeight="1" x14ac:dyDescent="0.3">
      <c r="B47" s="1033" t="s">
        <v>507</v>
      </c>
      <c r="C47" s="1034"/>
      <c r="D47" s="1034"/>
      <c r="E47" s="1035"/>
      <c r="F47" s="149">
        <v>6524</v>
      </c>
      <c r="G47" s="149">
        <v>6143</v>
      </c>
      <c r="H47" s="149"/>
      <c r="I47" s="149"/>
      <c r="J47" s="149"/>
      <c r="K47" s="149"/>
      <c r="L47" s="149"/>
      <c r="M47" s="149"/>
      <c r="N47" s="149"/>
      <c r="O47" s="149"/>
      <c r="P47" s="156"/>
    </row>
    <row r="48" spans="2:29" x14ac:dyDescent="0.3">
      <c r="B48" s="1026" t="s">
        <v>508</v>
      </c>
      <c r="C48" s="1027"/>
      <c r="D48" s="1027"/>
      <c r="E48" s="1028"/>
      <c r="F48" s="149">
        <v>50</v>
      </c>
      <c r="G48" s="149">
        <v>175</v>
      </c>
      <c r="H48" s="149">
        <v>25</v>
      </c>
      <c r="I48" s="149"/>
      <c r="J48" s="149"/>
      <c r="K48" s="149"/>
      <c r="L48" s="149"/>
      <c r="M48" s="149"/>
      <c r="N48" s="149"/>
      <c r="O48" s="149"/>
      <c r="P48" s="156"/>
    </row>
    <row r="49" spans="2:17" x14ac:dyDescent="0.3">
      <c r="B49" s="1026" t="s">
        <v>509</v>
      </c>
      <c r="C49" s="1027"/>
      <c r="D49" s="1027"/>
      <c r="E49" s="1028"/>
      <c r="F49" s="149">
        <v>829</v>
      </c>
      <c r="G49" s="149">
        <v>844</v>
      </c>
      <c r="H49" s="149"/>
      <c r="I49" s="149"/>
      <c r="J49" s="149"/>
      <c r="K49" s="149"/>
      <c r="L49" s="149"/>
      <c r="M49" s="149"/>
      <c r="N49" s="149"/>
      <c r="O49" s="149"/>
      <c r="P49" s="156"/>
    </row>
    <row r="50" spans="2:17" x14ac:dyDescent="0.3">
      <c r="B50" s="1036" t="s">
        <v>510</v>
      </c>
      <c r="C50" s="1037"/>
      <c r="D50" s="1037"/>
      <c r="E50" s="1038"/>
      <c r="F50" s="149">
        <f t="shared" ref="F50:P50" si="12">SUM(F41:F49)</f>
        <v>7728</v>
      </c>
      <c r="G50" s="149">
        <f t="shared" si="12"/>
        <v>7782</v>
      </c>
      <c r="H50" s="149">
        <f t="shared" si="12"/>
        <v>4916</v>
      </c>
      <c r="I50" s="149">
        <f t="shared" si="12"/>
        <v>4863</v>
      </c>
      <c r="J50" s="149">
        <f t="shared" si="12"/>
        <v>2095</v>
      </c>
      <c r="K50" s="149">
        <f t="shared" si="12"/>
        <v>1690</v>
      </c>
      <c r="L50" s="149">
        <f t="shared" si="12"/>
        <v>842</v>
      </c>
      <c r="M50" s="149">
        <f t="shared" si="12"/>
        <v>-1100</v>
      </c>
      <c r="N50" s="149">
        <f t="shared" si="12"/>
        <v>-2013</v>
      </c>
      <c r="O50" s="149">
        <f t="shared" si="12"/>
        <v>-2087</v>
      </c>
      <c r="P50" s="156">
        <f t="shared" si="12"/>
        <v>-2539</v>
      </c>
    </row>
    <row r="51" spans="2:17" x14ac:dyDescent="0.3">
      <c r="B51" s="1033" t="s">
        <v>511</v>
      </c>
      <c r="C51" s="1034"/>
      <c r="D51" s="1034"/>
      <c r="E51" s="1035"/>
      <c r="F51" s="149">
        <f t="shared" ref="F51:P51" si="13">F47+F45+F44</f>
        <v>6562</v>
      </c>
      <c r="G51" s="149">
        <f t="shared" si="13"/>
        <v>6224</v>
      </c>
      <c r="H51" s="149">
        <f t="shared" si="13"/>
        <v>3811</v>
      </c>
      <c r="I51" s="149">
        <f t="shared" si="13"/>
        <v>3428</v>
      </c>
      <c r="J51" s="149">
        <f t="shared" si="13"/>
        <v>2176</v>
      </c>
      <c r="K51" s="149">
        <f t="shared" si="13"/>
        <v>2304</v>
      </c>
      <c r="L51" s="149">
        <f t="shared" si="13"/>
        <v>2129</v>
      </c>
      <c r="M51" s="149">
        <f t="shared" si="13"/>
        <v>1335</v>
      </c>
      <c r="N51" s="149">
        <f t="shared" si="13"/>
        <v>478</v>
      </c>
      <c r="O51" s="149">
        <f t="shared" si="13"/>
        <v>531</v>
      </c>
      <c r="P51" s="156">
        <f t="shared" si="13"/>
        <v>212</v>
      </c>
      <c r="Q51" s="157" t="s">
        <v>512</v>
      </c>
    </row>
    <row r="52" spans="2:17" x14ac:dyDescent="0.3">
      <c r="B52" s="1026" t="s">
        <v>513</v>
      </c>
      <c r="C52" s="1027"/>
      <c r="D52" s="1027"/>
      <c r="E52" s="1028"/>
      <c r="F52" s="149">
        <f>(F51/1000)/M27</f>
        <v>9.4295157350194007E-3</v>
      </c>
      <c r="G52" s="149">
        <f>(G51/F51)*F52</f>
        <v>8.9438137663457404E-3</v>
      </c>
      <c r="H52" s="149">
        <f>(H51/G51)*G52+H53</f>
        <v>5.4763615461991665E-3</v>
      </c>
      <c r="I52" s="149">
        <f>(I51/H51)*H52+I53</f>
        <v>4.9259951142405518E-3</v>
      </c>
      <c r="J52" s="149">
        <f>J53</f>
        <v>0</v>
      </c>
      <c r="K52" s="149">
        <f t="shared" ref="K52:L52" si="14">K53</f>
        <v>0</v>
      </c>
      <c r="L52" s="149">
        <f t="shared" si="14"/>
        <v>0</v>
      </c>
      <c r="M52" s="149"/>
      <c r="N52" s="149"/>
      <c r="O52" s="149"/>
      <c r="P52" s="156"/>
      <c r="Q52" s="157" t="s">
        <v>514</v>
      </c>
    </row>
    <row r="53" spans="2:17" ht="29.25" customHeight="1" x14ac:dyDescent="0.3">
      <c r="B53" s="525" t="s">
        <v>980</v>
      </c>
      <c r="C53" s="526"/>
      <c r="D53" s="526"/>
      <c r="E53" s="527"/>
      <c r="F53" s="149"/>
      <c r="G53" s="149"/>
      <c r="H53" s="149"/>
      <c r="I53" s="149"/>
      <c r="J53" s="149"/>
      <c r="K53" s="149"/>
      <c r="L53" s="149"/>
      <c r="M53" s="149"/>
      <c r="N53" s="149"/>
      <c r="O53" s="149"/>
      <c r="P53" s="149"/>
      <c r="Q53" s="157"/>
    </row>
    <row r="54" spans="2:17" x14ac:dyDescent="0.3">
      <c r="B54" s="1030"/>
      <c r="C54" s="1031"/>
      <c r="D54" s="1031"/>
      <c r="E54" s="1032"/>
      <c r="F54" s="159"/>
      <c r="G54" s="159"/>
      <c r="H54" s="159"/>
      <c r="I54" s="159"/>
      <c r="J54" s="159"/>
      <c r="K54" s="159"/>
      <c r="L54" s="159"/>
      <c r="M54" s="159"/>
      <c r="N54" s="159"/>
      <c r="O54" s="159"/>
      <c r="P54" s="163"/>
    </row>
  </sheetData>
  <mergeCells count="34">
    <mergeCell ref="B46:E46"/>
    <mergeCell ref="E8:H8"/>
    <mergeCell ref="B7:C9"/>
    <mergeCell ref="I8:L8"/>
    <mergeCell ref="B44:E44"/>
    <mergeCell ref="B45:E45"/>
    <mergeCell ref="D24:R24"/>
    <mergeCell ref="B43:E43"/>
    <mergeCell ref="B41:E41"/>
    <mergeCell ref="I25:L25"/>
    <mergeCell ref="B24:C26"/>
    <mergeCell ref="E25:H25"/>
    <mergeCell ref="M25:P25"/>
    <mergeCell ref="M8:P8"/>
    <mergeCell ref="Q25:R25"/>
    <mergeCell ref="Q8:R8"/>
    <mergeCell ref="B54:E54"/>
    <mergeCell ref="B47:E47"/>
    <mergeCell ref="B48:E48"/>
    <mergeCell ref="B49:E49"/>
    <mergeCell ref="B50:E50"/>
    <mergeCell ref="B51:E51"/>
    <mergeCell ref="B52:E52"/>
    <mergeCell ref="U25:X25"/>
    <mergeCell ref="B42:E42"/>
    <mergeCell ref="D7:R7"/>
    <mergeCell ref="S7:AC7"/>
    <mergeCell ref="B1:AC1"/>
    <mergeCell ref="S24:AC24"/>
    <mergeCell ref="V2:AB4"/>
    <mergeCell ref="B2:U4"/>
    <mergeCell ref="Y25:AB25"/>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8"/>
  <sheetViews>
    <sheetView topLeftCell="F1" zoomScaleNormal="100" workbookViewId="0">
      <selection activeCell="S13" sqref="S13"/>
    </sheetView>
  </sheetViews>
  <sheetFormatPr defaultColWidth="11.554687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947" t="s">
        <v>55</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25" customHeight="1" x14ac:dyDescent="0.3">
      <c r="B2" s="1021" t="s">
        <v>939</v>
      </c>
      <c r="C2" s="1021"/>
      <c r="D2" s="1021"/>
      <c r="E2" s="1021"/>
      <c r="F2" s="1021"/>
      <c r="G2" s="1021"/>
      <c r="H2" s="1021"/>
      <c r="I2" s="1021"/>
      <c r="J2" s="1021"/>
      <c r="K2" s="1021"/>
      <c r="L2" s="1021"/>
      <c r="M2" s="1021"/>
      <c r="N2" s="1021"/>
      <c r="O2" s="1021"/>
      <c r="P2" s="1021"/>
      <c r="Q2" s="1021"/>
      <c r="R2" s="1021"/>
      <c r="S2" s="562"/>
      <c r="T2" s="1042" t="s">
        <v>1012</v>
      </c>
      <c r="U2" s="1042"/>
      <c r="V2" s="1042"/>
      <c r="W2" s="1042"/>
      <c r="X2" s="1042"/>
      <c r="Y2" s="1042"/>
      <c r="Z2" s="1042"/>
      <c r="AA2" s="1042"/>
      <c r="AB2" s="1042"/>
      <c r="AC2" s="1042"/>
    </row>
    <row r="3" spans="2:29" x14ac:dyDescent="0.3">
      <c r="B3" s="1021"/>
      <c r="C3" s="1021"/>
      <c r="D3" s="1021"/>
      <c r="E3" s="1021"/>
      <c r="F3" s="1021"/>
      <c r="G3" s="1021"/>
      <c r="H3" s="1021"/>
      <c r="I3" s="1021"/>
      <c r="J3" s="1021"/>
      <c r="K3" s="1021"/>
      <c r="L3" s="1021"/>
      <c r="M3" s="1021"/>
      <c r="N3" s="1021"/>
      <c r="O3" s="1021"/>
      <c r="P3" s="1021"/>
      <c r="Q3" s="1021"/>
      <c r="R3" s="1021"/>
      <c r="S3" s="562"/>
      <c r="T3" s="1042"/>
      <c r="U3" s="1042"/>
      <c r="V3" s="1042"/>
      <c r="W3" s="1042"/>
      <c r="X3" s="1042"/>
      <c r="Y3" s="1042"/>
      <c r="Z3" s="1042"/>
      <c r="AA3" s="1042"/>
      <c r="AB3" s="1042"/>
      <c r="AC3" s="1042"/>
    </row>
    <row r="4" spans="2:29" ht="21" customHeight="1" x14ac:dyDescent="0.3">
      <c r="B4" s="1021"/>
      <c r="C4" s="1021"/>
      <c r="D4" s="1021"/>
      <c r="E4" s="1021"/>
      <c r="F4" s="1021"/>
      <c r="G4" s="1021"/>
      <c r="H4" s="1021"/>
      <c r="I4" s="1021"/>
      <c r="J4" s="1021"/>
      <c r="K4" s="1021"/>
      <c r="L4" s="1021"/>
      <c r="M4" s="1021"/>
      <c r="N4" s="1021"/>
      <c r="O4" s="1021"/>
      <c r="P4" s="1021"/>
      <c r="Q4" s="1021"/>
      <c r="R4" s="1021"/>
      <c r="S4" s="562"/>
      <c r="T4" s="1042"/>
      <c r="U4" s="1042"/>
      <c r="V4" s="1042"/>
      <c r="W4" s="1042"/>
      <c r="X4" s="1042"/>
      <c r="Y4" s="1042"/>
      <c r="Z4" s="1042"/>
      <c r="AA4" s="1042"/>
      <c r="AB4" s="1042"/>
      <c r="AC4" s="1042"/>
    </row>
    <row r="6" spans="2:29" x14ac:dyDescent="0.3">
      <c r="B6" s="182" t="s">
        <v>381</v>
      </c>
    </row>
    <row r="7" spans="2:29" ht="14.7" customHeight="1" x14ac:dyDescent="0.3">
      <c r="B7" s="980" t="s">
        <v>465</v>
      </c>
      <c r="C7" s="959"/>
      <c r="D7" s="957" t="s">
        <v>325</v>
      </c>
      <c r="E7" s="958"/>
      <c r="F7" s="958"/>
      <c r="G7" s="958"/>
      <c r="H7" s="958"/>
      <c r="I7" s="958"/>
      <c r="J7" s="958"/>
      <c r="K7" s="958"/>
      <c r="L7" s="958"/>
      <c r="M7" s="958"/>
      <c r="N7" s="958"/>
      <c r="O7" s="958"/>
      <c r="P7" s="958"/>
      <c r="Q7" s="958"/>
      <c r="R7" s="988"/>
      <c r="S7" s="990" t="s">
        <v>326</v>
      </c>
      <c r="T7" s="990"/>
      <c r="U7" s="990"/>
      <c r="V7" s="990"/>
      <c r="W7" s="990"/>
      <c r="X7" s="990"/>
      <c r="Y7" s="990"/>
      <c r="Z7" s="990"/>
      <c r="AA7" s="990"/>
      <c r="AB7" s="990"/>
      <c r="AC7" s="991"/>
    </row>
    <row r="8" spans="2:29" x14ac:dyDescent="0.3">
      <c r="B8" s="981"/>
      <c r="C8" s="1011"/>
      <c r="D8" s="201">
        <v>2018</v>
      </c>
      <c r="E8" s="948">
        <v>2019</v>
      </c>
      <c r="F8" s="949"/>
      <c r="G8" s="949"/>
      <c r="H8" s="956"/>
      <c r="I8" s="948">
        <v>2020</v>
      </c>
      <c r="J8" s="949"/>
      <c r="K8" s="949"/>
      <c r="L8" s="949"/>
      <c r="M8" s="948">
        <v>2021</v>
      </c>
      <c r="N8" s="949"/>
      <c r="O8" s="949"/>
      <c r="P8" s="956"/>
      <c r="Q8" s="986">
        <v>2022</v>
      </c>
      <c r="R8" s="987"/>
      <c r="S8" s="295"/>
      <c r="T8" s="296"/>
      <c r="U8" s="983">
        <v>2023</v>
      </c>
      <c r="V8" s="984"/>
      <c r="W8" s="984"/>
      <c r="X8" s="984"/>
      <c r="Y8" s="983">
        <v>2024</v>
      </c>
      <c r="Z8" s="984"/>
      <c r="AA8" s="984"/>
      <c r="AB8" s="985"/>
      <c r="AC8" s="262">
        <v>2025</v>
      </c>
    </row>
    <row r="9" spans="2:29" x14ac:dyDescent="0.3">
      <c r="B9" s="981"/>
      <c r="C9" s="1011"/>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ht="14.4" customHeight="1" x14ac:dyDescent="0.3">
      <c r="B10" s="582" t="s">
        <v>515</v>
      </c>
      <c r="C10" s="36" t="s">
        <v>1007</v>
      </c>
      <c r="D10" s="555">
        <f>'Haver Pivoted'!GO12</f>
        <v>754.2</v>
      </c>
      <c r="E10" s="556">
        <f>'Haver Pivoted'!GP12</f>
        <v>768.3</v>
      </c>
      <c r="F10" s="556">
        <f>'Haver Pivoted'!GQ12</f>
        <v>781.1</v>
      </c>
      <c r="G10" s="556">
        <f>'Haver Pivoted'!GR12</f>
        <v>792.1</v>
      </c>
      <c r="H10" s="556">
        <f>'Haver Pivoted'!GS12</f>
        <v>801.3</v>
      </c>
      <c r="I10" s="556">
        <f>'Haver Pivoted'!GT12</f>
        <v>808.5</v>
      </c>
      <c r="J10" s="556">
        <f>'Haver Pivoted'!GU12</f>
        <v>821.6</v>
      </c>
      <c r="K10" s="556">
        <f>'Haver Pivoted'!GV12</f>
        <v>825.8</v>
      </c>
      <c r="L10" s="556">
        <f>'Haver Pivoted'!GW12</f>
        <v>821</v>
      </c>
      <c r="M10" s="556">
        <f>'Haver Pivoted'!GX12</f>
        <v>814.1</v>
      </c>
      <c r="N10" s="556">
        <f>'Haver Pivoted'!GY12</f>
        <v>815.3</v>
      </c>
      <c r="O10" s="556">
        <f>'Haver Pivoted'!GZ12</f>
        <v>826.5</v>
      </c>
      <c r="P10" s="556">
        <f>'Haver Pivoted'!HA12</f>
        <v>847.9</v>
      </c>
      <c r="Q10" s="556">
        <f>'Haver Pivoted'!HB12</f>
        <v>862.1</v>
      </c>
      <c r="R10" s="571">
        <f>'Haver Pivoted'!HC12</f>
        <v>865.9</v>
      </c>
      <c r="S10" s="550">
        <f>R10*(1+R12)+S13</f>
        <v>871.23840546678446</v>
      </c>
      <c r="T10" s="550">
        <f t="shared" ref="T10:AC10" si="0">S10*(1+S12)</f>
        <v>889.68986999812137</v>
      </c>
      <c r="U10" s="550">
        <f t="shared" si="0"/>
        <v>907.23431736240013</v>
      </c>
      <c r="V10" s="550">
        <f t="shared" si="0"/>
        <v>925.12473655764802</v>
      </c>
      <c r="W10" s="550">
        <f t="shared" si="0"/>
        <v>943.36795005625982</v>
      </c>
      <c r="X10" s="550">
        <f t="shared" si="0"/>
        <v>961.97091486796944</v>
      </c>
      <c r="Y10" s="550">
        <f t="shared" si="0"/>
        <v>985.16758241737489</v>
      </c>
      <c r="Z10" s="550">
        <f t="shared" si="0"/>
        <v>1008.9236071958619</v>
      </c>
      <c r="AA10" s="550">
        <f t="shared" si="0"/>
        <v>1033.2524773697398</v>
      </c>
      <c r="AB10" s="550">
        <f t="shared" si="0"/>
        <v>1058.1680063547665</v>
      </c>
      <c r="AC10" s="550">
        <f t="shared" si="0"/>
        <v>1083.6843406591124</v>
      </c>
    </row>
    <row r="11" spans="2:29" ht="28.5" customHeight="1" x14ac:dyDescent="0.3">
      <c r="B11" s="596" t="s">
        <v>1009</v>
      </c>
      <c r="C11" s="597" t="s">
        <v>590</v>
      </c>
      <c r="D11" s="598"/>
      <c r="E11" s="599"/>
      <c r="F11" s="599"/>
      <c r="G11" s="599"/>
      <c r="H11" s="599"/>
      <c r="I11" s="599"/>
      <c r="J11" s="600">
        <f>'Haver Pivoted'!GU46</f>
        <v>9.6</v>
      </c>
      <c r="K11" s="600">
        <f>'Haver Pivoted'!GV46</f>
        <v>14.4</v>
      </c>
      <c r="L11" s="600">
        <f>'Haver Pivoted'!GW46</f>
        <v>14.3</v>
      </c>
      <c r="M11" s="600">
        <f>'Haver Pivoted'!GX46</f>
        <v>14.2</v>
      </c>
      <c r="N11" s="600">
        <f>'Haver Pivoted'!GY46</f>
        <v>14.1</v>
      </c>
      <c r="O11" s="600">
        <f>'Haver Pivoted'!GZ46</f>
        <v>14.3</v>
      </c>
      <c r="P11" s="600">
        <f>'Haver Pivoted'!HA46</f>
        <v>14.6</v>
      </c>
      <c r="Q11" s="600">
        <f>'Haver Pivoted'!HB46</f>
        <v>14.8</v>
      </c>
      <c r="R11" s="601">
        <f>'Haver Pivoted'!HC46</f>
        <v>6.9</v>
      </c>
      <c r="S11" s="602">
        <v>15</v>
      </c>
      <c r="T11" s="602">
        <v>15</v>
      </c>
      <c r="U11" s="602">
        <v>15</v>
      </c>
      <c r="V11" s="602">
        <v>15</v>
      </c>
      <c r="W11" s="602">
        <v>15</v>
      </c>
      <c r="X11" s="602"/>
      <c r="Y11" s="602"/>
      <c r="Z11" s="602"/>
      <c r="AA11" s="602"/>
      <c r="AB11" s="602"/>
      <c r="AC11" s="603"/>
    </row>
    <row r="12" spans="2:29" x14ac:dyDescent="0.3">
      <c r="B12" s="583" t="s">
        <v>516</v>
      </c>
      <c r="C12" s="581"/>
      <c r="D12" s="557"/>
      <c r="E12" s="300"/>
      <c r="F12" s="300"/>
      <c r="G12" s="300"/>
      <c r="H12" s="300"/>
      <c r="I12" s="300"/>
      <c r="J12" s="529"/>
      <c r="K12" s="529"/>
      <c r="L12" s="529"/>
      <c r="M12" s="529"/>
      <c r="N12" s="529">
        <f>(1 + $E$29)^0.25-1</f>
        <v>0</v>
      </c>
      <c r="O12" s="529">
        <f>(1 + $E$29)^0.25-1</f>
        <v>0</v>
      </c>
      <c r="P12" s="529">
        <f>(1 + $F$29)^0.25-1</f>
        <v>2.1178433383513662E-2</v>
      </c>
      <c r="Q12" s="529">
        <f>(1 +$F$29)^0.25-1</f>
        <v>2.1178433383513662E-2</v>
      </c>
      <c r="R12" s="565">
        <f>(1 +$F$29)^0.25-1</f>
        <v>2.1178433383513662E-2</v>
      </c>
      <c r="S12" s="572">
        <f>(1 +$F$29)^0.25-1</f>
        <v>2.1178433383513662E-2</v>
      </c>
      <c r="T12" s="572">
        <f>(1 +$G$29)^0.25-1</f>
        <v>1.9719733758816194E-2</v>
      </c>
      <c r="U12" s="572">
        <f>(1 +$G$29)^0.25-1</f>
        <v>1.9719733758816194E-2</v>
      </c>
      <c r="V12" s="572">
        <f>(1 +$G$29)^0.25-1</f>
        <v>1.9719733758816194E-2</v>
      </c>
      <c r="W12" s="572">
        <f>(1 +$G$29)^0.25-1</f>
        <v>1.9719733758816194E-2</v>
      </c>
      <c r="X12" s="572">
        <f t="shared" ref="X12:AC12" si="1">(1 +$H$29)^0.25-1</f>
        <v>2.4113689084445111E-2</v>
      </c>
      <c r="Y12" s="572">
        <f t="shared" si="1"/>
        <v>2.4113689084445111E-2</v>
      </c>
      <c r="Z12" s="572">
        <f t="shared" si="1"/>
        <v>2.4113689084445111E-2</v>
      </c>
      <c r="AA12" s="572">
        <f t="shared" si="1"/>
        <v>2.4113689084445111E-2</v>
      </c>
      <c r="AB12" s="572">
        <f t="shared" si="1"/>
        <v>2.4113689084445111E-2</v>
      </c>
      <c r="AC12" s="573">
        <f t="shared" si="1"/>
        <v>2.4113689084445111E-2</v>
      </c>
    </row>
    <row r="13" spans="2:29" x14ac:dyDescent="0.3">
      <c r="B13" s="576" t="s">
        <v>974</v>
      </c>
      <c r="C13" s="535"/>
      <c r="D13" s="479"/>
      <c r="E13" s="479"/>
      <c r="F13" s="479"/>
      <c r="G13" s="479"/>
      <c r="H13" s="479"/>
      <c r="I13" s="479"/>
      <c r="J13" s="528"/>
      <c r="K13" s="528"/>
      <c r="L13" s="528"/>
      <c r="M13" s="528"/>
      <c r="N13" s="528"/>
      <c r="O13" s="528"/>
      <c r="P13" s="528"/>
      <c r="Q13" s="528"/>
      <c r="R13" s="528"/>
      <c r="S13" s="572">
        <v>-13</v>
      </c>
      <c r="T13" s="572"/>
      <c r="U13" s="572"/>
      <c r="V13" s="572"/>
      <c r="W13" s="572"/>
      <c r="X13" s="572"/>
      <c r="Y13" s="572"/>
      <c r="Z13" s="572"/>
      <c r="AA13" s="572"/>
      <c r="AB13" s="572"/>
      <c r="AC13" s="572"/>
    </row>
    <row r="14" spans="2:29" x14ac:dyDescent="0.3">
      <c r="B14" s="576"/>
      <c r="C14" s="535"/>
      <c r="D14" s="479"/>
      <c r="E14" s="479"/>
      <c r="F14" s="479"/>
      <c r="G14" s="479"/>
      <c r="H14" s="479"/>
      <c r="I14" s="479"/>
      <c r="J14" s="528"/>
      <c r="K14" s="528"/>
      <c r="L14" s="528"/>
      <c r="M14" s="528"/>
    </row>
    <row r="15" spans="2:29" x14ac:dyDescent="0.3">
      <c r="B15" s="576"/>
      <c r="C15" s="535"/>
      <c r="D15" s="479"/>
      <c r="E15" s="479"/>
      <c r="F15" s="479"/>
      <c r="G15" s="479"/>
      <c r="H15" s="479"/>
      <c r="I15" s="479"/>
      <c r="J15" s="528"/>
      <c r="K15" s="528"/>
      <c r="L15" s="528"/>
      <c r="M15" s="528"/>
      <c r="Q15" s="440" t="s">
        <v>328</v>
      </c>
      <c r="R15" s="362" t="s">
        <v>329</v>
      </c>
      <c r="S15" s="362" t="s">
        <v>238</v>
      </c>
      <c r="T15" s="362" t="s">
        <v>327</v>
      </c>
      <c r="U15" s="361" t="s">
        <v>328</v>
      </c>
      <c r="V15" s="362" t="s">
        <v>329</v>
      </c>
      <c r="W15" s="362" t="s">
        <v>238</v>
      </c>
      <c r="X15" s="362" t="s">
        <v>327</v>
      </c>
      <c r="Y15" s="361" t="s">
        <v>328</v>
      </c>
      <c r="Z15" s="272" t="s">
        <v>329</v>
      </c>
      <c r="AA15" s="362" t="s">
        <v>238</v>
      </c>
      <c r="AB15" s="381" t="s">
        <v>327</v>
      </c>
      <c r="AC15" s="398" t="s">
        <v>328</v>
      </c>
    </row>
    <row r="16" spans="2:29" ht="14.4" customHeight="1" x14ac:dyDescent="0.3">
      <c r="B16" s="576"/>
      <c r="C16" s="535"/>
      <c r="D16" s="479"/>
      <c r="E16" s="479"/>
      <c r="F16" s="479"/>
      <c r="G16" s="479"/>
      <c r="H16" s="479"/>
      <c r="I16" s="479"/>
      <c r="J16" s="528"/>
      <c r="K16" s="528"/>
      <c r="L16" s="528"/>
      <c r="M16" s="528"/>
      <c r="Q16" s="555">
        <v>862.1</v>
      </c>
      <c r="R16" s="550">
        <v>865.35792741992714</v>
      </c>
      <c r="S16" s="550">
        <v>883.68485263868547</v>
      </c>
      <c r="T16" s="550">
        <v>902.39991342231394</v>
      </c>
      <c r="U16" s="550">
        <v>920.19499945898076</v>
      </c>
      <c r="V16" s="550">
        <v>938.34099985450587</v>
      </c>
      <c r="W16" s="550">
        <v>956.84483454661813</v>
      </c>
      <c r="X16" s="550">
        <v>975.71355993237592</v>
      </c>
      <c r="Y16" s="550">
        <v>999.24161335206236</v>
      </c>
      <c r="Z16" s="550">
        <v>1023.3370149366733</v>
      </c>
      <c r="AA16" s="550">
        <v>1048.0134455434604</v>
      </c>
      <c r="AB16" s="550">
        <v>1073.2849159256134</v>
      </c>
      <c r="AC16" s="550">
        <v>1099.1657746872684</v>
      </c>
    </row>
    <row r="17" spans="2:29" x14ac:dyDescent="0.3">
      <c r="B17" s="576"/>
      <c r="C17" s="535"/>
      <c r="D17" s="479"/>
      <c r="E17" s="479"/>
      <c r="F17" s="479"/>
      <c r="G17" s="479"/>
      <c r="H17" s="479"/>
      <c r="I17" s="479"/>
      <c r="J17" s="528"/>
      <c r="K17" s="528"/>
      <c r="L17" s="528"/>
      <c r="M17" s="528"/>
      <c r="Q17" s="579">
        <v>14.8</v>
      </c>
      <c r="R17" s="578">
        <v>15</v>
      </c>
      <c r="S17" s="578">
        <v>15</v>
      </c>
      <c r="T17" s="578">
        <v>15</v>
      </c>
      <c r="U17" s="578">
        <v>15</v>
      </c>
      <c r="V17" s="578">
        <v>15</v>
      </c>
      <c r="W17" s="578">
        <v>15</v>
      </c>
      <c r="X17" s="578"/>
      <c r="Y17" s="578"/>
      <c r="Z17" s="578"/>
      <c r="AA17" s="578"/>
      <c r="AB17" s="578"/>
      <c r="AC17" s="579"/>
    </row>
    <row r="18" spans="2:29" x14ac:dyDescent="0.3">
      <c r="B18" s="576"/>
      <c r="C18" s="535"/>
      <c r="D18" s="479"/>
      <c r="E18" s="479"/>
      <c r="F18" s="479"/>
      <c r="G18" s="479"/>
      <c r="H18" s="479"/>
      <c r="I18" s="479"/>
      <c r="J18" s="528"/>
      <c r="K18" s="528"/>
      <c r="L18" s="528"/>
      <c r="M18" s="528"/>
      <c r="Q18" s="565">
        <v>2.1178433383513662E-2</v>
      </c>
      <c r="R18" s="572">
        <v>2.1178433383513662E-2</v>
      </c>
      <c r="S18" s="572">
        <v>2.1178433383513662E-2</v>
      </c>
      <c r="T18" s="572">
        <v>1.9719733758816194E-2</v>
      </c>
      <c r="U18" s="572">
        <v>1.9719733758816194E-2</v>
      </c>
      <c r="V18" s="572">
        <v>1.9719733758816194E-2</v>
      </c>
      <c r="W18" s="572">
        <v>1.9719733758816194E-2</v>
      </c>
      <c r="X18" s="572">
        <v>2.4113689084445111E-2</v>
      </c>
      <c r="Y18" s="572">
        <v>2.4113689084445111E-2</v>
      </c>
      <c r="Z18" s="572">
        <v>2.4113689084445111E-2</v>
      </c>
      <c r="AA18" s="572">
        <v>2.4113689084445111E-2</v>
      </c>
      <c r="AB18" s="572">
        <v>2.4113689084445111E-2</v>
      </c>
      <c r="AC18" s="573">
        <v>2.4113689084445111E-2</v>
      </c>
    </row>
    <row r="19" spans="2:29" x14ac:dyDescent="0.3">
      <c r="B19" s="576"/>
      <c r="C19" s="535"/>
      <c r="D19" s="479"/>
      <c r="E19" s="479"/>
      <c r="F19" s="479"/>
      <c r="G19" s="479"/>
      <c r="H19" s="479"/>
      <c r="I19" s="479"/>
      <c r="J19" s="528"/>
      <c r="K19" s="528"/>
      <c r="L19" s="528"/>
      <c r="M19" s="528"/>
    </row>
    <row r="20" spans="2:29" x14ac:dyDescent="0.3">
      <c r="B20" s="576"/>
      <c r="C20" s="535"/>
      <c r="D20" s="479"/>
      <c r="E20" s="479"/>
      <c r="F20" s="479"/>
      <c r="G20" s="479"/>
      <c r="H20" s="479"/>
      <c r="I20" s="479"/>
      <c r="J20" s="528"/>
      <c r="K20" s="528"/>
      <c r="L20" s="528"/>
      <c r="M20" s="528"/>
    </row>
    <row r="21" spans="2:29" x14ac:dyDescent="0.3">
      <c r="B21" s="576"/>
      <c r="C21" s="535"/>
      <c r="D21" s="479"/>
      <c r="E21" s="479"/>
      <c r="F21" s="479"/>
      <c r="G21" s="479"/>
      <c r="H21" s="479"/>
      <c r="I21" s="479"/>
      <c r="J21" s="528"/>
      <c r="K21" s="528"/>
      <c r="L21" s="528"/>
      <c r="M21" s="528"/>
    </row>
    <row r="22" spans="2:29" ht="14.4" customHeight="1" x14ac:dyDescent="0.3">
      <c r="B22" s="182" t="s">
        <v>400</v>
      </c>
    </row>
    <row r="23" spans="2:29" x14ac:dyDescent="0.3">
      <c r="B23" s="588" t="s">
        <v>493</v>
      </c>
      <c r="C23" s="588">
        <v>2019</v>
      </c>
      <c r="D23" s="589">
        <v>2020</v>
      </c>
      <c r="E23" s="589">
        <v>2021</v>
      </c>
      <c r="F23" s="589">
        <v>2022</v>
      </c>
      <c r="G23" s="589">
        <v>2023</v>
      </c>
      <c r="H23" s="590">
        <v>2024</v>
      </c>
      <c r="I23" s="590">
        <v>2025</v>
      </c>
      <c r="J23" s="590">
        <v>2026</v>
      </c>
    </row>
    <row r="24" spans="2:29" ht="21" customHeight="1" x14ac:dyDescent="0.3">
      <c r="B24" s="580" t="s">
        <v>978</v>
      </c>
      <c r="C24" s="592"/>
      <c r="D24" s="584"/>
      <c r="E24" s="274">
        <v>867.67600000000004</v>
      </c>
      <c r="F24" s="274">
        <v>941.351</v>
      </c>
      <c r="G24" s="274">
        <v>1008.7670000000001</v>
      </c>
      <c r="H24" s="274">
        <v>1085.711</v>
      </c>
      <c r="I24" s="274">
        <v>1165.28</v>
      </c>
      <c r="J24" s="594">
        <v>1262.203</v>
      </c>
      <c r="K24" s="584"/>
      <c r="L24" s="584"/>
      <c r="M24" s="584"/>
      <c r="N24" s="584"/>
      <c r="O24" s="584"/>
      <c r="P24" s="365"/>
      <c r="Q24" s="365"/>
      <c r="R24" s="365"/>
      <c r="S24" s="365"/>
      <c r="T24" s="365"/>
      <c r="U24" s="365"/>
      <c r="V24" s="365"/>
      <c r="W24" s="365"/>
      <c r="X24" s="365"/>
      <c r="Y24" s="365"/>
      <c r="Z24" s="365"/>
      <c r="AA24" s="365"/>
      <c r="AB24" s="365"/>
      <c r="AC24" s="365"/>
    </row>
    <row r="25" spans="2:29" ht="21" customHeight="1" x14ac:dyDescent="0.3">
      <c r="B25" s="580"/>
      <c r="C25" s="592"/>
      <c r="D25" s="584"/>
      <c r="E25" s="274">
        <f>AVERAGE(L10:O10)</f>
        <v>819.22499999999991</v>
      </c>
      <c r="F25" s="274">
        <f>AVERAGE(P10:S10)</f>
        <v>861.78460136669617</v>
      </c>
      <c r="G25" s="274">
        <f>AVERAGE(T10:W10)</f>
        <v>916.35421849360739</v>
      </c>
      <c r="H25" s="274">
        <f>AVERAGE(X10:AA10)</f>
        <v>997.3286454627364</v>
      </c>
      <c r="I25" s="274">
        <f>AVERAGE(AB10:AE10)</f>
        <v>1070.9261735069394</v>
      </c>
      <c r="J25" s="595"/>
      <c r="K25" s="584"/>
      <c r="L25" s="584"/>
      <c r="M25" s="584"/>
      <c r="N25" s="584"/>
      <c r="O25" s="584"/>
      <c r="P25" s="365"/>
      <c r="Q25" s="365"/>
      <c r="R25" s="365"/>
      <c r="S25" s="365"/>
      <c r="T25" s="365"/>
      <c r="U25" s="365"/>
      <c r="V25" s="365"/>
      <c r="W25" s="365"/>
      <c r="X25" s="365"/>
      <c r="Y25" s="365"/>
      <c r="Z25" s="365"/>
      <c r="AA25" s="365"/>
      <c r="AB25" s="365"/>
      <c r="AC25" s="365"/>
    </row>
    <row r="26" spans="2:29" ht="21" customHeight="1" x14ac:dyDescent="0.3">
      <c r="B26" s="180" t="s">
        <v>517</v>
      </c>
      <c r="C26" s="180"/>
      <c r="D26" s="157">
        <v>47</v>
      </c>
      <c r="E26" s="157">
        <v>48</v>
      </c>
      <c r="F26" s="294">
        <v>-50</v>
      </c>
      <c r="G26" s="36">
        <v>-45</v>
      </c>
      <c r="H26" s="294"/>
      <c r="I26" s="294"/>
      <c r="J26" s="586">
        <f>SUM(D26:G26)</f>
        <v>0</v>
      </c>
      <c r="M26" s="584"/>
      <c r="N26" s="584"/>
      <c r="O26" s="584"/>
      <c r="P26" s="365"/>
      <c r="Q26" s="365"/>
      <c r="R26" s="365"/>
      <c r="S26" s="365"/>
      <c r="T26" s="365"/>
      <c r="U26" s="365"/>
      <c r="V26" s="365"/>
      <c r="W26" s="365"/>
      <c r="X26" s="365"/>
      <c r="Y26" s="365"/>
      <c r="Z26" s="365"/>
      <c r="AA26" s="365"/>
      <c r="AB26" s="365"/>
      <c r="AC26" s="365"/>
    </row>
    <row r="27" spans="2:29" x14ac:dyDescent="0.3">
      <c r="B27" s="180" t="s">
        <v>518</v>
      </c>
      <c r="C27" s="592"/>
      <c r="D27" s="181"/>
      <c r="E27" s="181">
        <f>E24-E26</f>
        <v>819.67600000000004</v>
      </c>
      <c r="F27" s="181">
        <f t="shared" ref="F27:I27" si="2">F24+F26</f>
        <v>891.351</v>
      </c>
      <c r="G27" s="181">
        <f t="shared" si="2"/>
        <v>963.76700000000005</v>
      </c>
      <c r="H27" s="181">
        <f t="shared" si="2"/>
        <v>1085.711</v>
      </c>
      <c r="I27" s="181">
        <f t="shared" si="2"/>
        <v>1165.28</v>
      </c>
      <c r="J27" s="586"/>
      <c r="N27" s="587"/>
      <c r="O27" s="535"/>
      <c r="P27" s="365"/>
      <c r="Q27" s="365"/>
      <c r="R27" s="365"/>
      <c r="S27" s="365"/>
      <c r="T27" s="365"/>
      <c r="U27" s="365"/>
      <c r="V27" s="365"/>
      <c r="W27" s="365"/>
      <c r="X27" s="365"/>
      <c r="Y27" s="365"/>
      <c r="Z27" s="365"/>
      <c r="AA27" s="365"/>
      <c r="AB27" s="365"/>
      <c r="AC27" s="365"/>
    </row>
    <row r="28" spans="2:29" x14ac:dyDescent="0.3">
      <c r="B28" s="180" t="s">
        <v>520</v>
      </c>
      <c r="C28" s="593">
        <f>AVERAGE(D10:G10)</f>
        <v>773.92499999999995</v>
      </c>
      <c r="D28" s="278">
        <f>AVERAGE(H10:K10)</f>
        <v>814.3</v>
      </c>
      <c r="E28" s="181">
        <f>AVERAGE(L10:O10)</f>
        <v>819.22499999999991</v>
      </c>
      <c r="F28" s="294"/>
      <c r="G28" s="294"/>
      <c r="H28" s="294"/>
      <c r="I28" s="294"/>
      <c r="J28" s="586"/>
      <c r="K28" s="157" t="s">
        <v>519</v>
      </c>
      <c r="P28" s="365"/>
      <c r="Q28" s="365"/>
      <c r="R28" s="365"/>
      <c r="S28" s="365"/>
      <c r="T28" s="365"/>
      <c r="U28" s="365"/>
      <c r="V28" s="365"/>
      <c r="W28" s="365"/>
      <c r="X28" s="365"/>
      <c r="Y28" s="365"/>
      <c r="Z28" s="365"/>
      <c r="AA28" s="365"/>
      <c r="AB28" s="365"/>
      <c r="AC28" s="365"/>
    </row>
    <row r="29" spans="2:29" x14ac:dyDescent="0.3">
      <c r="B29" s="591" t="s">
        <v>1023</v>
      </c>
      <c r="C29" s="151"/>
      <c r="D29" s="268"/>
      <c r="E29" s="268"/>
      <c r="F29" s="268">
        <f>F27/E27-1</f>
        <v>8.7443087268628039E-2</v>
      </c>
      <c r="G29" s="268">
        <f t="shared" ref="G29:J29" si="3">G27/F27-1</f>
        <v>8.1242967136403221E-2</v>
      </c>
      <c r="H29" s="268">
        <v>0.1</v>
      </c>
      <c r="I29" s="268">
        <f t="shared" si="3"/>
        <v>7.328745863309849E-2</v>
      </c>
      <c r="J29" s="577">
        <f t="shared" si="3"/>
        <v>-1</v>
      </c>
      <c r="P29" s="157"/>
      <c r="Q29" s="157"/>
      <c r="R29" s="157"/>
      <c r="S29" s="157"/>
      <c r="T29" s="157"/>
      <c r="U29" s="157"/>
      <c r="V29" s="157"/>
      <c r="W29" s="157"/>
      <c r="X29" s="157"/>
      <c r="Y29" s="157"/>
      <c r="Z29" s="157"/>
      <c r="AA29" s="157"/>
      <c r="AB29" s="157"/>
      <c r="AC29" s="157"/>
    </row>
    <row r="30" spans="2:29" x14ac:dyDescent="0.3">
      <c r="P30" s="157"/>
      <c r="Q30" s="157"/>
      <c r="R30" s="157"/>
      <c r="S30" s="157"/>
      <c r="T30" s="157"/>
      <c r="U30" s="157"/>
      <c r="V30" s="157"/>
      <c r="W30" s="157"/>
      <c r="X30" s="157"/>
      <c r="Y30" s="157"/>
      <c r="Z30" s="157"/>
      <c r="AA30" s="157"/>
      <c r="AB30" s="157"/>
      <c r="AC30" s="157"/>
    </row>
    <row r="31" spans="2:29" x14ac:dyDescent="0.3">
      <c r="C31" s="585"/>
      <c r="D31" s="585"/>
      <c r="E31" s="585"/>
      <c r="F31" s="585"/>
      <c r="G31" s="585"/>
      <c r="H31" s="585"/>
      <c r="I31" s="585"/>
      <c r="J31" s="585"/>
      <c r="P31" s="157"/>
      <c r="Q31" s="157"/>
      <c r="R31" s="157"/>
      <c r="S31" s="157"/>
      <c r="T31" s="157"/>
      <c r="U31" s="157"/>
      <c r="V31" s="157"/>
      <c r="W31" s="157"/>
      <c r="X31" s="157"/>
      <c r="Y31" s="157"/>
      <c r="Z31" s="157"/>
      <c r="AA31" s="157"/>
      <c r="AB31" s="157"/>
      <c r="AC31" s="157"/>
    </row>
    <row r="32" spans="2:29" x14ac:dyDescent="0.3">
      <c r="K32" s="585"/>
      <c r="L32" s="585"/>
      <c r="M32" s="585"/>
      <c r="N32" s="585"/>
      <c r="P32" s="157"/>
      <c r="Q32" s="157"/>
      <c r="R32" s="157"/>
      <c r="S32" s="157"/>
      <c r="T32" s="157"/>
      <c r="U32" s="157"/>
      <c r="V32" s="157"/>
      <c r="W32" s="157"/>
      <c r="X32" s="157"/>
      <c r="Y32" s="157"/>
      <c r="Z32" s="157"/>
      <c r="AA32" s="157"/>
      <c r="AB32" s="157"/>
      <c r="AC32" s="157"/>
    </row>
    <row r="33" spans="6:32" x14ac:dyDescent="0.3">
      <c r="P33" s="157"/>
      <c r="Q33" s="157"/>
      <c r="R33" s="157"/>
      <c r="S33" s="157"/>
      <c r="T33" s="157"/>
      <c r="U33" s="157"/>
      <c r="V33" s="157"/>
      <c r="W33" s="157"/>
      <c r="X33" s="157"/>
      <c r="Y33" s="157"/>
      <c r="Z33" s="157"/>
      <c r="AA33" s="157"/>
      <c r="AB33" s="157"/>
      <c r="AC33" s="157"/>
    </row>
    <row r="34" spans="6:32" x14ac:dyDescent="0.3">
      <c r="S34" s="157"/>
      <c r="T34" s="157"/>
      <c r="U34" s="157"/>
      <c r="V34" s="157"/>
      <c r="W34" s="157"/>
      <c r="X34" s="157"/>
      <c r="Y34" s="157"/>
      <c r="Z34" s="157"/>
      <c r="AA34" s="157"/>
      <c r="AB34" s="157"/>
      <c r="AC34" s="157"/>
      <c r="AD34" s="157"/>
      <c r="AE34" s="157"/>
      <c r="AF34" s="157"/>
    </row>
    <row r="35" spans="6:32" x14ac:dyDescent="0.3">
      <c r="P35" s="157"/>
      <c r="Q35" s="157"/>
      <c r="R35" s="157"/>
      <c r="S35" s="157"/>
      <c r="T35" s="157"/>
      <c r="U35" s="157"/>
      <c r="V35" s="157"/>
      <c r="W35" s="157"/>
      <c r="X35" s="157"/>
      <c r="Y35" s="157"/>
      <c r="Z35" s="157"/>
      <c r="AA35" s="157"/>
      <c r="AB35" s="157"/>
      <c r="AC35" s="157"/>
    </row>
    <row r="36" spans="6:32" x14ac:dyDescent="0.3">
      <c r="F36" s="36"/>
      <c r="G36" s="36"/>
      <c r="P36" s="157"/>
      <c r="Q36" s="157"/>
      <c r="R36" s="157"/>
      <c r="S36" s="157"/>
      <c r="T36" s="157"/>
      <c r="U36" s="157"/>
      <c r="V36" s="157"/>
      <c r="W36" s="157"/>
      <c r="X36" s="157"/>
      <c r="Y36" s="157"/>
      <c r="Z36" s="157"/>
      <c r="AA36" s="157"/>
      <c r="AB36" s="157"/>
      <c r="AC36" s="157"/>
    </row>
    <row r="37" spans="6:32" x14ac:dyDescent="0.3">
      <c r="P37" s="157"/>
      <c r="Q37" s="157"/>
      <c r="R37" s="157"/>
      <c r="S37" s="157"/>
      <c r="T37" s="157"/>
      <c r="U37" s="157"/>
      <c r="V37" s="157"/>
      <c r="W37" s="157"/>
      <c r="X37" s="157"/>
      <c r="Y37" s="157"/>
      <c r="Z37" s="157"/>
      <c r="AA37" s="157"/>
      <c r="AB37" s="157"/>
      <c r="AC37" s="157"/>
    </row>
    <row r="38" spans="6:32" x14ac:dyDescent="0.3">
      <c r="P38" s="157"/>
      <c r="Q38" s="157"/>
      <c r="R38" s="157"/>
      <c r="S38" s="157"/>
      <c r="T38" s="157"/>
      <c r="U38" s="157"/>
      <c r="V38" s="157"/>
      <c r="W38" s="157"/>
      <c r="X38" s="157"/>
      <c r="Y38" s="157"/>
      <c r="Z38" s="157"/>
      <c r="AA38" s="157"/>
      <c r="AB38" s="157"/>
      <c r="AC38" s="157"/>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554687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919" t="s">
        <v>37</v>
      </c>
      <c r="B2" s="920"/>
      <c r="C2" s="920"/>
      <c r="D2" s="921"/>
      <c r="E2" s="15"/>
      <c r="F2" s="15"/>
    </row>
    <row r="3" spans="1:7" ht="158.69999999999999" customHeight="1" x14ac:dyDescent="0.3">
      <c r="A3" s="18" t="s">
        <v>917</v>
      </c>
      <c r="B3" s="14" t="s">
        <v>918</v>
      </c>
      <c r="C3" s="14" t="s">
        <v>942</v>
      </c>
      <c r="D3" s="22" t="s">
        <v>1025</v>
      </c>
      <c r="E3" s="14"/>
      <c r="F3" s="14"/>
    </row>
    <row r="4" spans="1:7" ht="99.45" customHeight="1" x14ac:dyDescent="0.3">
      <c r="A4" s="18" t="s">
        <v>919</v>
      </c>
      <c r="B4" s="14" t="s">
        <v>38</v>
      </c>
      <c r="C4" s="14" t="s">
        <v>39</v>
      </c>
      <c r="D4" s="22" t="s">
        <v>1025</v>
      </c>
      <c r="E4" s="14"/>
      <c r="F4" s="14"/>
    </row>
    <row r="5" spans="1:7" ht="85.5" customHeight="1" x14ac:dyDescent="0.3">
      <c r="A5" s="18" t="s">
        <v>920</v>
      </c>
      <c r="B5" s="14" t="s">
        <v>40</v>
      </c>
      <c r="C5" s="14" t="s">
        <v>1024</v>
      </c>
      <c r="D5" s="22" t="s">
        <v>1025</v>
      </c>
      <c r="E5" s="14"/>
      <c r="F5" s="14"/>
    </row>
    <row r="6" spans="1:7" ht="61.5" customHeight="1" x14ac:dyDescent="0.3">
      <c r="A6" s="18" t="s">
        <v>921</v>
      </c>
      <c r="B6" s="14" t="s">
        <v>900</v>
      </c>
      <c r="C6" s="14" t="s">
        <v>901</v>
      </c>
      <c r="D6" s="22" t="s">
        <v>1025</v>
      </c>
      <c r="E6" s="14"/>
      <c r="F6" s="14"/>
    </row>
    <row r="7" spans="1:7" ht="100.2" customHeight="1" x14ac:dyDescent="0.3">
      <c r="A7" s="18" t="s">
        <v>42</v>
      </c>
      <c r="B7" s="14" t="s">
        <v>43</v>
      </c>
      <c r="C7" s="28" t="s">
        <v>44</v>
      </c>
      <c r="D7" s="22" t="s">
        <v>1025</v>
      </c>
      <c r="E7" s="16"/>
      <c r="F7" s="14"/>
      <c r="G7" s="29"/>
    </row>
    <row r="8" spans="1:7" ht="78" customHeight="1" x14ac:dyDescent="0.3">
      <c r="A8" s="18" t="s">
        <v>45</v>
      </c>
      <c r="B8" s="14" t="s">
        <v>46</v>
      </c>
      <c r="C8" s="14" t="s">
        <v>948</v>
      </c>
      <c r="D8" s="22" t="s">
        <v>1025</v>
      </c>
      <c r="E8" s="14"/>
      <c r="F8" s="14"/>
    </row>
    <row r="9" spans="1:7" ht="67.5" customHeight="1" x14ac:dyDescent="0.3">
      <c r="A9" s="18" t="s">
        <v>890</v>
      </c>
      <c r="B9" s="14" t="s">
        <v>902</v>
      </c>
      <c r="C9" s="14" t="s">
        <v>962</v>
      </c>
      <c r="D9" s="22" t="s">
        <v>1025</v>
      </c>
      <c r="E9" s="14"/>
      <c r="F9" s="14"/>
    </row>
    <row r="10" spans="1:7" ht="63.45" customHeight="1" x14ac:dyDescent="0.3">
      <c r="A10" s="18" t="s">
        <v>47</v>
      </c>
      <c r="B10" s="14" t="s">
        <v>48</v>
      </c>
      <c r="C10" s="14" t="s">
        <v>922</v>
      </c>
      <c r="D10" s="23" t="s">
        <v>1022</v>
      </c>
      <c r="E10" s="14"/>
      <c r="F10" s="14"/>
    </row>
    <row r="11" spans="1:7" ht="15" customHeight="1" x14ac:dyDescent="0.3">
      <c r="A11" s="919" t="s">
        <v>923</v>
      </c>
      <c r="B11" s="920"/>
      <c r="C11" s="920"/>
      <c r="D11" s="921"/>
      <c r="E11" s="15"/>
      <c r="F11" s="14"/>
    </row>
    <row r="12" spans="1:7" ht="29.7" customHeight="1" x14ac:dyDescent="0.3">
      <c r="A12" s="19" t="s">
        <v>9</v>
      </c>
      <c r="B12" s="925" t="s">
        <v>925</v>
      </c>
      <c r="C12" s="925"/>
      <c r="D12" s="24"/>
      <c r="E12" s="15"/>
      <c r="F12" s="14"/>
    </row>
    <row r="13" spans="1:7" ht="48.45" customHeight="1" x14ac:dyDescent="0.3">
      <c r="A13" s="17" t="s">
        <v>924</v>
      </c>
      <c r="B13" s="925" t="s">
        <v>935</v>
      </c>
      <c r="C13" s="925"/>
      <c r="D13" s="22"/>
      <c r="E13" s="15"/>
      <c r="F13" s="14"/>
    </row>
    <row r="14" spans="1:7" ht="48.45" customHeight="1" x14ac:dyDescent="0.3">
      <c r="A14" s="17" t="s">
        <v>926</v>
      </c>
      <c r="B14" s="925" t="s">
        <v>927</v>
      </c>
      <c r="C14" s="925"/>
      <c r="D14" s="23"/>
      <c r="E14" s="15"/>
      <c r="F14" s="14"/>
    </row>
    <row r="15" spans="1:7" x14ac:dyDescent="0.3">
      <c r="A15" s="922" t="s">
        <v>59</v>
      </c>
      <c r="B15" s="923"/>
      <c r="C15" s="923"/>
      <c r="D15" s="924"/>
      <c r="E15" s="14"/>
      <c r="F15" s="14"/>
    </row>
    <row r="16" spans="1:7" ht="36.6" customHeight="1" x14ac:dyDescent="0.3">
      <c r="A16" s="917" t="s">
        <v>928</v>
      </c>
      <c r="B16" s="918"/>
      <c r="C16" s="918"/>
      <c r="D16" s="24"/>
      <c r="E16" s="14"/>
      <c r="F16" s="14"/>
    </row>
    <row r="17" spans="1:6" ht="145.5" customHeight="1" x14ac:dyDescent="0.3">
      <c r="A17" s="18" t="s">
        <v>60</v>
      </c>
      <c r="B17" s="14" t="s">
        <v>949</v>
      </c>
      <c r="C17" s="14" t="s">
        <v>956</v>
      </c>
      <c r="D17" s="22"/>
      <c r="E17" s="14"/>
      <c r="F17" s="14"/>
    </row>
    <row r="18" spans="1:6" ht="63.45" customHeight="1" x14ac:dyDescent="0.3">
      <c r="A18" s="18" t="s">
        <v>61</v>
      </c>
      <c r="B18" s="14" t="s">
        <v>950</v>
      </c>
      <c r="C18" s="14" t="s">
        <v>951</v>
      </c>
      <c r="D18" s="22"/>
      <c r="E18" s="14"/>
      <c r="F18" s="14"/>
    </row>
    <row r="19" spans="1:6" ht="63.45" customHeight="1" x14ac:dyDescent="0.3">
      <c r="A19" s="18" t="s">
        <v>952</v>
      </c>
      <c r="B19" s="14" t="s">
        <v>953</v>
      </c>
      <c r="C19" s="14" t="s">
        <v>954</v>
      </c>
      <c r="D19" s="22"/>
      <c r="E19" s="14"/>
      <c r="F19" s="14"/>
    </row>
    <row r="20" spans="1:6" ht="34.200000000000003" customHeight="1" x14ac:dyDescent="0.3">
      <c r="A20" s="917" t="s">
        <v>897</v>
      </c>
      <c r="B20" s="918"/>
      <c r="C20" s="918"/>
      <c r="D20" s="23"/>
      <c r="E20" s="14"/>
      <c r="F20" s="14"/>
    </row>
    <row r="21" spans="1:6" x14ac:dyDescent="0.3">
      <c r="A21" s="922" t="s">
        <v>62</v>
      </c>
      <c r="B21" s="923"/>
      <c r="C21" s="923"/>
      <c r="D21" s="924"/>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941</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5546875" defaultRowHeight="14.4" x14ac:dyDescent="0.3"/>
  <cols>
    <col min="1" max="1" width="6" customWidth="1"/>
    <col min="2" max="2" width="29.44140625" customWidth="1"/>
    <col min="3" max="7" width="10.44140625" customWidth="1"/>
  </cols>
  <sheetData>
    <row r="1" spans="1:29" x14ac:dyDescent="0.3">
      <c r="B1" s="947" t="s">
        <v>56</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1:29" ht="14.7" customHeight="1" x14ac:dyDescent="0.3">
      <c r="B2" s="979" t="s">
        <v>521</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1:29"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1:29"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1:29" x14ac:dyDescent="0.3">
      <c r="B5" s="359"/>
      <c r="C5" s="157"/>
      <c r="D5" s="157"/>
      <c r="E5" s="157"/>
      <c r="F5" s="157"/>
      <c r="G5" s="157"/>
      <c r="H5" s="157"/>
      <c r="I5" s="157"/>
      <c r="J5" s="157"/>
      <c r="K5" s="157"/>
      <c r="L5" s="157"/>
      <c r="M5" s="157"/>
      <c r="N5" s="157"/>
      <c r="O5" s="157"/>
      <c r="P5" s="157"/>
      <c r="Q5" s="157"/>
      <c r="R5" s="157"/>
      <c r="S5" s="157"/>
      <c r="T5" s="157"/>
      <c r="U5" s="157"/>
      <c r="V5" s="157"/>
      <c r="W5" s="157"/>
      <c r="X5" s="157"/>
      <c r="Y5" s="157"/>
    </row>
    <row r="6" spans="1:29" x14ac:dyDescent="0.3">
      <c r="B6" s="980" t="s">
        <v>465</v>
      </c>
      <c r="C6" s="960"/>
      <c r="D6" s="957" t="s">
        <v>325</v>
      </c>
      <c r="E6" s="958"/>
      <c r="F6" s="958"/>
      <c r="G6" s="958"/>
      <c r="H6" s="958"/>
      <c r="I6" s="958"/>
      <c r="J6" s="958"/>
      <c r="K6" s="958"/>
      <c r="L6" s="958"/>
      <c r="M6" s="958"/>
      <c r="N6" s="958"/>
      <c r="O6" s="958"/>
      <c r="P6" s="958"/>
      <c r="Q6" s="958"/>
      <c r="R6" s="988"/>
      <c r="S6" s="989" t="s">
        <v>326</v>
      </c>
      <c r="T6" s="990"/>
      <c r="U6" s="990"/>
      <c r="V6" s="990"/>
      <c r="W6" s="990"/>
      <c r="X6" s="990"/>
      <c r="Y6" s="990"/>
      <c r="Z6" s="990"/>
      <c r="AA6" s="990"/>
      <c r="AB6" s="990"/>
      <c r="AC6" s="991"/>
    </row>
    <row r="7" spans="1:29" x14ac:dyDescent="0.3">
      <c r="B7" s="981"/>
      <c r="C7" s="982"/>
      <c r="D7" s="201">
        <v>2018</v>
      </c>
      <c r="E7" s="948">
        <v>2019</v>
      </c>
      <c r="F7" s="949"/>
      <c r="G7" s="949"/>
      <c r="H7" s="956"/>
      <c r="I7" s="948">
        <v>2020</v>
      </c>
      <c r="J7" s="949"/>
      <c r="K7" s="949"/>
      <c r="L7" s="949"/>
      <c r="M7" s="948">
        <v>2021</v>
      </c>
      <c r="N7" s="949"/>
      <c r="O7" s="949"/>
      <c r="P7" s="956"/>
      <c r="Q7" s="986">
        <v>2022</v>
      </c>
      <c r="R7" s="987"/>
      <c r="S7" s="295"/>
      <c r="T7" s="296"/>
      <c r="U7" s="983">
        <v>2023</v>
      </c>
      <c r="V7" s="984"/>
      <c r="W7" s="984"/>
      <c r="X7" s="984"/>
      <c r="Y7" s="983">
        <v>2024</v>
      </c>
      <c r="Z7" s="984"/>
      <c r="AA7" s="984"/>
      <c r="AB7" s="985"/>
      <c r="AC7" s="262">
        <v>2025</v>
      </c>
    </row>
    <row r="8" spans="1:29" x14ac:dyDescent="0.3">
      <c r="B8" s="993"/>
      <c r="C8" s="994"/>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1:29" x14ac:dyDescent="0.3">
      <c r="B9" s="530" t="s">
        <v>56</v>
      </c>
      <c r="C9" s="429" t="s">
        <v>522</v>
      </c>
      <c r="D9" s="530"/>
      <c r="E9" s="429"/>
      <c r="F9" s="429"/>
      <c r="G9" s="429"/>
      <c r="H9" s="429"/>
      <c r="I9" s="429"/>
      <c r="J9" s="288">
        <f>'Haver Pivoted'!GU45</f>
        <v>1078.0999999999999</v>
      </c>
      <c r="K9" s="288">
        <f>'Haver Pivoted'!GV45</f>
        <v>15.6</v>
      </c>
      <c r="L9" s="288">
        <f>'Haver Pivoted'!GW45</f>
        <v>5</v>
      </c>
      <c r="M9" s="288">
        <f>'Haver Pivoted'!GX45</f>
        <v>1933.7</v>
      </c>
      <c r="N9" s="288">
        <f>'Haver Pivoted'!GY45</f>
        <v>290.10000000000002</v>
      </c>
      <c r="O9" s="288">
        <f>'Haver Pivoted'!GZ45</f>
        <v>38.9</v>
      </c>
      <c r="P9" s="288">
        <f>'Haver Pivoted'!HA45</f>
        <v>14.2</v>
      </c>
      <c r="Q9" s="288">
        <f>'Haver Pivoted'!HB45</f>
        <v>0</v>
      </c>
      <c r="R9" s="288">
        <f>'Haver Pivoted'!HC45</f>
        <v>0</v>
      </c>
      <c r="S9" s="312"/>
      <c r="T9" s="312"/>
      <c r="U9" s="312"/>
      <c r="V9" s="312"/>
      <c r="W9" s="312"/>
      <c r="X9" s="312"/>
      <c r="Y9" s="312"/>
      <c r="Z9" s="312"/>
      <c r="AA9" s="312"/>
      <c r="AB9" s="312"/>
      <c r="AC9" s="313"/>
    </row>
    <row r="10" spans="1:29" x14ac:dyDescent="0.3">
      <c r="B10" s="531" t="s">
        <v>214</v>
      </c>
      <c r="C10" s="261"/>
      <c r="D10" s="531"/>
      <c r="E10" s="261"/>
      <c r="F10" s="261"/>
      <c r="G10" s="261"/>
      <c r="H10" s="261"/>
      <c r="I10" s="261"/>
      <c r="J10" s="613"/>
      <c r="K10" s="613"/>
      <c r="L10" s="613"/>
      <c r="M10" s="613">
        <f t="shared" ref="M10:R10" si="0">M9-M11</f>
        <v>1348.1</v>
      </c>
      <c r="N10" s="613">
        <f t="shared" si="0"/>
        <v>290.10000000000002</v>
      </c>
      <c r="O10" s="613">
        <f t="shared" si="0"/>
        <v>38.9</v>
      </c>
      <c r="P10" s="613">
        <f t="shared" si="0"/>
        <v>14.2</v>
      </c>
      <c r="Q10" s="613">
        <f t="shared" si="0"/>
        <v>0</v>
      </c>
      <c r="R10" s="613">
        <f t="shared" si="0"/>
        <v>0</v>
      </c>
      <c r="S10" s="610"/>
      <c r="T10" s="610"/>
      <c r="U10" s="610"/>
      <c r="V10" s="610"/>
      <c r="W10" s="610"/>
      <c r="X10" s="610"/>
      <c r="Y10" s="610"/>
      <c r="Z10" s="610"/>
      <c r="AA10" s="610"/>
      <c r="AB10" s="610"/>
      <c r="AC10" s="612"/>
    </row>
    <row r="11" spans="1:29" x14ac:dyDescent="0.3">
      <c r="B11" s="504" t="s">
        <v>523</v>
      </c>
      <c r="C11" s="507"/>
      <c r="D11" s="504"/>
      <c r="E11" s="507"/>
      <c r="F11" s="507"/>
      <c r="G11" s="507"/>
      <c r="H11" s="507"/>
      <c r="I11" s="507"/>
      <c r="J11" s="611">
        <f t="shared" ref="J11:L11" si="1">J9-J10</f>
        <v>1078.0999999999999</v>
      </c>
      <c r="K11" s="611">
        <f t="shared" si="1"/>
        <v>15.6</v>
      </c>
      <c r="L11" s="611">
        <f t="shared" si="1"/>
        <v>5</v>
      </c>
      <c r="M11" s="611">
        <f>SUM(C17:D17)/12*4</f>
        <v>585.6</v>
      </c>
      <c r="N11" s="611">
        <v>0</v>
      </c>
      <c r="O11" s="611">
        <v>0</v>
      </c>
      <c r="P11" s="611">
        <v>0</v>
      </c>
      <c r="Q11" s="611">
        <v>0</v>
      </c>
      <c r="R11" s="611">
        <v>0</v>
      </c>
      <c r="S11" s="610"/>
      <c r="T11" s="610"/>
      <c r="U11" s="610"/>
      <c r="V11" s="610"/>
      <c r="W11" s="610"/>
      <c r="X11" s="610"/>
      <c r="Y11" s="610"/>
      <c r="Z11" s="610"/>
      <c r="AA11" s="610"/>
      <c r="AB11" s="610"/>
      <c r="AC11" s="612"/>
    </row>
    <row r="12" spans="1:29" x14ac:dyDescent="0.3">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36"/>
      <c r="AA12" s="36"/>
      <c r="AB12" s="36"/>
      <c r="AC12" s="36"/>
    </row>
    <row r="13" spans="1:29" x14ac:dyDescent="0.3">
      <c r="A13" s="76"/>
      <c r="B13" s="76"/>
      <c r="C13" s="76"/>
      <c r="D13" s="76"/>
      <c r="E13" s="76"/>
      <c r="F13" s="76"/>
      <c r="G13" s="76"/>
      <c r="H13" s="76"/>
      <c r="I13" s="76"/>
      <c r="J13" s="76"/>
      <c r="K13" s="76"/>
      <c r="L13" s="111"/>
      <c r="M13" s="111"/>
      <c r="N13" s="111"/>
    </row>
    <row r="14" spans="1:29" x14ac:dyDescent="0.3">
      <c r="A14" s="76"/>
      <c r="N14" s="36"/>
    </row>
    <row r="15" spans="1:29" x14ac:dyDescent="0.3">
      <c r="A15" s="123"/>
      <c r="B15" s="1043" t="s">
        <v>524</v>
      </c>
      <c r="C15" s="966">
        <v>2021</v>
      </c>
      <c r="D15" s="967"/>
      <c r="E15" s="967"/>
      <c r="F15" s="967"/>
      <c r="G15" s="48"/>
      <c r="K15" s="1045"/>
      <c r="L15" s="1045"/>
      <c r="M15" s="36"/>
      <c r="N15" s="36"/>
    </row>
    <row r="16" spans="1:29" x14ac:dyDescent="0.3">
      <c r="B16" s="1044"/>
      <c r="C16" s="606" t="s">
        <v>234</v>
      </c>
      <c r="D16" s="607" t="s">
        <v>235</v>
      </c>
      <c r="E16" s="607" t="s">
        <v>236</v>
      </c>
      <c r="F16" s="607" t="s">
        <v>237</v>
      </c>
      <c r="G16" s="238"/>
      <c r="H16" s="123"/>
      <c r="I16" s="123"/>
      <c r="J16" s="123"/>
      <c r="K16" s="123"/>
      <c r="L16" s="123"/>
      <c r="M16" s="123"/>
      <c r="N16" s="123"/>
    </row>
    <row r="17" spans="2:25" ht="16.2" customHeight="1" x14ac:dyDescent="0.3">
      <c r="B17" s="605" t="s">
        <v>525</v>
      </c>
      <c r="C17" s="608">
        <v>1660.9</v>
      </c>
      <c r="D17" s="608">
        <v>95.9</v>
      </c>
      <c r="E17" s="608">
        <v>4044.2</v>
      </c>
      <c r="F17" s="609">
        <v>688</v>
      </c>
      <c r="G17" s="604"/>
      <c r="H17" s="604"/>
      <c r="I17" s="604"/>
      <c r="J17" s="604"/>
      <c r="K17" s="604"/>
      <c r="L17" s="604"/>
      <c r="M17" s="157"/>
      <c r="N17" s="157"/>
    </row>
    <row r="18" spans="2:25" x14ac:dyDescent="0.3">
      <c r="B18" s="164" t="s">
        <v>526</v>
      </c>
      <c r="C18" s="157"/>
      <c r="D18" s="157"/>
      <c r="E18" s="157"/>
      <c r="F18" s="157"/>
      <c r="G18" s="157"/>
      <c r="H18" s="157"/>
      <c r="I18" s="157"/>
      <c r="J18" s="157"/>
      <c r="K18" s="157"/>
      <c r="L18" s="157"/>
      <c r="M18" s="157"/>
      <c r="N18" s="157"/>
    </row>
    <row r="19" spans="2:25" x14ac:dyDescent="0.3">
      <c r="B19" s="157"/>
      <c r="C19" s="157"/>
      <c r="D19" s="157"/>
      <c r="E19" s="157"/>
      <c r="F19" s="157"/>
      <c r="G19" s="157"/>
      <c r="H19" s="157"/>
      <c r="I19" s="157"/>
      <c r="J19" s="157"/>
      <c r="K19" s="157"/>
      <c r="L19" s="157"/>
      <c r="M19" s="157"/>
      <c r="N19" s="157"/>
    </row>
    <row r="20" spans="2:25" x14ac:dyDescent="0.3">
      <c r="B20" s="164"/>
      <c r="C20" s="157"/>
      <c r="D20" s="157"/>
      <c r="E20" s="157"/>
      <c r="F20" s="157"/>
      <c r="G20" s="157"/>
      <c r="H20" s="157"/>
      <c r="I20" s="157"/>
      <c r="J20" s="157"/>
      <c r="K20" s="157"/>
      <c r="L20" s="157"/>
      <c r="M20" s="157"/>
      <c r="N20" s="157"/>
    </row>
    <row r="21" spans="2:25" x14ac:dyDescent="0.3">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row>
    <row r="22" spans="2:25" x14ac:dyDescent="0.3">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row>
    <row r="23" spans="2:25" x14ac:dyDescent="0.3">
      <c r="B23" s="157"/>
      <c r="C23" s="157"/>
      <c r="D23" s="157"/>
      <c r="E23" s="157"/>
      <c r="F23" s="157"/>
      <c r="G23" s="157"/>
      <c r="H23" s="157"/>
      <c r="I23" s="157"/>
      <c r="J23" s="157"/>
      <c r="K23" s="157"/>
      <c r="L23" s="157"/>
      <c r="M23" s="157"/>
      <c r="N23" s="157"/>
      <c r="O23" s="157"/>
      <c r="P23" s="157"/>
      <c r="Q23" s="157"/>
      <c r="R23" s="157"/>
      <c r="S23" s="157"/>
      <c r="T23" s="157"/>
      <c r="U23" s="157"/>
      <c r="V23" s="157"/>
      <c r="W23" s="157"/>
      <c r="X23" s="157"/>
      <c r="Y23" s="157"/>
    </row>
    <row r="24" spans="2:25" x14ac:dyDescent="0.3">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row>
    <row r="25" spans="2:25" x14ac:dyDescent="0.3">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row>
    <row r="26" spans="2:25" x14ac:dyDescent="0.3">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row>
    <row r="27" spans="2:25" x14ac:dyDescent="0.3">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row>
    <row r="28" spans="2:25" x14ac:dyDescent="0.3">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row>
    <row r="29" spans="2:25" x14ac:dyDescent="0.3">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row>
    <row r="30" spans="2:25" x14ac:dyDescent="0.3">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row>
    <row r="31" spans="2:25" x14ac:dyDescent="0.3">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row>
    <row r="32" spans="2:25" x14ac:dyDescent="0.3">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row>
    <row r="33" spans="2:25" x14ac:dyDescent="0.3">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row>
    <row r="34" spans="2:25" x14ac:dyDescent="0.3">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row>
    <row r="35" spans="2:25" x14ac:dyDescent="0.3">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row>
    <row r="36" spans="2:25" x14ac:dyDescent="0.3">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row>
    <row r="37" spans="2:25" x14ac:dyDescent="0.3">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row>
    <row r="38" spans="2:25" x14ac:dyDescent="0.3">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row>
    <row r="39" spans="2:25" x14ac:dyDescent="0.3">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row>
    <row r="40" spans="2:25" x14ac:dyDescent="0.3">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row>
    <row r="41" spans="2:25" x14ac:dyDescent="0.3">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row>
    <row r="42" spans="2:25" x14ac:dyDescent="0.3">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row>
    <row r="43" spans="2:25" x14ac:dyDescent="0.3">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row>
    <row r="44" spans="2:25" x14ac:dyDescent="0.3">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row>
    <row r="45" spans="2:25" x14ac:dyDescent="0.3">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row>
    <row r="46" spans="2:25" x14ac:dyDescent="0.3">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row>
    <row r="47" spans="2:25" x14ac:dyDescent="0.3">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row>
    <row r="48" spans="2:25" x14ac:dyDescent="0.3">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row>
    <row r="49" spans="2:25" x14ac:dyDescent="0.3">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row>
    <row r="50" spans="2:25" x14ac:dyDescent="0.3">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row>
    <row r="51" spans="2:25" x14ac:dyDescent="0.3">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row>
    <row r="52" spans="2:25" x14ac:dyDescent="0.3">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row>
    <row r="53" spans="2:25" x14ac:dyDescent="0.3">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row>
    <row r="54" spans="2:25" x14ac:dyDescent="0.3">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row>
    <row r="55" spans="2:25" x14ac:dyDescent="0.3">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7"/>
  <sheetViews>
    <sheetView topLeftCell="B13" zoomScale="80" zoomScaleNormal="80" workbookViewId="0">
      <selection activeCell="R21" sqref="R21"/>
    </sheetView>
  </sheetViews>
  <sheetFormatPr defaultColWidth="11.5546875" defaultRowHeight="14.4" x14ac:dyDescent="0.3"/>
  <cols>
    <col min="2" max="2" width="37.109375" customWidth="1"/>
    <col min="6" max="6" width="12.109375" customWidth="1"/>
    <col min="7" max="7" width="10.44140625" customWidth="1"/>
  </cols>
  <sheetData>
    <row r="1" spans="2:29" ht="18" customHeight="1" x14ac:dyDescent="0.3">
      <c r="B1" s="1046" t="s">
        <v>527</v>
      </c>
      <c r="C1" s="1046"/>
      <c r="D1" s="1046"/>
      <c r="E1" s="1046"/>
      <c r="F1" s="1046"/>
      <c r="G1" s="1046"/>
      <c r="H1" s="1046"/>
      <c r="I1" s="1046"/>
      <c r="J1" s="1046"/>
      <c r="K1" s="1046"/>
      <c r="L1" s="1046"/>
      <c r="M1" s="1046"/>
      <c r="N1" s="1046"/>
      <c r="O1" s="1046"/>
      <c r="P1" s="1046"/>
      <c r="Q1" s="1046"/>
      <c r="R1" s="1046"/>
      <c r="S1" s="1046"/>
      <c r="T1" s="1046"/>
      <c r="U1" s="1046"/>
      <c r="V1" s="1046"/>
      <c r="W1" s="1046"/>
      <c r="X1" s="1046"/>
      <c r="Y1" s="1046"/>
      <c r="Z1" s="1046"/>
      <c r="AA1" s="1046"/>
      <c r="AB1" s="1046"/>
      <c r="AC1" s="1046"/>
    </row>
    <row r="2" spans="2:29" ht="34.5" customHeight="1" x14ac:dyDescent="0.3">
      <c r="B2" s="979" t="s">
        <v>940</v>
      </c>
      <c r="C2" s="946"/>
      <c r="D2" s="946"/>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2:29" ht="3" customHeight="1" x14ac:dyDescent="0.3">
      <c r="B3" s="946"/>
      <c r="C3" s="946"/>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2:29" ht="10.199999999999999" customHeight="1" x14ac:dyDescent="0.3">
      <c r="B4" s="946"/>
      <c r="C4" s="946"/>
      <c r="D4" s="946"/>
      <c r="E4" s="946"/>
      <c r="F4" s="946"/>
      <c r="G4" s="946"/>
      <c r="H4" s="946"/>
      <c r="I4" s="946"/>
      <c r="J4" s="946"/>
      <c r="K4" s="946"/>
      <c r="L4" s="946"/>
      <c r="M4" s="946"/>
      <c r="N4" s="946"/>
      <c r="O4" s="946"/>
      <c r="P4" s="946"/>
      <c r="Q4" s="946"/>
      <c r="R4" s="946"/>
      <c r="S4" s="946"/>
      <c r="T4" s="946"/>
      <c r="U4" s="946"/>
      <c r="V4" s="946"/>
      <c r="W4" s="946"/>
      <c r="X4" s="946"/>
      <c r="Y4" s="946"/>
      <c r="Z4" s="946"/>
      <c r="AA4" s="946"/>
      <c r="AB4" s="946"/>
      <c r="AC4" s="946"/>
    </row>
    <row r="5" spans="2:29" ht="14.25" customHeight="1" x14ac:dyDescent="0.3">
      <c r="B5" s="946"/>
      <c r="C5" s="946"/>
      <c r="D5" s="946"/>
      <c r="E5" s="946"/>
      <c r="F5" s="946"/>
      <c r="G5" s="946"/>
      <c r="H5" s="946"/>
      <c r="I5" s="946"/>
      <c r="J5" s="946"/>
      <c r="K5" s="946"/>
      <c r="L5" s="946"/>
      <c r="M5" s="946"/>
      <c r="N5" s="946"/>
      <c r="O5" s="946"/>
      <c r="P5" s="946"/>
      <c r="Q5" s="946"/>
      <c r="R5" s="946"/>
      <c r="S5" s="946"/>
      <c r="T5" s="946"/>
      <c r="U5" s="946"/>
      <c r="V5" s="946"/>
      <c r="W5" s="946"/>
      <c r="X5" s="946"/>
      <c r="Y5" s="946"/>
      <c r="Z5" s="946"/>
      <c r="AA5" s="946"/>
      <c r="AB5" s="946"/>
      <c r="AC5" s="946"/>
    </row>
    <row r="6" spans="2:29" ht="14.25" customHeight="1" x14ac:dyDescent="0.3">
      <c r="B6" s="946"/>
      <c r="C6" s="946"/>
      <c r="D6" s="946"/>
      <c r="E6" s="946"/>
      <c r="F6" s="946"/>
      <c r="G6" s="946"/>
      <c r="H6" s="946"/>
      <c r="I6" s="946"/>
      <c r="J6" s="946"/>
      <c r="K6" s="946"/>
      <c r="L6" s="946"/>
      <c r="M6" s="946"/>
      <c r="N6" s="946"/>
      <c r="O6" s="946"/>
      <c r="P6" s="946"/>
      <c r="Q6" s="946"/>
      <c r="R6" s="946"/>
      <c r="S6" s="946"/>
      <c r="T6" s="946"/>
      <c r="U6" s="946"/>
      <c r="V6" s="946"/>
      <c r="W6" s="946"/>
      <c r="X6" s="946"/>
      <c r="Y6" s="946"/>
      <c r="Z6" s="946"/>
      <c r="AA6" s="946"/>
      <c r="AB6" s="946"/>
      <c r="AC6" s="946"/>
    </row>
    <row r="7" spans="2:29" x14ac:dyDescent="0.3">
      <c r="B7" s="624" t="s">
        <v>381</v>
      </c>
      <c r="C7" s="273"/>
      <c r="D7" s="273"/>
      <c r="E7" s="273"/>
      <c r="F7" s="273"/>
      <c r="G7" s="273"/>
      <c r="H7" s="274"/>
      <c r="I7" s="274"/>
      <c r="J7" s="274"/>
      <c r="K7" s="274"/>
      <c r="L7" s="274"/>
      <c r="M7" s="274"/>
      <c r="N7" s="274"/>
      <c r="O7" s="274"/>
      <c r="P7" s="274"/>
      <c r="Q7" s="274"/>
      <c r="R7" s="274"/>
      <c r="S7" s="274"/>
      <c r="T7" s="274"/>
      <c r="U7" s="274"/>
    </row>
    <row r="8" spans="2:29" ht="14.7" customHeight="1" x14ac:dyDescent="0.3">
      <c r="B8" s="980" t="s">
        <v>352</v>
      </c>
      <c r="C8" s="960"/>
      <c r="D8" s="957" t="s">
        <v>325</v>
      </c>
      <c r="E8" s="958"/>
      <c r="F8" s="958"/>
      <c r="G8" s="958"/>
      <c r="H8" s="958"/>
      <c r="I8" s="958"/>
      <c r="J8" s="958"/>
      <c r="K8" s="958"/>
      <c r="L8" s="958"/>
      <c r="M8" s="958"/>
      <c r="N8" s="958"/>
      <c r="O8" s="958"/>
      <c r="P8" s="958"/>
      <c r="Q8" s="958"/>
      <c r="R8" s="988"/>
      <c r="S8" s="989" t="s">
        <v>326</v>
      </c>
      <c r="T8" s="990"/>
      <c r="U8" s="990"/>
      <c r="V8" s="990"/>
      <c r="W8" s="990"/>
      <c r="X8" s="990"/>
      <c r="Y8" s="990"/>
      <c r="Z8" s="990"/>
      <c r="AA8" s="990"/>
      <c r="AB8" s="990"/>
      <c r="AC8" s="991"/>
    </row>
    <row r="9" spans="2:29" ht="14.7" customHeight="1" x14ac:dyDescent="0.3">
      <c r="B9" s="981"/>
      <c r="C9" s="1011"/>
      <c r="D9" s="201">
        <v>2018</v>
      </c>
      <c r="E9" s="948">
        <v>2019</v>
      </c>
      <c r="F9" s="949"/>
      <c r="G9" s="949"/>
      <c r="H9" s="956"/>
      <c r="I9" s="948">
        <v>2020</v>
      </c>
      <c r="J9" s="949"/>
      <c r="K9" s="949"/>
      <c r="L9" s="949"/>
      <c r="M9" s="948">
        <v>2021</v>
      </c>
      <c r="N9" s="949"/>
      <c r="O9" s="949"/>
      <c r="P9" s="949"/>
      <c r="Q9" s="986">
        <v>2022</v>
      </c>
      <c r="R9" s="987"/>
      <c r="S9" s="295"/>
      <c r="T9" s="296"/>
      <c r="U9" s="983">
        <v>2023</v>
      </c>
      <c r="V9" s="984"/>
      <c r="W9" s="984"/>
      <c r="X9" s="984"/>
      <c r="Y9" s="983">
        <v>2024</v>
      </c>
      <c r="Z9" s="984"/>
      <c r="AA9" s="984"/>
      <c r="AB9" s="985"/>
      <c r="AC9" s="262">
        <v>2025</v>
      </c>
    </row>
    <row r="10" spans="2:29" x14ac:dyDescent="0.3">
      <c r="B10" s="981"/>
      <c r="C10" s="1011"/>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4" t="s">
        <v>327</v>
      </c>
      <c r="Q10" s="155" t="s">
        <v>328</v>
      </c>
      <c r="R10" s="205"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
      <c r="B11" s="1047" t="s">
        <v>528</v>
      </c>
      <c r="C11" s="1048"/>
      <c r="D11" s="614"/>
      <c r="E11" s="615"/>
      <c r="F11" s="615"/>
      <c r="G11" s="615"/>
      <c r="H11" s="288"/>
      <c r="I11" s="288"/>
      <c r="J11" s="288"/>
      <c r="K11" s="288"/>
      <c r="L11" s="288"/>
      <c r="M11" s="536"/>
      <c r="N11" s="536"/>
      <c r="O11" s="536"/>
      <c r="P11" s="288"/>
      <c r="Q11" s="288"/>
      <c r="R11" s="649"/>
      <c r="S11" s="312"/>
      <c r="T11" s="312"/>
      <c r="U11" s="312"/>
      <c r="V11" s="312"/>
      <c r="W11" s="312"/>
      <c r="X11" s="312"/>
      <c r="Y11" s="312"/>
      <c r="Z11" s="312"/>
      <c r="AA11" s="312"/>
      <c r="AB11" s="312"/>
      <c r="AC11" s="313"/>
    </row>
    <row r="12" spans="2:29" ht="16.95" customHeight="1" x14ac:dyDescent="0.3">
      <c r="B12" s="439" t="s">
        <v>529</v>
      </c>
      <c r="C12" s="157" t="s">
        <v>530</v>
      </c>
      <c r="D12" s="554">
        <f>'Haver Pivoted'!GO31</f>
        <v>2222.3000000000002</v>
      </c>
      <c r="E12" s="479">
        <f>'Haver Pivoted'!GP31</f>
        <v>2298.1</v>
      </c>
      <c r="F12" s="479">
        <f>'Haver Pivoted'!GQ31</f>
        <v>2315.5</v>
      </c>
      <c r="G12" s="479">
        <f>'Haver Pivoted'!GR31</f>
        <v>2333.1999999999998</v>
      </c>
      <c r="H12" s="479">
        <f>'Haver Pivoted'!GS31</f>
        <v>2350.8000000000002</v>
      </c>
      <c r="I12" s="479">
        <f>'Haver Pivoted'!GT31</f>
        <v>2417.9</v>
      </c>
      <c r="J12" s="479">
        <f>'Haver Pivoted'!GU31</f>
        <v>4766.7</v>
      </c>
      <c r="K12" s="479">
        <f>'Haver Pivoted'!GV31</f>
        <v>3468.3</v>
      </c>
      <c r="L12" s="479">
        <f>'Haver Pivoted'!GW31</f>
        <v>2839.1</v>
      </c>
      <c r="M12" s="479">
        <f>'Haver Pivoted'!GX31</f>
        <v>5070.6000000000004</v>
      </c>
      <c r="N12" s="479">
        <f>'Haver Pivoted'!GY31</f>
        <v>3372.3</v>
      </c>
      <c r="O12" s="479">
        <f>'Haver Pivoted'!GZ31</f>
        <v>3136.3</v>
      </c>
      <c r="P12" s="479">
        <f>'Haver Pivoted'!HA31</f>
        <v>2936.3</v>
      </c>
      <c r="Q12" s="479">
        <f>'Haver Pivoted'!HB31</f>
        <v>2880.8</v>
      </c>
      <c r="R12" s="473">
        <f>'Haver Pivoted'!HC31</f>
        <v>2872</v>
      </c>
      <c r="S12" s="471">
        <f>SUM(S14:S25)-S24</f>
        <v>2813.1466244948801</v>
      </c>
      <c r="T12" s="471">
        <f t="shared" ref="T12:AC12" si="0">SUM(T14:T25)-T24</f>
        <v>2824.1894722203451</v>
      </c>
      <c r="U12" s="471">
        <f>SUM(U14:U25)-U24</f>
        <v>2826.1156884735128</v>
      </c>
      <c r="V12" s="471">
        <f t="shared" si="0"/>
        <v>2850.809441002094</v>
      </c>
      <c r="W12" s="471">
        <f t="shared" si="0"/>
        <v>2876.2070433895947</v>
      </c>
      <c r="X12" s="471">
        <f t="shared" si="0"/>
        <v>2914.2938970901937</v>
      </c>
      <c r="Y12" s="471">
        <f t="shared" si="0"/>
        <v>2970.1955601951549</v>
      </c>
      <c r="Z12" s="471">
        <f t="shared" si="0"/>
        <v>3002.7821405291975</v>
      </c>
      <c r="AA12" s="471">
        <f t="shared" si="0"/>
        <v>3034.4532884808536</v>
      </c>
      <c r="AB12" s="471">
        <f t="shared" si="0"/>
        <v>3085.0714285769914</v>
      </c>
      <c r="AC12" s="640">
        <f t="shared" si="0"/>
        <v>3143.8734251035594</v>
      </c>
    </row>
    <row r="13" spans="2:29" x14ac:dyDescent="0.3">
      <c r="B13" s="439"/>
      <c r="C13" s="157"/>
      <c r="D13" s="554"/>
      <c r="E13" s="479"/>
      <c r="F13" s="479"/>
      <c r="G13" s="479"/>
      <c r="H13" s="479"/>
      <c r="I13" s="479"/>
      <c r="J13" s="479"/>
      <c r="K13" s="479"/>
      <c r="L13" s="479"/>
      <c r="M13" s="479"/>
      <c r="N13" s="479"/>
      <c r="O13" s="479"/>
      <c r="P13" s="157"/>
      <c r="Q13" s="149"/>
      <c r="R13" s="156"/>
      <c r="S13" s="362"/>
      <c r="T13" s="362"/>
      <c r="U13" s="362"/>
      <c r="V13" s="362"/>
      <c r="W13" s="362"/>
      <c r="X13" s="362"/>
      <c r="Y13" s="362"/>
      <c r="Z13" s="362"/>
      <c r="AA13" s="362"/>
      <c r="AB13" s="362"/>
      <c r="AC13" s="381"/>
    </row>
    <row r="14" spans="2:29" ht="35.700000000000003" customHeight="1" x14ac:dyDescent="0.3">
      <c r="B14" s="276" t="s">
        <v>531</v>
      </c>
      <c r="C14" s="157"/>
      <c r="D14" s="554">
        <f>'Unemployment Insurance'!D20+'Unemployment Insurance'!D19</f>
        <v>27.1</v>
      </c>
      <c r="E14" s="479">
        <f>'Unemployment Insurance'!E20+'Unemployment Insurance'!E19</f>
        <v>28.4</v>
      </c>
      <c r="F14" s="479">
        <f>'Unemployment Insurance'!F20+'Unemployment Insurance'!F19</f>
        <v>27.8</v>
      </c>
      <c r="G14" s="479">
        <f>'Unemployment Insurance'!G20+'Unemployment Insurance'!G19</f>
        <v>27.4</v>
      </c>
      <c r="H14" s="479">
        <f>'Unemployment Insurance'!H20+'Unemployment Insurance'!H19</f>
        <v>26.8</v>
      </c>
      <c r="I14" s="479">
        <f>'Unemployment Insurance'!I20+'Unemployment Insurance'!I19</f>
        <v>39.5</v>
      </c>
      <c r="J14" s="479">
        <f>'Unemployment Insurance'!J20+'Unemployment Insurance'!J19</f>
        <v>1039.4000000000001</v>
      </c>
      <c r="K14" s="479">
        <f>'Unemployment Insurance'!K20+'Unemployment Insurance'!K19</f>
        <v>767.8</v>
      </c>
      <c r="L14" s="479">
        <f>'Unemployment Insurance'!L20+'Unemployment Insurance'!L19</f>
        <v>299.89999999999998</v>
      </c>
      <c r="M14" s="479">
        <f>'Unemployment Insurance'!M20+'Unemployment Insurance'!M19</f>
        <v>565.79999999999995</v>
      </c>
      <c r="N14" s="479">
        <f>'Unemployment Insurance'!N20+'Unemployment Insurance'!N19</f>
        <v>480.4</v>
      </c>
      <c r="O14" s="479">
        <f>'Unemployment Insurance'!O20+'Unemployment Insurance'!O19</f>
        <v>272.3</v>
      </c>
      <c r="P14" s="479">
        <f>'Unemployment Insurance'!P20+'Unemployment Insurance'!P19</f>
        <v>37.700000000000003</v>
      </c>
      <c r="Q14" s="479">
        <f>'Unemployment Insurance'!Q20+'Unemployment Insurance'!Q19</f>
        <v>25.1</v>
      </c>
      <c r="R14" s="473">
        <f>'Unemployment Insurance'!R20+'Unemployment Insurance'!R19</f>
        <v>20</v>
      </c>
      <c r="S14" s="471">
        <f>'Unemployment Insurance'!S20+'Unemployment Insurance'!S19</f>
        <v>18.393333333333334</v>
      </c>
      <c r="T14" s="471">
        <f>'Unemployment Insurance'!T20+'Unemployment Insurance'!T19</f>
        <v>18.047222222222221</v>
      </c>
      <c r="U14" s="471">
        <f>'Unemployment Insurance'!U20+'Unemployment Insurance'!U19</f>
        <v>17.701111111111111</v>
      </c>
      <c r="V14" s="471">
        <f>'Unemployment Insurance'!V20+'Unemployment Insurance'!V19</f>
        <v>17.404444444444444</v>
      </c>
      <c r="W14" s="471">
        <f>'Unemployment Insurance'!W20+'Unemployment Insurance'!W19</f>
        <v>17.458833333333331</v>
      </c>
      <c r="X14" s="471">
        <f>'Unemployment Insurance'!X20+'Unemployment Insurance'!X19</f>
        <v>17.557722222222221</v>
      </c>
      <c r="Y14" s="471">
        <f>'Unemployment Insurance'!Y20+'Unemployment Insurance'!Y19</f>
        <v>17.908777777777775</v>
      </c>
      <c r="Z14" s="471">
        <f>'Unemployment Insurance'!Z20+'Unemployment Insurance'!Z19</f>
        <v>19.639333333333333</v>
      </c>
      <c r="AA14" s="471">
        <f>'Unemployment Insurance'!AA20+'Unemployment Insurance'!AA19</f>
        <v>19.881611111111109</v>
      </c>
      <c r="AB14" s="471">
        <f>'Unemployment Insurance'!AB20+'Unemployment Insurance'!AB19</f>
        <v>20.18322222222222</v>
      </c>
      <c r="AC14" s="640">
        <f>'Unemployment Insurance'!AC20+'Unemployment Insurance'!AC19</f>
        <v>20.474944444444443</v>
      </c>
    </row>
    <row r="15" spans="2:29" ht="17.7" customHeight="1" x14ac:dyDescent="0.3">
      <c r="B15" s="276" t="s">
        <v>55</v>
      </c>
      <c r="C15" s="157"/>
      <c r="D15" s="554">
        <f>Medicare!D10</f>
        <v>754.2</v>
      </c>
      <c r="E15" s="479">
        <f>Medicare!E10</f>
        <v>768.3</v>
      </c>
      <c r="F15" s="479">
        <f>Medicare!F10</f>
        <v>781.1</v>
      </c>
      <c r="G15" s="479">
        <f>Medicare!G10</f>
        <v>792.1</v>
      </c>
      <c r="H15" s="479">
        <f>Medicare!H10</f>
        <v>801.3</v>
      </c>
      <c r="I15" s="479">
        <f>Medicare!I10</f>
        <v>808.5</v>
      </c>
      <c r="J15" s="479">
        <f>Medicare!J10</f>
        <v>821.6</v>
      </c>
      <c r="K15" s="479">
        <f>Medicare!K10</f>
        <v>825.8</v>
      </c>
      <c r="L15" s="479">
        <f>Medicare!L10</f>
        <v>821</v>
      </c>
      <c r="M15" s="479">
        <f>Medicare!M10</f>
        <v>814.1</v>
      </c>
      <c r="N15" s="479">
        <f>Medicare!N10</f>
        <v>815.3</v>
      </c>
      <c r="O15" s="479">
        <f>Medicare!O10</f>
        <v>826.5</v>
      </c>
      <c r="P15" s="479">
        <f>Medicare!P10</f>
        <v>847.9</v>
      </c>
      <c r="Q15" s="479">
        <f>Medicare!Q10</f>
        <v>862.1</v>
      </c>
      <c r="R15" s="473">
        <f>Medicare!R10</f>
        <v>865.9</v>
      </c>
      <c r="S15" s="471">
        <f>Medicare!S10</f>
        <v>871.23840546678446</v>
      </c>
      <c r="T15" s="471">
        <f>Medicare!T10</f>
        <v>889.68986999812137</v>
      </c>
      <c r="U15" s="471">
        <f>Medicare!U10</f>
        <v>907.23431736240013</v>
      </c>
      <c r="V15" s="471">
        <f>Medicare!V10</f>
        <v>925.12473655764802</v>
      </c>
      <c r="W15" s="471">
        <f>Medicare!W10</f>
        <v>943.36795005625982</v>
      </c>
      <c r="X15" s="471">
        <f>Medicare!X10</f>
        <v>961.97091486796944</v>
      </c>
      <c r="Y15" s="471">
        <f>Medicare!Y10</f>
        <v>985.16758241737489</v>
      </c>
      <c r="Z15" s="471">
        <f>Medicare!Z10</f>
        <v>1008.9236071958619</v>
      </c>
      <c r="AA15" s="471">
        <f>Medicare!AA10</f>
        <v>1033.2524773697398</v>
      </c>
      <c r="AB15" s="471">
        <f>Medicare!AB10</f>
        <v>1058.1680063547665</v>
      </c>
      <c r="AC15" s="640">
        <f>Medicare!AC10</f>
        <v>1083.6843406591124</v>
      </c>
    </row>
    <row r="16" spans="2:29" ht="18" customHeight="1" x14ac:dyDescent="0.3">
      <c r="B16" s="439" t="s">
        <v>532</v>
      </c>
      <c r="C16" s="157"/>
      <c r="D16" s="289"/>
      <c r="E16" s="149"/>
      <c r="F16" s="149"/>
      <c r="G16" s="149"/>
      <c r="H16" s="479">
        <f>'Rebate Checks'!H10 +'Rebate Checks'!H11</f>
        <v>0</v>
      </c>
      <c r="I16" s="479">
        <f>'Rebate Checks'!I10 +'Rebate Checks'!I11</f>
        <v>0</v>
      </c>
      <c r="J16" s="479">
        <f>'Rebate Checks'!J10 +'Rebate Checks'!J11</f>
        <v>1078.0999999999999</v>
      </c>
      <c r="K16" s="479">
        <f>'Rebate Checks'!K10 +'Rebate Checks'!K11</f>
        <v>15.6</v>
      </c>
      <c r="L16" s="479">
        <f>'Rebate Checks'!L10 +'Rebate Checks'!L11</f>
        <v>5</v>
      </c>
      <c r="M16" s="479">
        <f>'Rebate Checks'!M10 +'Rebate Checks'!M11</f>
        <v>1933.6999999999998</v>
      </c>
      <c r="N16" s="479">
        <f>'Rebate Checks'!N10 +'Rebate Checks'!N11</f>
        <v>290.10000000000002</v>
      </c>
      <c r="O16" s="479">
        <f>'Rebate Checks'!O10 +'Rebate Checks'!O11</f>
        <v>38.9</v>
      </c>
      <c r="P16" s="479">
        <f>'Rebate Checks'!P10 +'Rebate Checks'!P11</f>
        <v>14.2</v>
      </c>
      <c r="Q16" s="479">
        <f>'Rebate Checks'!Q10 +'Rebate Checks'!Q11</f>
        <v>0</v>
      </c>
      <c r="R16" s="473">
        <f>'Rebate Checks'!Q10 +'Rebate Checks'!R11</f>
        <v>0</v>
      </c>
      <c r="S16" s="471">
        <f>'Rebate Checks'!S10 +'Rebate Checks'!S11</f>
        <v>0</v>
      </c>
      <c r="T16" s="471">
        <f>'Rebate Checks'!T10 +'Rebate Checks'!T11</f>
        <v>0</v>
      </c>
      <c r="U16" s="471">
        <f>'Rebate Checks'!U10 +'Rebate Checks'!U11</f>
        <v>0</v>
      </c>
      <c r="V16" s="471">
        <f>'Rebate Checks'!V10 +'Rebate Checks'!V11</f>
        <v>0</v>
      </c>
      <c r="W16" s="471">
        <f>'Rebate Checks'!W10 +'Rebate Checks'!W11</f>
        <v>0</v>
      </c>
      <c r="X16" s="471">
        <f>'Rebate Checks'!X10 +'Rebate Checks'!X11</f>
        <v>0</v>
      </c>
      <c r="Y16" s="471">
        <f>'Rebate Checks'!Y10 +'Rebate Checks'!Y11</f>
        <v>0</v>
      </c>
      <c r="Z16" s="471">
        <f>'Rebate Checks'!Z10 +'Rebate Checks'!Z11</f>
        <v>0</v>
      </c>
      <c r="AA16" s="471">
        <f>'Rebate Checks'!AA10 +'Rebate Checks'!AA11</f>
        <v>0</v>
      </c>
      <c r="AB16" s="471">
        <f>'Rebate Checks'!AB10 +'Rebate Checks'!AB11</f>
        <v>0</v>
      </c>
      <c r="AC16" s="640">
        <f>'Rebate Checks'!AC10 +'Rebate Checks'!AC11</f>
        <v>0</v>
      </c>
    </row>
    <row r="17" spans="2:101" ht="19.95" customHeight="1" x14ac:dyDescent="0.3">
      <c r="B17" s="277" t="s">
        <v>535</v>
      </c>
      <c r="C17" s="261"/>
      <c r="D17" s="633"/>
      <c r="E17" s="613"/>
      <c r="F17" s="613"/>
      <c r="G17" s="613"/>
      <c r="H17" s="570"/>
      <c r="I17" s="570"/>
      <c r="J17" s="570"/>
      <c r="K17" s="570"/>
      <c r="L17" s="570"/>
      <c r="M17" s="570">
        <f>'ARP Quarterly'!C5</f>
        <v>0</v>
      </c>
      <c r="N17" s="570">
        <f>'ARP Quarterly'!D5</f>
        <v>33.921840000000024</v>
      </c>
      <c r="O17" s="570">
        <f>'ARP Quarterly'!E5</f>
        <v>44.966160000000031</v>
      </c>
      <c r="P17" s="570">
        <f>'ARP Quarterly'!F5</f>
        <v>52.756999999999998</v>
      </c>
      <c r="Q17" s="570">
        <f>'ARP Quarterly'!G5</f>
        <v>52.756999999999998</v>
      </c>
      <c r="R17" s="566">
        <f>'ARP Quarterly'!H5</f>
        <v>52.756999999999998</v>
      </c>
      <c r="S17" s="538">
        <f>'ARP Quarterly'!I5</f>
        <v>52.756999999999998</v>
      </c>
      <c r="T17" s="538">
        <f>'ARP Quarterly'!J5</f>
        <v>12</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16">
        <f>'ARP Quarterly'!S5</f>
        <v>2.3719999999999999</v>
      </c>
    </row>
    <row r="18" spans="2:101" ht="22.2" customHeight="1" x14ac:dyDescent="0.3">
      <c r="B18" s="276" t="s">
        <v>218</v>
      </c>
      <c r="C18" s="625"/>
      <c r="D18" s="287"/>
      <c r="E18" s="152"/>
      <c r="F18" s="152"/>
      <c r="G18" s="152"/>
      <c r="H18" s="152"/>
      <c r="I18" s="152"/>
      <c r="J18" s="152"/>
      <c r="K18" s="152"/>
      <c r="L18" s="152"/>
      <c r="M18" s="479">
        <f>'ARP Quarterly'!C4</f>
        <v>0</v>
      </c>
      <c r="N18" s="479">
        <f>'ARP Quarterly'!D4</f>
        <v>0</v>
      </c>
      <c r="O18" s="479">
        <f>'ARP Quarterly'!E4</f>
        <v>3.1040000000000418</v>
      </c>
      <c r="P18" s="479">
        <f>'ARP Quarterly'!F4</f>
        <v>19.719000000000005</v>
      </c>
      <c r="Q18" s="479">
        <f>'ARP Quarterly'!G4</f>
        <v>19.719000000000005</v>
      </c>
      <c r="R18" s="473">
        <f>'ARP Quarterly'!H4</f>
        <v>19.719000000000005</v>
      </c>
      <c r="S18" s="471">
        <f>'ARP Quarterly'!I4</f>
        <v>19.719000000000005</v>
      </c>
      <c r="T18" s="471">
        <f>'ARP Quarterly'!J4</f>
        <v>1.4159999999999999</v>
      </c>
      <c r="U18" s="471">
        <f>'ARP Quarterly'!K4</f>
        <v>1.4159999999999999</v>
      </c>
      <c r="V18" s="471">
        <f>'ARP Quarterly'!L4</f>
        <v>1.4159999999999999</v>
      </c>
      <c r="W18" s="471">
        <f>'ARP Quarterly'!M4</f>
        <v>1.4159999999999999</v>
      </c>
      <c r="X18" s="471">
        <f>'ARP Quarterly'!N4</f>
        <v>1.4790000000000001</v>
      </c>
      <c r="Y18" s="471">
        <f>'ARP Quarterly'!O4</f>
        <v>1.4790000000000001</v>
      </c>
      <c r="Z18" s="471">
        <f>'ARP Quarterly'!P4</f>
        <v>1.4790000000000001</v>
      </c>
      <c r="AA18" s="471">
        <f>'ARP Quarterly'!Q4</f>
        <v>1.4790000000000001</v>
      </c>
      <c r="AB18" s="471">
        <f>'ARP Quarterly'!R4</f>
        <v>1.63</v>
      </c>
      <c r="AC18" s="640">
        <f>'ARP Quarterly'!S4</f>
        <v>1.63</v>
      </c>
      <c r="AD18" s="625"/>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276" t="s">
        <v>49</v>
      </c>
      <c r="C19" s="625"/>
      <c r="D19" s="287">
        <f>'Provider Relief'!D11</f>
        <v>0</v>
      </c>
      <c r="E19" s="152">
        <f>'Provider Relief'!E11</f>
        <v>0</v>
      </c>
      <c r="F19" s="152">
        <f>'Provider Relief'!F11</f>
        <v>0</v>
      </c>
      <c r="G19" s="152">
        <f>'Provider Relief'!G11</f>
        <v>0</v>
      </c>
      <c r="H19" s="152">
        <f>'Provider Relief'!H11</f>
        <v>0</v>
      </c>
      <c r="I19" s="152">
        <f>'Provider Relief'!I11</f>
        <v>0</v>
      </c>
      <c r="J19" s="152">
        <f>'Provider Relief'!J11</f>
        <v>160.9</v>
      </c>
      <c r="K19" s="152">
        <f>'Provider Relief'!K11</f>
        <v>58.4</v>
      </c>
      <c r="L19" s="152">
        <f>'Provider Relief'!L11</f>
        <v>34.5</v>
      </c>
      <c r="M19" s="152">
        <f>'Provider Relief'!M11</f>
        <v>42.8</v>
      </c>
      <c r="N19" s="152">
        <f>'Provider Relief'!N11</f>
        <v>26.6</v>
      </c>
      <c r="O19" s="152">
        <f>'Provider Relief'!O11</f>
        <v>37.4</v>
      </c>
      <c r="P19" s="152">
        <f>'Provider Relief'!P11</f>
        <v>64.400000000000006</v>
      </c>
      <c r="Q19" s="152">
        <f>'Provider Relief'!Q11</f>
        <v>53.7</v>
      </c>
      <c r="R19" s="297">
        <f>'Provider Relief'!R11</f>
        <v>44.2</v>
      </c>
      <c r="S19" s="622">
        <f>'Provider Relief'!S11</f>
        <v>15.102505694760818</v>
      </c>
      <c r="T19" s="622">
        <f>'Provider Relief'!T11</f>
        <v>0</v>
      </c>
      <c r="U19" s="622">
        <f>'Provider Relief'!U11</f>
        <v>0</v>
      </c>
      <c r="V19" s="622">
        <f>'Provider Relief'!V11</f>
        <v>0</v>
      </c>
      <c r="W19" s="622">
        <f>'Provider Relief'!W11</f>
        <v>0</v>
      </c>
      <c r="X19" s="622">
        <f>'Provider Relief'!X11</f>
        <v>0</v>
      </c>
      <c r="Y19" s="622">
        <f>'Provider Relief'!Y11</f>
        <v>0</v>
      </c>
      <c r="Z19" s="622">
        <f>'Provider Relief'!Z11</f>
        <v>0</v>
      </c>
      <c r="AA19" s="622">
        <f>'Provider Relief'!AA11</f>
        <v>0</v>
      </c>
      <c r="AB19" s="622">
        <f>'Provider Relief'!AB11</f>
        <v>0</v>
      </c>
      <c r="AC19" s="626">
        <f>'Provider Relief'!AC11</f>
        <v>0</v>
      </c>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450000000000003" customHeight="1" x14ac:dyDescent="0.3">
      <c r="B20" s="276" t="s">
        <v>870</v>
      </c>
      <c r="C20" s="157"/>
      <c r="D20" s="289">
        <f>D64</f>
        <v>0</v>
      </c>
      <c r="E20" s="149">
        <f t="shared" ref="E20:AC20" si="1">E64</f>
        <v>0</v>
      </c>
      <c r="F20" s="149">
        <f t="shared" si="1"/>
        <v>0</v>
      </c>
      <c r="G20" s="149">
        <f t="shared" si="1"/>
        <v>0</v>
      </c>
      <c r="H20" s="149">
        <f t="shared" si="1"/>
        <v>0</v>
      </c>
      <c r="I20" s="149">
        <f t="shared" si="1"/>
        <v>2.5817499999999995</v>
      </c>
      <c r="J20" s="149">
        <f t="shared" si="1"/>
        <v>37.358750000000001</v>
      </c>
      <c r="K20" s="149">
        <f t="shared" si="1"/>
        <v>38.026749999999993</v>
      </c>
      <c r="L20" s="149">
        <f t="shared" si="1"/>
        <v>38.350750000000005</v>
      </c>
      <c r="M20" s="149">
        <f t="shared" si="1"/>
        <v>54.966750000000005</v>
      </c>
      <c r="N20" s="149">
        <f t="shared" si="1"/>
        <v>74.252749999999992</v>
      </c>
      <c r="O20" s="149">
        <f t="shared" si="1"/>
        <v>80.97475</v>
      </c>
      <c r="P20" s="149">
        <f t="shared" si="1"/>
        <v>85.163749999999993</v>
      </c>
      <c r="Q20" s="149">
        <f t="shared" si="1"/>
        <v>80.44274999999999</v>
      </c>
      <c r="R20" s="156">
        <f t="shared" si="1"/>
        <v>72.713750000000005</v>
      </c>
      <c r="S20" s="362">
        <f t="shared" si="1"/>
        <v>5</v>
      </c>
      <c r="T20" s="362">
        <f t="shared" si="1"/>
        <v>0</v>
      </c>
      <c r="U20" s="362">
        <f t="shared" si="1"/>
        <v>0</v>
      </c>
      <c r="V20" s="362">
        <f t="shared" si="1"/>
        <v>0</v>
      </c>
      <c r="W20" s="362">
        <f t="shared" si="1"/>
        <v>0</v>
      </c>
      <c r="X20" s="362">
        <f t="shared" si="1"/>
        <v>0</v>
      </c>
      <c r="Y20" s="362">
        <f t="shared" si="1"/>
        <v>0</v>
      </c>
      <c r="Z20" s="362">
        <f t="shared" si="1"/>
        <v>0</v>
      </c>
      <c r="AA20" s="362">
        <f t="shared" si="1"/>
        <v>0</v>
      </c>
      <c r="AB20" s="362">
        <f t="shared" si="1"/>
        <v>0</v>
      </c>
      <c r="AC20" s="381">
        <f t="shared" si="1"/>
        <v>0</v>
      </c>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row>
    <row r="21" spans="2:101" ht="15.45" customHeight="1" x14ac:dyDescent="0.3">
      <c r="B21" s="276" t="s">
        <v>868</v>
      </c>
      <c r="C21" s="157" t="s">
        <v>899</v>
      </c>
      <c r="D21" s="287">
        <v>30</v>
      </c>
      <c r="E21" s="152">
        <v>30</v>
      </c>
      <c r="F21" s="152">
        <v>30</v>
      </c>
      <c r="G21" s="152">
        <v>30</v>
      </c>
      <c r="H21" s="152">
        <v>30</v>
      </c>
      <c r="I21" s="152">
        <v>30</v>
      </c>
      <c r="J21" s="152">
        <v>30</v>
      </c>
      <c r="K21" s="150">
        <v>30.2</v>
      </c>
      <c r="L21" s="150">
        <v>30.2</v>
      </c>
      <c r="M21" s="150">
        <f>'Haver Pivoted'!GX89</f>
        <v>34.4</v>
      </c>
      <c r="N21" s="150">
        <f>'Haver Pivoted'!GY89</f>
        <v>34.4</v>
      </c>
      <c r="O21" s="150">
        <f>'Haver Pivoted'!GZ89</f>
        <v>218.933333333333</v>
      </c>
      <c r="P21" s="150">
        <f>'Haver Pivoted'!HA89</f>
        <v>223.13333333333301</v>
      </c>
      <c r="Q21" s="150">
        <f>'Haver Pivoted'!HB89</f>
        <v>105.6</v>
      </c>
      <c r="R21" s="309">
        <f>'Haver Pivoted'!HC89</f>
        <v>105.6</v>
      </c>
      <c r="S21" s="471">
        <f t="shared" ref="S21:T21" si="2">R21</f>
        <v>105.6</v>
      </c>
      <c r="T21" s="471">
        <f t="shared" si="2"/>
        <v>105.6</v>
      </c>
      <c r="U21" s="471">
        <v>34</v>
      </c>
      <c r="V21" s="471">
        <v>34</v>
      </c>
      <c r="W21" s="471">
        <v>34</v>
      </c>
      <c r="X21" s="471">
        <v>34</v>
      </c>
      <c r="Y21" s="471">
        <v>34</v>
      </c>
      <c r="Z21" s="471">
        <v>34</v>
      </c>
      <c r="AA21" s="471">
        <v>34</v>
      </c>
      <c r="AB21" s="471">
        <v>34</v>
      </c>
      <c r="AC21" s="640">
        <v>34</v>
      </c>
    </row>
    <row r="22" spans="2:101" ht="21.45" customHeight="1" x14ac:dyDescent="0.3">
      <c r="B22" s="276" t="s">
        <v>533</v>
      </c>
      <c r="C22" s="157"/>
      <c r="D22" s="289"/>
      <c r="E22" s="149"/>
      <c r="F22" s="149"/>
      <c r="G22" s="149"/>
      <c r="H22" s="479"/>
      <c r="I22" s="479"/>
      <c r="J22" s="479">
        <f>PPP!J53</f>
        <v>57.2</v>
      </c>
      <c r="K22" s="479">
        <f>PPP!K53</f>
        <v>81.2</v>
      </c>
      <c r="L22" s="479">
        <f>PPP!L53</f>
        <v>24.4</v>
      </c>
      <c r="M22" s="479">
        <f>PPP!M53</f>
        <v>10.8</v>
      </c>
      <c r="N22" s="479">
        <f>PPP!N53</f>
        <v>24.7</v>
      </c>
      <c r="O22" s="479">
        <f>PPP!O53</f>
        <v>14</v>
      </c>
      <c r="P22" s="479">
        <f>PPP!P53</f>
        <v>2</v>
      </c>
      <c r="Q22" s="479">
        <f>PPP!Q53</f>
        <v>0</v>
      </c>
      <c r="R22" s="473">
        <f>PPP!Q61</f>
        <v>0</v>
      </c>
      <c r="S22" s="471">
        <f>PPP!S53</f>
        <v>0</v>
      </c>
      <c r="T22" s="471">
        <f>PPP!T53</f>
        <v>0</v>
      </c>
      <c r="U22" s="471">
        <f>PPP!U53</f>
        <v>0</v>
      </c>
      <c r="V22" s="471">
        <f>PPP!V53</f>
        <v>0</v>
      </c>
      <c r="W22" s="471">
        <f>PPP!W53</f>
        <v>0</v>
      </c>
      <c r="X22" s="471">
        <f>PPP!X53</f>
        <v>0</v>
      </c>
      <c r="Y22" s="471">
        <f>PPP!Y53</f>
        <v>0</v>
      </c>
      <c r="Z22" s="471">
        <f>PPP!Z53</f>
        <v>0</v>
      </c>
      <c r="AA22" s="471">
        <f>PPP!AA53</f>
        <v>0</v>
      </c>
      <c r="AB22" s="471">
        <f>PPP!AB53</f>
        <v>0</v>
      </c>
      <c r="AC22" s="640">
        <f>PPP!AC53</f>
        <v>0</v>
      </c>
    </row>
    <row r="23" spans="2:101" ht="21.45" customHeight="1" x14ac:dyDescent="0.3">
      <c r="B23" s="439" t="s">
        <v>869</v>
      </c>
      <c r="C23" s="157"/>
      <c r="D23" s="554">
        <f t="shared" ref="D23:AC23" si="3">D77</f>
        <v>0</v>
      </c>
      <c r="E23" s="479">
        <f t="shared" si="3"/>
        <v>0</v>
      </c>
      <c r="F23" s="479">
        <f t="shared" si="3"/>
        <v>0</v>
      </c>
      <c r="G23" s="479">
        <f t="shared" si="3"/>
        <v>0</v>
      </c>
      <c r="H23" s="479">
        <f t="shared" si="3"/>
        <v>0</v>
      </c>
      <c r="I23" s="479">
        <f t="shared" si="3"/>
        <v>-2.5817500000000564</v>
      </c>
      <c r="J23" s="479">
        <f t="shared" si="3"/>
        <v>-4.8587500000001</v>
      </c>
      <c r="K23" s="479">
        <f t="shared" si="3"/>
        <v>97.173249999999825</v>
      </c>
      <c r="L23" s="479">
        <f t="shared" si="3"/>
        <v>24.54924999999912</v>
      </c>
      <c r="M23" s="479">
        <f t="shared" si="3"/>
        <v>28.23224999999934</v>
      </c>
      <c r="N23" s="479">
        <f t="shared" si="3"/>
        <v>-0.27559000000042033</v>
      </c>
      <c r="O23" s="479">
        <f t="shared" si="3"/>
        <v>-0.77924333333385221</v>
      </c>
      <c r="P23" s="479">
        <f t="shared" si="3"/>
        <v>-17.77408333333392</v>
      </c>
      <c r="Q23" s="479">
        <f t="shared" si="3"/>
        <v>-4.7551300000009178</v>
      </c>
      <c r="R23" s="473">
        <f t="shared" si="3"/>
        <v>-2.1261300000010124</v>
      </c>
      <c r="S23" s="471">
        <f t="shared" si="3"/>
        <v>25</v>
      </c>
      <c r="T23" s="471">
        <f t="shared" si="3"/>
        <v>90</v>
      </c>
      <c r="U23" s="471">
        <f t="shared" si="3"/>
        <v>90</v>
      </c>
      <c r="V23" s="471">
        <f t="shared" si="3"/>
        <v>90</v>
      </c>
      <c r="W23" s="471">
        <f t="shared" si="3"/>
        <v>90</v>
      </c>
      <c r="X23" s="471">
        <f t="shared" si="3"/>
        <v>110</v>
      </c>
      <c r="Y23" s="471">
        <f t="shared" si="3"/>
        <v>110</v>
      </c>
      <c r="Z23" s="471">
        <f t="shared" si="3"/>
        <v>110</v>
      </c>
      <c r="AA23" s="471">
        <f t="shared" si="3"/>
        <v>110</v>
      </c>
      <c r="AB23" s="471">
        <f t="shared" si="3"/>
        <v>130</v>
      </c>
      <c r="AC23" s="640">
        <f t="shared" si="3"/>
        <v>130</v>
      </c>
    </row>
    <row r="24" spans="2:101" ht="21" customHeight="1" x14ac:dyDescent="0.3">
      <c r="B24" s="277" t="s">
        <v>866</v>
      </c>
      <c r="C24" s="261"/>
      <c r="D24" s="63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42.8</v>
      </c>
      <c r="N24" s="613">
        <f t="shared" si="4"/>
        <v>26.6</v>
      </c>
      <c r="O24" s="613">
        <f t="shared" si="4"/>
        <v>40.50400000000004</v>
      </c>
      <c r="P24" s="570">
        <f>P18+P19</f>
        <v>84.119000000000014</v>
      </c>
      <c r="Q24" s="613">
        <f t="shared" si="4"/>
        <v>73.419000000000011</v>
      </c>
      <c r="R24" s="650">
        <f t="shared" si="4"/>
        <v>63.919000000000011</v>
      </c>
      <c r="S24" s="610">
        <f t="shared" si="4"/>
        <v>34.821505694760823</v>
      </c>
      <c r="T24" s="610">
        <f t="shared" si="4"/>
        <v>1.4159999999999999</v>
      </c>
      <c r="U24" s="610">
        <f t="shared" si="4"/>
        <v>1.4159999999999999</v>
      </c>
      <c r="V24" s="610">
        <f t="shared" si="4"/>
        <v>1.4159999999999999</v>
      </c>
      <c r="W24" s="610">
        <f t="shared" si="4"/>
        <v>1.4159999999999999</v>
      </c>
      <c r="X24" s="610">
        <f t="shared" si="4"/>
        <v>1.4790000000000001</v>
      </c>
      <c r="Y24" s="610">
        <f t="shared" si="4"/>
        <v>1.4790000000000001</v>
      </c>
      <c r="Z24" s="610">
        <f t="shared" si="4"/>
        <v>1.4790000000000001</v>
      </c>
      <c r="AA24" s="610">
        <f t="shared" si="4"/>
        <v>1.4790000000000001</v>
      </c>
      <c r="AB24" s="610">
        <f t="shared" si="4"/>
        <v>1.63</v>
      </c>
      <c r="AC24" s="612">
        <f t="shared" si="4"/>
        <v>1.63</v>
      </c>
    </row>
    <row r="25" spans="2:101" ht="44.7" customHeight="1" x14ac:dyDescent="0.3">
      <c r="B25" s="276" t="s">
        <v>875</v>
      </c>
      <c r="C25" s="157"/>
      <c r="D25" s="554">
        <f t="shared" ref="D25:AC25" si="5">D75</f>
        <v>1411.0000000000002</v>
      </c>
      <c r="E25" s="479">
        <f t="shared" si="5"/>
        <v>1471.3999999999999</v>
      </c>
      <c r="F25" s="479">
        <f t="shared" si="5"/>
        <v>1476.6</v>
      </c>
      <c r="G25" s="479">
        <f t="shared" si="5"/>
        <v>1483.6999999999998</v>
      </c>
      <c r="H25" s="479">
        <f t="shared" si="5"/>
        <v>1492.7</v>
      </c>
      <c r="I25" s="479">
        <f t="shared" si="5"/>
        <v>1539.9</v>
      </c>
      <c r="J25" s="479">
        <f t="shared" si="5"/>
        <v>1547.0000000000002</v>
      </c>
      <c r="K25" s="479">
        <f t="shared" si="5"/>
        <v>1554.1000000000004</v>
      </c>
      <c r="L25" s="479">
        <f t="shared" si="5"/>
        <v>1561.2000000000005</v>
      </c>
      <c r="M25" s="479">
        <f t="shared" si="5"/>
        <v>1585.8010000000006</v>
      </c>
      <c r="N25" s="479">
        <f t="shared" si="5"/>
        <v>1592.9010000000007</v>
      </c>
      <c r="O25" s="479">
        <f t="shared" si="5"/>
        <v>1600.0010000000009</v>
      </c>
      <c r="P25" s="479">
        <f>P75</f>
        <v>1607.101000000001</v>
      </c>
      <c r="Q25" s="479">
        <f t="shared" si="5"/>
        <v>1686.1363800000011</v>
      </c>
      <c r="R25" s="473">
        <f t="shared" si="5"/>
        <v>1693.2363800000012</v>
      </c>
      <c r="S25" s="471">
        <f t="shared" si="5"/>
        <v>1700.3363800000013</v>
      </c>
      <c r="T25" s="471">
        <f t="shared" si="5"/>
        <v>1707.4363800000015</v>
      </c>
      <c r="U25" s="471">
        <f t="shared" si="5"/>
        <v>1763.7642600000015</v>
      </c>
      <c r="V25" s="471">
        <f t="shared" si="5"/>
        <v>1770.8642600000017</v>
      </c>
      <c r="W25" s="471">
        <f t="shared" si="5"/>
        <v>1777.9642600000018</v>
      </c>
      <c r="X25" s="471">
        <f t="shared" si="5"/>
        <v>1785.0642600000019</v>
      </c>
      <c r="Y25" s="471">
        <f t="shared" si="5"/>
        <v>1817.4182000000021</v>
      </c>
      <c r="Z25" s="471">
        <f t="shared" si="5"/>
        <v>1824.5182000000023</v>
      </c>
      <c r="AA25" s="471">
        <f t="shared" si="5"/>
        <v>1831.6182000000024</v>
      </c>
      <c r="AB25" s="471">
        <f t="shared" si="5"/>
        <v>1838.7182000000025</v>
      </c>
      <c r="AC25" s="640">
        <f t="shared" si="5"/>
        <v>1871.7121400000026</v>
      </c>
    </row>
    <row r="26" spans="2:101" ht="44.7" customHeight="1" x14ac:dyDescent="0.3">
      <c r="B26" s="416" t="s">
        <v>888</v>
      </c>
      <c r="D26" s="554"/>
      <c r="E26" s="479"/>
      <c r="F26" s="479"/>
      <c r="G26" s="479"/>
      <c r="H26" s="479"/>
      <c r="I26" s="479"/>
      <c r="J26" s="479"/>
      <c r="K26" s="479"/>
      <c r="L26" s="479"/>
      <c r="M26" s="479"/>
      <c r="N26" s="479"/>
      <c r="O26" s="479"/>
      <c r="P26" s="479"/>
      <c r="Q26" s="479">
        <v>-2.5</v>
      </c>
      <c r="R26" s="473">
        <v>-2.5</v>
      </c>
      <c r="S26" s="471">
        <v>-2.5</v>
      </c>
      <c r="T26" s="471">
        <v>-6</v>
      </c>
      <c r="U26" s="471">
        <v>-6</v>
      </c>
      <c r="V26" s="471">
        <v>-6</v>
      </c>
      <c r="W26" s="471">
        <v>-6</v>
      </c>
      <c r="X26" s="471">
        <v>-4.3</v>
      </c>
      <c r="Y26" s="471">
        <v>-4.3</v>
      </c>
      <c r="Z26" s="471">
        <v>-4.3</v>
      </c>
      <c r="AA26" s="471">
        <v>-4.3</v>
      </c>
      <c r="AB26" s="471">
        <v>-4.8</v>
      </c>
      <c r="AC26" s="640">
        <v>-4.8</v>
      </c>
    </row>
    <row r="27" spans="2:101" ht="31.2" customHeight="1" x14ac:dyDescent="0.3">
      <c r="B27" s="531" t="s">
        <v>871</v>
      </c>
      <c r="C27" s="261"/>
      <c r="D27" s="553">
        <f>D25+SUM(D20:D23) + D26</f>
        <v>1441.0000000000002</v>
      </c>
      <c r="E27" s="570">
        <f t="shared" ref="E27:O27" si="6">E25+SUM(E20:E23) + E26</f>
        <v>1501.3999999999999</v>
      </c>
      <c r="F27" s="570">
        <f t="shared" si="6"/>
        <v>1506.6</v>
      </c>
      <c r="G27" s="570">
        <f t="shared" si="6"/>
        <v>1513.6999999999998</v>
      </c>
      <c r="H27" s="570">
        <f t="shared" si="6"/>
        <v>1522.7</v>
      </c>
      <c r="I27" s="570">
        <f t="shared" si="6"/>
        <v>1569.9</v>
      </c>
      <c r="J27" s="570">
        <f t="shared" si="6"/>
        <v>1666.7</v>
      </c>
      <c r="K27" s="570">
        <f>K25+SUM(K20:K23) + K26</f>
        <v>1800.7000000000003</v>
      </c>
      <c r="L27" s="570">
        <f t="shared" si="6"/>
        <v>1678.6999999999996</v>
      </c>
      <c r="M27" s="570">
        <f t="shared" si="6"/>
        <v>1714.1999999999998</v>
      </c>
      <c r="N27" s="570">
        <f t="shared" si="6"/>
        <v>1725.9781600000003</v>
      </c>
      <c r="O27" s="570">
        <f t="shared" si="6"/>
        <v>1913.1298400000001</v>
      </c>
      <c r="P27" s="570">
        <f>P25+SUM(P20:P23) + P26</f>
        <v>1899.6240000000003</v>
      </c>
      <c r="Q27" s="570">
        <f>Q25+SUM(Q20:Q23) + Q26</f>
        <v>1864.9240000000002</v>
      </c>
      <c r="R27" s="566">
        <f t="shared" ref="R27" si="7">R25+SUM(R20:R23) + R26</f>
        <v>1866.9240000000002</v>
      </c>
      <c r="S27" s="538">
        <f t="shared" ref="S27" si="8">S25+SUM(S20:S23) + S26</f>
        <v>1833.4363800000012</v>
      </c>
      <c r="T27" s="538">
        <f t="shared" ref="T27" si="9">T25+SUM(T20:T23) + T26</f>
        <v>1897.0363800000014</v>
      </c>
      <c r="U27" s="538">
        <f t="shared" ref="U27" si="10">U25+SUM(U20:U23) + U26</f>
        <v>1881.7642600000015</v>
      </c>
      <c r="V27" s="538">
        <f t="shared" ref="V27" si="11">V25+SUM(V20:V23) + V26</f>
        <v>1888.8642600000017</v>
      </c>
      <c r="W27" s="538">
        <f t="shared" ref="W27" si="12">W25+SUM(W20:W23) + W26</f>
        <v>1895.9642600000018</v>
      </c>
      <c r="X27" s="538">
        <f t="shared" ref="X27" si="13">X25+SUM(X20:X23) + X26</f>
        <v>1924.764260000002</v>
      </c>
      <c r="Y27" s="538">
        <f t="shared" ref="Y27" si="14">Y25+SUM(Y20:Y23) + Y26</f>
        <v>1957.1182000000022</v>
      </c>
      <c r="Z27" s="538">
        <f t="shared" ref="Z27" si="15">Z25+SUM(Z20:Z23) + Z26</f>
        <v>1964.2182000000023</v>
      </c>
      <c r="AA27" s="538">
        <f t="shared" ref="AA27" si="16">AA25+SUM(AA20:AA23) + AA26</f>
        <v>1971.3182000000024</v>
      </c>
      <c r="AB27" s="538">
        <f t="shared" ref="AB27" si="17">AB25+SUM(AB20:AB23) + AB26</f>
        <v>1997.9182000000026</v>
      </c>
      <c r="AC27" s="616">
        <f t="shared" ref="AC27" si="18">AC25+SUM(AC20:AC23) + AC26</f>
        <v>2030.9121400000026</v>
      </c>
    </row>
    <row r="28" spans="2:101" ht="31.2" customHeight="1" x14ac:dyDescent="0.3">
      <c r="B28" s="1047" t="s">
        <v>536</v>
      </c>
      <c r="C28" s="1048"/>
      <c r="D28" s="555"/>
      <c r="E28" s="556"/>
      <c r="F28" s="556"/>
      <c r="G28" s="556"/>
      <c r="H28" s="556"/>
      <c r="I28" s="556"/>
      <c r="J28" s="556"/>
      <c r="K28" s="556"/>
      <c r="L28" s="556"/>
      <c r="M28" s="556"/>
      <c r="N28" s="556"/>
      <c r="O28" s="556"/>
      <c r="P28" s="556"/>
      <c r="Q28" s="556"/>
      <c r="R28" s="571"/>
      <c r="S28" s="538"/>
      <c r="T28" s="538"/>
      <c r="U28" s="538"/>
      <c r="V28" s="538"/>
      <c r="W28" s="538"/>
      <c r="X28" s="538"/>
      <c r="Y28" s="538"/>
      <c r="Z28" s="538"/>
      <c r="AA28" s="538"/>
      <c r="AB28" s="538"/>
      <c r="AC28" s="616"/>
    </row>
    <row r="29" spans="2:101" x14ac:dyDescent="0.3">
      <c r="B29" s="439" t="s">
        <v>877</v>
      </c>
      <c r="C29" s="157" t="s">
        <v>537</v>
      </c>
      <c r="D29" s="289">
        <f>'Haver Pivoted'!GO37</f>
        <v>731.6</v>
      </c>
      <c r="E29" s="149">
        <f>'Haver Pivoted'!GP37</f>
        <v>741.5</v>
      </c>
      <c r="F29" s="149">
        <f>'Haver Pivoted'!GQ37</f>
        <v>758.6</v>
      </c>
      <c r="G29" s="149">
        <f>'Haver Pivoted'!GR37</f>
        <v>767.8</v>
      </c>
      <c r="H29" s="149">
        <f>'Haver Pivoted'!GS37</f>
        <v>767.1</v>
      </c>
      <c r="I29" s="149">
        <f>'Haver Pivoted'!GT37</f>
        <v>755.9</v>
      </c>
      <c r="J29" s="149">
        <f>'Haver Pivoted'!GU37</f>
        <v>803.8</v>
      </c>
      <c r="K29" s="149">
        <f>'Haver Pivoted'!GV37</f>
        <v>842.2</v>
      </c>
      <c r="L29" s="149">
        <f>'Haver Pivoted'!GW37</f>
        <v>831.1</v>
      </c>
      <c r="M29" s="149">
        <f>'Haver Pivoted'!GX37</f>
        <v>850</v>
      </c>
      <c r="N29" s="149">
        <f>'Haver Pivoted'!GY37</f>
        <v>885.5</v>
      </c>
      <c r="O29" s="149">
        <f>'Haver Pivoted'!GZ37</f>
        <v>933.2</v>
      </c>
      <c r="P29" s="149">
        <f>'Haver Pivoted'!HA37</f>
        <v>939.2</v>
      </c>
      <c r="Q29" s="149">
        <f>'Haver Pivoted'!HB37</f>
        <v>948.2</v>
      </c>
      <c r="R29" s="156">
        <f>'Haver Pivoted'!HC37</f>
        <v>962.9</v>
      </c>
      <c r="S29" s="623"/>
      <c r="T29" s="623"/>
      <c r="U29" s="623"/>
      <c r="V29" s="623"/>
      <c r="W29" s="623"/>
      <c r="X29" s="623"/>
      <c r="Y29" s="623"/>
      <c r="Z29" s="623"/>
      <c r="AA29" s="623"/>
      <c r="AB29" s="623"/>
      <c r="AC29" s="641"/>
    </row>
    <row r="30" spans="2:101" x14ac:dyDescent="0.3">
      <c r="B30" s="180" t="s">
        <v>209</v>
      </c>
      <c r="C30" s="157"/>
      <c r="D30" s="554">
        <f>Medicaid!D27</f>
        <v>589.5</v>
      </c>
      <c r="E30" s="479">
        <f>Medicaid!E27</f>
        <v>598.79999999999995</v>
      </c>
      <c r="F30" s="479">
        <f>Medicaid!F27</f>
        <v>614.5</v>
      </c>
      <c r="G30" s="479">
        <f>Medicaid!G27</f>
        <v>622.4</v>
      </c>
      <c r="H30" s="479">
        <f>Medicaid!H27</f>
        <v>620.5</v>
      </c>
      <c r="I30" s="479">
        <f>Medicaid!I27</f>
        <v>606.20000000000005</v>
      </c>
      <c r="J30" s="479">
        <f>Medicaid!J27</f>
        <v>654.20000000000005</v>
      </c>
      <c r="K30" s="479">
        <f>Medicaid!K27</f>
        <v>690.4</v>
      </c>
      <c r="L30" s="479">
        <f>Medicaid!L27</f>
        <v>678.3</v>
      </c>
      <c r="M30" s="479">
        <f>Medicaid!M27</f>
        <v>695.9</v>
      </c>
      <c r="N30" s="479">
        <f>Medicaid!N27</f>
        <v>730.5</v>
      </c>
      <c r="O30" s="479">
        <f>Medicaid!O27</f>
        <v>775</v>
      </c>
      <c r="P30" s="479">
        <f>Medicaid!P27</f>
        <v>782.9</v>
      </c>
      <c r="Q30" s="479">
        <f>Medicaid!Q27</f>
        <v>791</v>
      </c>
      <c r="R30" s="473">
        <f>Medicaid!R27</f>
        <v>804.5</v>
      </c>
      <c r="S30" s="471">
        <f>Medicaid!S27</f>
        <v>808.71319649094062</v>
      </c>
      <c r="T30" s="471">
        <f>Medicaid!T27</f>
        <v>826.32549875174232</v>
      </c>
      <c r="U30" s="471">
        <f>Medicaid!U27</f>
        <v>844.32136491662254</v>
      </c>
      <c r="V30" s="471">
        <f>Medicaid!V27</f>
        <v>862.70914830965739</v>
      </c>
      <c r="W30" s="471">
        <f>Medicaid!W27</f>
        <v>881.4973841751256</v>
      </c>
      <c r="X30" s="471">
        <f>Medicaid!X27</f>
        <v>872.35134802581535</v>
      </c>
      <c r="Y30" s="471">
        <f>Medicaid!Y27</f>
        <v>863.3002071975194</v>
      </c>
      <c r="Z30" s="471">
        <f>Medicaid!Z27</f>
        <v>854.34297709737098</v>
      </c>
      <c r="AA30" s="471">
        <f>Medicaid!AA27</f>
        <v>845.47868334821396</v>
      </c>
      <c r="AB30" s="471">
        <f>Medicaid!AB27</f>
        <v>836.70636168260853</v>
      </c>
      <c r="AC30" s="640">
        <f>Medicaid!AC27</f>
        <v>828.02505783793754</v>
      </c>
    </row>
    <row r="31" spans="2:101" ht="14.4" customHeight="1" x14ac:dyDescent="0.3">
      <c r="B31" s="531" t="s">
        <v>878</v>
      </c>
      <c r="C31" s="261"/>
      <c r="D31" s="553">
        <f>D29-D30</f>
        <v>142.10000000000002</v>
      </c>
      <c r="E31" s="570">
        <f t="shared" ref="E31:O31" si="19">E29-E30</f>
        <v>142.70000000000005</v>
      </c>
      <c r="F31" s="570">
        <f t="shared" si="19"/>
        <v>144.10000000000002</v>
      </c>
      <c r="G31" s="570">
        <f t="shared" si="19"/>
        <v>145.39999999999998</v>
      </c>
      <c r="H31" s="570">
        <f t="shared" si="19"/>
        <v>146.60000000000002</v>
      </c>
      <c r="I31" s="570">
        <f t="shared" si="19"/>
        <v>149.69999999999993</v>
      </c>
      <c r="J31" s="570">
        <f t="shared" si="19"/>
        <v>149.59999999999991</v>
      </c>
      <c r="K31" s="570">
        <f t="shared" si="19"/>
        <v>151.80000000000007</v>
      </c>
      <c r="L31" s="570">
        <f t="shared" si="19"/>
        <v>152.80000000000007</v>
      </c>
      <c r="M31" s="570">
        <f t="shared" si="19"/>
        <v>154.10000000000002</v>
      </c>
      <c r="N31" s="570">
        <f t="shared" si="19"/>
        <v>155</v>
      </c>
      <c r="O31" s="570">
        <f t="shared" si="19"/>
        <v>158.20000000000005</v>
      </c>
      <c r="P31" s="570">
        <f>P29-P30</f>
        <v>156.30000000000007</v>
      </c>
      <c r="Q31" s="570">
        <f>Q29-Q30</f>
        <v>157.20000000000005</v>
      </c>
      <c r="R31" s="566">
        <f>R29-R30</f>
        <v>158.39999999999998</v>
      </c>
      <c r="S31" s="538">
        <f t="shared" ref="S31:AC31" si="20">R31*(1+AVERAGE($F$32:$I$32))</f>
        <v>160.30996245250819</v>
      </c>
      <c r="T31" s="538">
        <f t="shared" si="20"/>
        <v>162.24295493386737</v>
      </c>
      <c r="U31" s="538">
        <f t="shared" si="20"/>
        <v>164.1992551365673</v>
      </c>
      <c r="V31" s="538">
        <f t="shared" si="20"/>
        <v>166.17914410147046</v>
      </c>
      <c r="W31" s="538">
        <f t="shared" si="20"/>
        <v>168.18290625818614</v>
      </c>
      <c r="X31" s="538">
        <f t="shared" si="20"/>
        <v>170.21082946593137</v>
      </c>
      <c r="Y31" s="538">
        <f t="shared" si="20"/>
        <v>172.26320505488471</v>
      </c>
      <c r="Z31" s="538">
        <f t="shared" si="20"/>
        <v>174.34032786803846</v>
      </c>
      <c r="AA31" s="538">
        <f t="shared" si="20"/>
        <v>176.44249630355566</v>
      </c>
      <c r="AB31" s="538">
        <f t="shared" si="20"/>
        <v>178.57001235763781</v>
      </c>
      <c r="AC31" s="616">
        <f t="shared" si="20"/>
        <v>180.72318166790939</v>
      </c>
    </row>
    <row r="32" spans="2:101" x14ac:dyDescent="0.3">
      <c r="B32" s="591" t="s">
        <v>879</v>
      </c>
      <c r="C32" s="268"/>
      <c r="D32" s="557"/>
      <c r="E32" s="529">
        <f>E31/D31-1</f>
        <v>4.2223786066151181E-3</v>
      </c>
      <c r="F32" s="529">
        <f t="shared" ref="F32:N32" si="21">F31/E31-1</f>
        <v>9.8107918710579334E-3</v>
      </c>
      <c r="G32" s="529">
        <f t="shared" si="21"/>
        <v>9.0215128383064336E-3</v>
      </c>
      <c r="H32" s="529">
        <f t="shared" si="21"/>
        <v>8.253094910591896E-3</v>
      </c>
      <c r="I32" s="529">
        <f t="shared" si="21"/>
        <v>2.1145975443382703E-2</v>
      </c>
      <c r="J32" s="529">
        <f t="shared" si="21"/>
        <v>-6.6800267201083674E-4</v>
      </c>
      <c r="K32" s="529">
        <f t="shared" si="21"/>
        <v>1.4705882352942234E-2</v>
      </c>
      <c r="L32" s="529">
        <f t="shared" si="21"/>
        <v>6.5876152832673451E-3</v>
      </c>
      <c r="M32" s="529">
        <f t="shared" si="21"/>
        <v>8.5078534031410857E-3</v>
      </c>
      <c r="N32" s="529">
        <f t="shared" si="21"/>
        <v>5.8403634003891813E-3</v>
      </c>
      <c r="O32" s="529">
        <f>O31/N31-1</f>
        <v>2.06451612903229E-2</v>
      </c>
      <c r="P32" s="529">
        <f t="shared" ref="P32:R32" si="22">P31/O31-1</f>
        <v>-1.2010113780025145E-2</v>
      </c>
      <c r="Q32" s="529">
        <f t="shared" si="22"/>
        <v>5.7581573896352545E-3</v>
      </c>
      <c r="R32" s="565">
        <f t="shared" si="22"/>
        <v>7.6335877862589996E-3</v>
      </c>
      <c r="S32" s="471"/>
      <c r="T32" s="471"/>
      <c r="U32" s="471"/>
      <c r="V32" s="471"/>
      <c r="W32" s="471"/>
      <c r="X32" s="471"/>
      <c r="Y32" s="471"/>
      <c r="Z32" s="471"/>
      <c r="AA32" s="471"/>
      <c r="AB32" s="471"/>
      <c r="AC32" s="640"/>
    </row>
    <row r="34" spans="17:29" x14ac:dyDescent="0.3">
      <c r="Q34" s="253" t="s">
        <v>328</v>
      </c>
      <c r="R34" s="362" t="s">
        <v>329</v>
      </c>
      <c r="S34" s="362" t="s">
        <v>238</v>
      </c>
      <c r="T34" s="362" t="s">
        <v>327</v>
      </c>
      <c r="U34" s="361" t="s">
        <v>328</v>
      </c>
      <c r="V34" s="362" t="s">
        <v>329</v>
      </c>
      <c r="W34" s="362" t="s">
        <v>238</v>
      </c>
      <c r="X34" s="362" t="s">
        <v>327</v>
      </c>
      <c r="Y34" s="361" t="s">
        <v>328</v>
      </c>
      <c r="Z34" s="272" t="s">
        <v>329</v>
      </c>
      <c r="AA34" s="362" t="s">
        <v>238</v>
      </c>
      <c r="AB34" s="381" t="s">
        <v>327</v>
      </c>
      <c r="AC34" s="398" t="s">
        <v>328</v>
      </c>
    </row>
    <row r="35" spans="17:29" x14ac:dyDescent="0.3">
      <c r="Q35" s="156"/>
      <c r="R35" s="312"/>
      <c r="S35" s="312"/>
      <c r="T35" s="312"/>
      <c r="U35" s="312"/>
      <c r="V35" s="312"/>
      <c r="W35" s="312"/>
      <c r="X35" s="312"/>
      <c r="Y35" s="312"/>
      <c r="Z35" s="312"/>
      <c r="AA35" s="312"/>
      <c r="AB35" s="312"/>
      <c r="AC35" s="313"/>
    </row>
    <row r="36" spans="17:29" x14ac:dyDescent="0.3">
      <c r="Q36" s="473">
        <v>2880.8</v>
      </c>
      <c r="R36" s="471">
        <v>2835.7860968936125</v>
      </c>
      <c r="S36" s="471">
        <v>2811.6484373170492</v>
      </c>
      <c r="T36" s="471">
        <v>2838.1645507322564</v>
      </c>
      <c r="U36" s="471">
        <v>2840.8293053069356</v>
      </c>
      <c r="V36" s="471">
        <v>2866.3726624276069</v>
      </c>
      <c r="W36" s="471">
        <v>2892.2791637863857</v>
      </c>
      <c r="X36" s="471">
        <v>2930.8514856633724</v>
      </c>
      <c r="Y36" s="471">
        <v>2987.1362446970938</v>
      </c>
      <c r="Z36" s="471">
        <v>3018.6608626559741</v>
      </c>
      <c r="AA36" s="471">
        <v>3050.6974803972644</v>
      </c>
      <c r="AB36" s="471">
        <v>3101.6938572121662</v>
      </c>
      <c r="AC36" s="640">
        <v>3160.8864625235283</v>
      </c>
    </row>
    <row r="37" spans="17:29" x14ac:dyDescent="0.3">
      <c r="Q37" s="156"/>
      <c r="R37" s="362"/>
      <c r="S37" s="362"/>
      <c r="T37" s="362"/>
      <c r="U37" s="362"/>
      <c r="V37" s="362"/>
      <c r="W37" s="362"/>
      <c r="X37" s="362"/>
      <c r="Y37" s="362"/>
      <c r="Z37" s="362"/>
      <c r="AA37" s="362"/>
      <c r="AB37" s="362"/>
      <c r="AC37" s="381"/>
    </row>
    <row r="38" spans="17:29" x14ac:dyDescent="0.3">
      <c r="Q38" s="473">
        <v>25.1</v>
      </c>
      <c r="R38" s="471">
        <v>19.11578947368421</v>
      </c>
      <c r="S38" s="471">
        <v>19.55120467836257</v>
      </c>
      <c r="T38" s="471">
        <v>19.312257309941518</v>
      </c>
      <c r="U38" s="471">
        <v>19.445005847953212</v>
      </c>
      <c r="V38" s="471">
        <v>19.74236257309941</v>
      </c>
      <c r="W38" s="471">
        <v>20.045029239766077</v>
      </c>
      <c r="X38" s="471">
        <v>20.363625730994144</v>
      </c>
      <c r="Y38" s="471">
        <v>20.761871345029231</v>
      </c>
      <c r="Z38" s="471">
        <v>21.091087719298237</v>
      </c>
      <c r="AA38" s="471">
        <v>21.351274853801161</v>
      </c>
      <c r="AB38" s="471">
        <v>21.675181286549698</v>
      </c>
      <c r="AC38" s="640">
        <v>21.988467836257303</v>
      </c>
    </row>
    <row r="39" spans="17:29" x14ac:dyDescent="0.3">
      <c r="Q39" s="473">
        <v>862.1</v>
      </c>
      <c r="R39" s="471">
        <v>865.35792741992714</v>
      </c>
      <c r="S39" s="471">
        <v>883.68485263868547</v>
      </c>
      <c r="T39" s="471">
        <v>902.39991342231394</v>
      </c>
      <c r="U39" s="471">
        <v>920.19499945898076</v>
      </c>
      <c r="V39" s="471">
        <v>938.34099985450587</v>
      </c>
      <c r="W39" s="471">
        <v>956.84483454661813</v>
      </c>
      <c r="X39" s="471">
        <v>975.71355993237592</v>
      </c>
      <c r="Y39" s="471">
        <v>999.24161335206236</v>
      </c>
      <c r="Z39" s="471">
        <v>1023.3370149366733</v>
      </c>
      <c r="AA39" s="471">
        <v>1048.0134455434604</v>
      </c>
      <c r="AB39" s="471">
        <v>1073.2849159256134</v>
      </c>
      <c r="AC39" s="640">
        <v>1099.1657746872684</v>
      </c>
    </row>
    <row r="40" spans="17:29" x14ac:dyDescent="0.3">
      <c r="Q40" s="473">
        <v>0</v>
      </c>
      <c r="R40" s="471">
        <v>0</v>
      </c>
      <c r="S40" s="471">
        <v>0</v>
      </c>
      <c r="T40" s="471">
        <v>0</v>
      </c>
      <c r="U40" s="471">
        <v>0</v>
      </c>
      <c r="V40" s="471">
        <v>0</v>
      </c>
      <c r="W40" s="471">
        <v>0</v>
      </c>
      <c r="X40" s="471">
        <v>0</v>
      </c>
      <c r="Y40" s="471">
        <v>0</v>
      </c>
      <c r="Z40" s="471">
        <v>0</v>
      </c>
      <c r="AA40" s="471">
        <v>0</v>
      </c>
      <c r="AB40" s="471">
        <v>0</v>
      </c>
      <c r="AC40" s="640">
        <v>0</v>
      </c>
    </row>
    <row r="41" spans="17:29" x14ac:dyDescent="0.3">
      <c r="Q41" s="566">
        <v>52.756999999999998</v>
      </c>
      <c r="R41" s="538">
        <v>52.756999999999998</v>
      </c>
      <c r="S41" s="538">
        <v>52.756999999999998</v>
      </c>
      <c r="T41" s="538">
        <v>12</v>
      </c>
      <c r="U41" s="538">
        <v>12</v>
      </c>
      <c r="V41" s="538">
        <v>12</v>
      </c>
      <c r="W41" s="538">
        <v>12</v>
      </c>
      <c r="X41" s="538">
        <v>4.2219999999999995</v>
      </c>
      <c r="Y41" s="538">
        <v>4.2219999999999995</v>
      </c>
      <c r="Z41" s="538">
        <v>4.2219999999999995</v>
      </c>
      <c r="AA41" s="538">
        <v>4.2219999999999995</v>
      </c>
      <c r="AB41" s="538">
        <v>2.3719999999999999</v>
      </c>
      <c r="AC41" s="616">
        <v>2.3719999999999999</v>
      </c>
    </row>
    <row r="42" spans="17:29" x14ac:dyDescent="0.3">
      <c r="Q42" s="473">
        <v>19.719000000000005</v>
      </c>
      <c r="R42" s="471">
        <v>19.719000000000005</v>
      </c>
      <c r="S42" s="471">
        <v>19.719000000000005</v>
      </c>
      <c r="T42" s="471">
        <v>1.4159999999999999</v>
      </c>
      <c r="U42" s="471">
        <v>1.4159999999999999</v>
      </c>
      <c r="V42" s="471">
        <v>1.4159999999999999</v>
      </c>
      <c r="W42" s="471">
        <v>1.4159999999999999</v>
      </c>
      <c r="X42" s="471">
        <v>1.4790000000000001</v>
      </c>
      <c r="Y42" s="471">
        <v>1.4790000000000001</v>
      </c>
      <c r="Z42" s="471">
        <v>1.4790000000000001</v>
      </c>
      <c r="AA42" s="471">
        <v>1.4790000000000001</v>
      </c>
      <c r="AB42" s="471">
        <v>1.63</v>
      </c>
      <c r="AC42" s="640">
        <v>1.63</v>
      </c>
    </row>
    <row r="43" spans="17:29" x14ac:dyDescent="0.3">
      <c r="Q43" s="297">
        <v>53.7</v>
      </c>
      <c r="R43" s="622">
        <v>35</v>
      </c>
      <c r="S43" s="622">
        <v>0</v>
      </c>
      <c r="T43" s="622">
        <v>0</v>
      </c>
      <c r="U43" s="622">
        <v>0</v>
      </c>
      <c r="V43" s="622">
        <v>0</v>
      </c>
      <c r="W43" s="622">
        <v>0</v>
      </c>
      <c r="X43" s="622">
        <v>0</v>
      </c>
      <c r="Y43" s="622">
        <v>0</v>
      </c>
      <c r="Z43" s="622">
        <v>0</v>
      </c>
      <c r="AA43" s="622">
        <v>0</v>
      </c>
      <c r="AB43" s="622">
        <v>0</v>
      </c>
      <c r="AC43" s="626">
        <v>0</v>
      </c>
    </row>
    <row r="44" spans="17:29" x14ac:dyDescent="0.3">
      <c r="Q44" s="156">
        <v>80.44274999999999</v>
      </c>
      <c r="R44" s="362">
        <v>20</v>
      </c>
      <c r="S44" s="362">
        <v>5</v>
      </c>
      <c r="T44" s="362">
        <v>0</v>
      </c>
      <c r="U44" s="362">
        <v>0</v>
      </c>
      <c r="V44" s="362">
        <v>0</v>
      </c>
      <c r="W44" s="362">
        <v>0</v>
      </c>
      <c r="X44" s="362">
        <v>0</v>
      </c>
      <c r="Y44" s="362">
        <v>0</v>
      </c>
      <c r="Z44" s="362">
        <v>0</v>
      </c>
      <c r="AA44" s="362">
        <v>0</v>
      </c>
      <c r="AB44" s="362">
        <v>0</v>
      </c>
      <c r="AC44" s="381">
        <v>0</v>
      </c>
    </row>
    <row r="45" spans="17:29" x14ac:dyDescent="0.3">
      <c r="Q45" s="309">
        <v>105.6</v>
      </c>
      <c r="R45" s="471">
        <v>105.6</v>
      </c>
      <c r="S45" s="471">
        <v>105.6</v>
      </c>
      <c r="T45" s="471">
        <v>105.6</v>
      </c>
      <c r="U45" s="471">
        <v>34</v>
      </c>
      <c r="V45" s="471">
        <v>34</v>
      </c>
      <c r="W45" s="471">
        <v>34</v>
      </c>
      <c r="X45" s="471">
        <v>34</v>
      </c>
      <c r="Y45" s="471">
        <v>34</v>
      </c>
      <c r="Z45" s="471">
        <v>34</v>
      </c>
      <c r="AA45" s="471">
        <v>34</v>
      </c>
      <c r="AB45" s="471">
        <v>34</v>
      </c>
      <c r="AC45" s="640">
        <v>34</v>
      </c>
    </row>
    <row r="46" spans="17:29" x14ac:dyDescent="0.3">
      <c r="Q46" s="473">
        <v>0</v>
      </c>
      <c r="R46" s="471">
        <v>0</v>
      </c>
      <c r="S46" s="471">
        <v>0</v>
      </c>
      <c r="T46" s="471">
        <v>0</v>
      </c>
      <c r="U46" s="471">
        <v>0</v>
      </c>
      <c r="V46" s="471">
        <v>0</v>
      </c>
      <c r="W46" s="471">
        <v>0</v>
      </c>
      <c r="X46" s="471">
        <v>0</v>
      </c>
      <c r="Y46" s="471">
        <v>0</v>
      </c>
      <c r="Z46" s="471">
        <v>0</v>
      </c>
      <c r="AA46" s="471">
        <v>0</v>
      </c>
      <c r="AB46" s="471">
        <v>0</v>
      </c>
      <c r="AC46" s="640">
        <v>0</v>
      </c>
    </row>
    <row r="47" spans="17:29" x14ac:dyDescent="0.3">
      <c r="Q47" s="473">
        <v>-4.7551300000009178</v>
      </c>
      <c r="R47" s="471">
        <v>25</v>
      </c>
      <c r="S47" s="471">
        <v>25</v>
      </c>
      <c r="T47" s="471">
        <v>90</v>
      </c>
      <c r="U47" s="471">
        <v>90</v>
      </c>
      <c r="V47" s="471">
        <v>90</v>
      </c>
      <c r="W47" s="471">
        <v>90</v>
      </c>
      <c r="X47" s="471">
        <v>110</v>
      </c>
      <c r="Y47" s="471">
        <v>110</v>
      </c>
      <c r="Z47" s="471">
        <v>110</v>
      </c>
      <c r="AA47" s="471">
        <v>110</v>
      </c>
      <c r="AB47" s="471">
        <v>130</v>
      </c>
      <c r="AC47" s="640">
        <v>130</v>
      </c>
    </row>
    <row r="48" spans="17:29" x14ac:dyDescent="0.3">
      <c r="Q48" s="650">
        <v>73.419000000000011</v>
      </c>
      <c r="R48" s="654">
        <v>54.719000000000008</v>
      </c>
      <c r="S48" s="610">
        <v>19.719000000000005</v>
      </c>
      <c r="T48" s="610">
        <v>1.4159999999999999</v>
      </c>
      <c r="U48" s="610">
        <v>1.4159999999999999</v>
      </c>
      <c r="V48" s="610">
        <v>1.4159999999999999</v>
      </c>
      <c r="W48" s="610">
        <v>1.4159999999999999</v>
      </c>
      <c r="X48" s="610">
        <v>1.4790000000000001</v>
      </c>
      <c r="Y48" s="610">
        <v>1.4790000000000001</v>
      </c>
      <c r="Z48" s="610">
        <v>1.4790000000000001</v>
      </c>
      <c r="AA48" s="610">
        <v>1.4790000000000001</v>
      </c>
      <c r="AB48" s="610">
        <v>1.63</v>
      </c>
      <c r="AC48" s="612">
        <v>1.63</v>
      </c>
    </row>
    <row r="49" spans="2:29" x14ac:dyDescent="0.3">
      <c r="Q49" s="473">
        <v>1686.1363800000011</v>
      </c>
      <c r="R49" s="471">
        <v>1693.2363800000012</v>
      </c>
      <c r="S49" s="471">
        <v>1700.3363800000013</v>
      </c>
      <c r="T49" s="471">
        <v>1707.4363800000015</v>
      </c>
      <c r="U49" s="471">
        <v>1763.7733000000017</v>
      </c>
      <c r="V49" s="471">
        <v>1770.8733000000018</v>
      </c>
      <c r="W49" s="471">
        <v>1777.9733000000019</v>
      </c>
      <c r="X49" s="471">
        <v>1785.0733000000021</v>
      </c>
      <c r="Y49" s="471">
        <v>1817.4317600000022</v>
      </c>
      <c r="Z49" s="471">
        <v>1824.5317600000024</v>
      </c>
      <c r="AA49" s="471">
        <v>1831.6317600000025</v>
      </c>
      <c r="AB49" s="471">
        <v>1838.7317600000026</v>
      </c>
      <c r="AC49" s="640">
        <v>1871.7302200000026</v>
      </c>
    </row>
    <row r="50" spans="2:29" x14ac:dyDescent="0.3">
      <c r="Q50" s="473">
        <v>-2.5</v>
      </c>
      <c r="R50" s="471">
        <v>-2.5</v>
      </c>
      <c r="S50" s="471">
        <v>-2.5</v>
      </c>
      <c r="T50" s="471">
        <v>-6</v>
      </c>
      <c r="U50" s="471">
        <v>-6</v>
      </c>
      <c r="V50" s="471">
        <v>-6</v>
      </c>
      <c r="W50" s="471">
        <v>-6</v>
      </c>
      <c r="X50" s="471">
        <v>-4.3</v>
      </c>
      <c r="Y50" s="471">
        <v>-4.3</v>
      </c>
      <c r="Z50" s="471">
        <v>-4.3</v>
      </c>
      <c r="AA50" s="471">
        <v>-4.3</v>
      </c>
      <c r="AB50" s="471">
        <v>-4.8</v>
      </c>
      <c r="AC50" s="640">
        <v>-4.8</v>
      </c>
    </row>
    <row r="51" spans="2:29" x14ac:dyDescent="0.3">
      <c r="Q51" s="653">
        <v>1864.9240000000002</v>
      </c>
      <c r="R51" s="538">
        <v>1841.3363800000011</v>
      </c>
      <c r="S51" s="538">
        <v>1833.4363800000012</v>
      </c>
      <c r="T51" s="538">
        <v>1897.0363800000014</v>
      </c>
      <c r="U51" s="538">
        <v>1881.7733000000017</v>
      </c>
      <c r="V51" s="538">
        <v>1888.8733000000018</v>
      </c>
      <c r="W51" s="538">
        <v>1895.9733000000019</v>
      </c>
      <c r="X51" s="538">
        <v>1924.7733000000021</v>
      </c>
      <c r="Y51" s="538">
        <v>1957.1317600000023</v>
      </c>
      <c r="Z51" s="538">
        <v>1964.2317600000024</v>
      </c>
      <c r="AA51" s="538">
        <v>1971.3317600000025</v>
      </c>
      <c r="AB51" s="538">
        <v>1997.9317600000027</v>
      </c>
      <c r="AC51" s="616">
        <v>2030.9302200000027</v>
      </c>
    </row>
    <row r="52" spans="2:29" x14ac:dyDescent="0.3">
      <c r="Q52" s="553"/>
      <c r="R52" s="538"/>
      <c r="S52" s="538"/>
      <c r="T52" s="538"/>
      <c r="U52" s="538"/>
      <c r="V52" s="538"/>
      <c r="W52" s="538"/>
      <c r="X52" s="538"/>
      <c r="Y52" s="538"/>
      <c r="Z52" s="538"/>
      <c r="AA52" s="538"/>
      <c r="AB52" s="538"/>
      <c r="AC52" s="616"/>
    </row>
    <row r="53" spans="2:29" x14ac:dyDescent="0.3">
      <c r="Q53" s="157">
        <v>948.2</v>
      </c>
      <c r="R53" s="623"/>
      <c r="S53" s="623"/>
      <c r="T53" s="623"/>
      <c r="U53" s="623"/>
      <c r="V53" s="623"/>
      <c r="W53" s="623"/>
      <c r="X53" s="623"/>
      <c r="Y53" s="623"/>
      <c r="Z53" s="623"/>
      <c r="AA53" s="623"/>
      <c r="AB53" s="623"/>
      <c r="AC53" s="641"/>
    </row>
    <row r="54" spans="2:29" x14ac:dyDescent="0.3">
      <c r="Q54" s="554">
        <v>791</v>
      </c>
      <c r="R54" s="471">
        <v>815.63340582128023</v>
      </c>
      <c r="S54" s="471">
        <v>831.03394777701794</v>
      </c>
      <c r="T54" s="471">
        <v>849.13235539636253</v>
      </c>
      <c r="U54" s="471">
        <v>867.62491341020325</v>
      </c>
      <c r="V54" s="471">
        <v>886.5202056971192</v>
      </c>
      <c r="W54" s="471">
        <v>905.82700307694995</v>
      </c>
      <c r="X54" s="471">
        <v>896.15988007246301</v>
      </c>
      <c r="Y54" s="471">
        <v>886.59592606919432</v>
      </c>
      <c r="Z54" s="471">
        <v>877.13404003193318</v>
      </c>
      <c r="AA54" s="471">
        <v>867.77313267588374</v>
      </c>
      <c r="AB54" s="471">
        <v>858.51212634126239</v>
      </c>
      <c r="AC54" s="640">
        <v>849.34995486923401</v>
      </c>
    </row>
    <row r="55" spans="2:29" x14ac:dyDescent="0.3">
      <c r="Q55" s="570">
        <v>157.20000000000005</v>
      </c>
      <c r="R55" s="538">
        <v>159.09549303998926</v>
      </c>
      <c r="S55" s="538">
        <v>161.0138416389139</v>
      </c>
      <c r="T55" s="538">
        <v>162.95532138553278</v>
      </c>
      <c r="U55" s="538">
        <v>164.92021119161092</v>
      </c>
      <c r="V55" s="538">
        <v>166.90879333198782</v>
      </c>
      <c r="W55" s="538">
        <v>168.92135348512892</v>
      </c>
      <c r="X55" s="538">
        <v>170.95818077416595</v>
      </c>
      <c r="Y55" s="538">
        <v>173.01956780843219</v>
      </c>
      <c r="Z55" s="538">
        <v>175.10581072549851</v>
      </c>
      <c r="AA55" s="538">
        <v>177.2172092337164</v>
      </c>
      <c r="AB55" s="538">
        <v>179.35406665527381</v>
      </c>
      <c r="AC55" s="616">
        <v>181.51668996977023</v>
      </c>
    </row>
    <row r="56" spans="2:29" x14ac:dyDescent="0.3">
      <c r="Q56" s="528">
        <v>5.7581573896352545E-3</v>
      </c>
      <c r="R56" s="471"/>
      <c r="S56" s="471"/>
      <c r="T56" s="471"/>
      <c r="U56" s="471"/>
      <c r="V56" s="471"/>
      <c r="W56" s="471"/>
      <c r="X56" s="471"/>
      <c r="Y56" s="471"/>
      <c r="Z56" s="471"/>
      <c r="AA56" s="471"/>
      <c r="AB56" s="471"/>
      <c r="AC56" s="640"/>
    </row>
    <row r="58" spans="2:29" x14ac:dyDescent="0.3">
      <c r="P58" s="430"/>
      <c r="Q58" s="430"/>
      <c r="R58" s="430"/>
      <c r="S58" s="430"/>
      <c r="T58" s="430"/>
      <c r="U58" s="430"/>
      <c r="V58" s="430"/>
      <c r="W58" s="430"/>
      <c r="X58" s="430"/>
      <c r="Y58" s="430"/>
      <c r="Z58" s="430"/>
      <c r="AA58" s="430"/>
      <c r="AB58" s="430"/>
      <c r="AC58" s="430"/>
    </row>
    <row r="59" spans="2:29" x14ac:dyDescent="0.3">
      <c r="B59" s="182" t="s">
        <v>400</v>
      </c>
      <c r="D59" s="479"/>
      <c r="E59" s="479"/>
      <c r="F59" s="479"/>
      <c r="G59" s="479"/>
      <c r="H59" s="479"/>
      <c r="I59" s="479"/>
      <c r="J59" s="479"/>
      <c r="K59" s="479"/>
      <c r="L59" s="479"/>
      <c r="M59" s="479"/>
      <c r="N59" s="479"/>
      <c r="O59" s="479"/>
      <c r="P59" s="479"/>
      <c r="Q59" s="479"/>
      <c r="R59" s="479"/>
      <c r="S59" s="479"/>
      <c r="T59" s="479"/>
      <c r="U59" s="479"/>
      <c r="V59" s="479"/>
      <c r="W59" s="479"/>
      <c r="X59" s="479"/>
      <c r="Y59" s="479"/>
      <c r="Z59" s="479"/>
      <c r="AA59" s="479"/>
      <c r="AB59" s="479"/>
      <c r="AC59" s="479"/>
    </row>
    <row r="60" spans="2:29" ht="45.75" customHeight="1" x14ac:dyDescent="0.3">
      <c r="B60" s="1049" t="s">
        <v>540</v>
      </c>
      <c r="C60" s="1049"/>
      <c r="D60" s="1049"/>
      <c r="E60" s="1049"/>
      <c r="F60" s="1049"/>
      <c r="G60" s="1049"/>
      <c r="H60" s="1049"/>
      <c r="I60" s="1049"/>
      <c r="J60" s="1049"/>
      <c r="K60" s="1049"/>
      <c r="L60" s="1049"/>
      <c r="M60" s="1049"/>
      <c r="N60" s="1049"/>
      <c r="O60" s="1049"/>
      <c r="P60" s="1049"/>
      <c r="Q60" s="1049"/>
      <c r="R60" s="1049"/>
      <c r="S60" s="1049"/>
      <c r="T60" s="1049"/>
      <c r="U60" s="1049"/>
      <c r="V60" s="1049"/>
      <c r="W60" s="1049"/>
      <c r="X60" s="1049"/>
      <c r="Y60" s="1049"/>
      <c r="Z60" s="1049"/>
      <c r="AA60" s="1049"/>
      <c r="AB60" s="1049"/>
      <c r="AC60" s="1049"/>
    </row>
    <row r="61" spans="2:29" ht="14.7" customHeight="1" x14ac:dyDescent="0.3">
      <c r="B61" s="981" t="s">
        <v>541</v>
      </c>
      <c r="C61" s="982"/>
      <c r="D61" s="957" t="s">
        <v>325</v>
      </c>
      <c r="E61" s="958"/>
      <c r="F61" s="958"/>
      <c r="G61" s="958"/>
      <c r="H61" s="958"/>
      <c r="I61" s="958"/>
      <c r="J61" s="958"/>
      <c r="K61" s="958"/>
      <c r="L61" s="958"/>
      <c r="M61" s="958"/>
      <c r="N61" s="958"/>
      <c r="O61" s="958"/>
      <c r="P61" s="958"/>
      <c r="Q61" s="958"/>
      <c r="R61" s="988"/>
      <c r="S61" s="989" t="s">
        <v>326</v>
      </c>
      <c r="T61" s="990"/>
      <c r="U61" s="990"/>
      <c r="V61" s="990"/>
      <c r="W61" s="990"/>
      <c r="X61" s="990"/>
      <c r="Y61" s="990"/>
      <c r="Z61" s="990"/>
      <c r="AA61" s="990"/>
      <c r="AB61" s="990"/>
      <c r="AC61" s="991"/>
    </row>
    <row r="62" spans="2:29" x14ac:dyDescent="0.3">
      <c r="B62" s="981"/>
      <c r="C62" s="982"/>
      <c r="D62" s="201">
        <v>2018</v>
      </c>
      <c r="E62" s="948">
        <v>2019</v>
      </c>
      <c r="F62" s="949"/>
      <c r="G62" s="949"/>
      <c r="H62" s="956"/>
      <c r="I62" s="948">
        <v>2020</v>
      </c>
      <c r="J62" s="949"/>
      <c r="K62" s="949"/>
      <c r="L62" s="949"/>
      <c r="M62" s="948">
        <v>2021</v>
      </c>
      <c r="N62" s="949"/>
      <c r="O62" s="949"/>
      <c r="P62" s="956"/>
      <c r="Q62" s="986">
        <v>2022</v>
      </c>
      <c r="R62" s="987"/>
      <c r="S62" s="295"/>
      <c r="T62" s="296"/>
      <c r="U62" s="983">
        <v>2023</v>
      </c>
      <c r="V62" s="984"/>
      <c r="W62" s="984"/>
      <c r="X62" s="984"/>
      <c r="Y62" s="983">
        <v>2024</v>
      </c>
      <c r="Z62" s="984"/>
      <c r="AA62" s="984"/>
      <c r="AB62" s="985"/>
      <c r="AC62" s="262">
        <v>2025</v>
      </c>
    </row>
    <row r="63" spans="2:29" x14ac:dyDescent="0.3">
      <c r="B63" s="993"/>
      <c r="C63" s="994"/>
      <c r="D63" s="155" t="s">
        <v>327</v>
      </c>
      <c r="E63" s="155" t="s">
        <v>328</v>
      </c>
      <c r="F63" s="154" t="s">
        <v>329</v>
      </c>
      <c r="G63" s="154" t="s">
        <v>238</v>
      </c>
      <c r="H63" s="205" t="s">
        <v>327</v>
      </c>
      <c r="I63" s="154" t="s">
        <v>328</v>
      </c>
      <c r="J63" s="154" t="s">
        <v>329</v>
      </c>
      <c r="K63" s="154" t="s">
        <v>238</v>
      </c>
      <c r="L63" s="154" t="s">
        <v>327</v>
      </c>
      <c r="M63" s="155" t="s">
        <v>328</v>
      </c>
      <c r="N63" s="154" t="s">
        <v>329</v>
      </c>
      <c r="O63" s="154" t="s">
        <v>238</v>
      </c>
      <c r="P63" s="205" t="s">
        <v>327</v>
      </c>
      <c r="Q63" s="155" t="s">
        <v>328</v>
      </c>
      <c r="R63" s="205" t="s">
        <v>329</v>
      </c>
      <c r="S63" s="362" t="s">
        <v>238</v>
      </c>
      <c r="T63" s="381" t="s">
        <v>327</v>
      </c>
      <c r="U63" s="361" t="s">
        <v>328</v>
      </c>
      <c r="V63" s="362" t="s">
        <v>329</v>
      </c>
      <c r="W63" s="362" t="s">
        <v>238</v>
      </c>
      <c r="X63" s="362" t="s">
        <v>327</v>
      </c>
      <c r="Y63" s="361" t="s">
        <v>328</v>
      </c>
      <c r="Z63" s="272" t="s">
        <v>329</v>
      </c>
      <c r="AA63" s="362" t="s">
        <v>238</v>
      </c>
      <c r="AB63" s="381" t="s">
        <v>327</v>
      </c>
      <c r="AC63" s="398" t="s">
        <v>328</v>
      </c>
    </row>
    <row r="64" spans="2:29" x14ac:dyDescent="0.3">
      <c r="B64" s="180" t="s">
        <v>542</v>
      </c>
      <c r="D64" s="292"/>
      <c r="E64" s="288"/>
      <c r="F64" s="288"/>
      <c r="G64" s="288"/>
      <c r="H64" s="288"/>
      <c r="I64" s="536">
        <f>(I65-AVERAGE($E65:$H65))</f>
        <v>2.5817499999999995</v>
      </c>
      <c r="J64" s="536">
        <f t="shared" ref="J64:N64" si="23">(J65-AVERAGE($E65:$H65))</f>
        <v>37.358750000000001</v>
      </c>
      <c r="K64" s="536">
        <f t="shared" si="23"/>
        <v>38.026749999999993</v>
      </c>
      <c r="L64" s="536">
        <f t="shared" si="23"/>
        <v>38.350750000000005</v>
      </c>
      <c r="M64" s="536">
        <f t="shared" si="23"/>
        <v>54.966750000000005</v>
      </c>
      <c r="N64" s="536">
        <f t="shared" si="23"/>
        <v>74.252749999999992</v>
      </c>
      <c r="O64" s="536">
        <f>(O65-AVERAGE($E65:$H65))</f>
        <v>80.97475</v>
      </c>
      <c r="P64" s="536">
        <f>(P65-AVERAGE($E65:$H65))</f>
        <v>85.163749999999993</v>
      </c>
      <c r="Q64" s="536">
        <f>(Q65-AVERAGE($E65:$H65))</f>
        <v>80.44274999999999</v>
      </c>
      <c r="R64" s="564">
        <f>(R65-AVERAGE($E65:$H65))</f>
        <v>72.713750000000005</v>
      </c>
      <c r="S64" s="574">
        <v>5</v>
      </c>
      <c r="T64" s="574">
        <v>0</v>
      </c>
      <c r="U64" s="312"/>
      <c r="V64" s="312"/>
      <c r="W64" s="312"/>
      <c r="X64" s="312"/>
      <c r="Y64" s="312"/>
      <c r="Z64" s="312"/>
      <c r="AA64" s="312"/>
      <c r="AB64" s="312"/>
      <c r="AC64" s="313"/>
    </row>
    <row r="65" spans="2:29" x14ac:dyDescent="0.3">
      <c r="B65" s="180" t="s">
        <v>160</v>
      </c>
      <c r="C65" s="157" t="s">
        <v>543</v>
      </c>
      <c r="D65" s="289">
        <f>'Haver Pivoted'!GO66</f>
        <v>57.116</v>
      </c>
      <c r="E65" s="149">
        <f>'Haver Pivoted'!GP66</f>
        <v>55.898000000000003</v>
      </c>
      <c r="F65" s="149">
        <f>'Haver Pivoted'!GQ66</f>
        <v>54.478000000000002</v>
      </c>
      <c r="G65" s="149">
        <f>'Haver Pivoted'!GR66</f>
        <v>54.216000000000001</v>
      </c>
      <c r="H65" s="149">
        <f>'Haver Pivoted'!GS66</f>
        <v>54.152999999999999</v>
      </c>
      <c r="I65" s="149">
        <f>'Haver Pivoted'!GT66</f>
        <v>57.268000000000001</v>
      </c>
      <c r="J65" s="149">
        <f>'Haver Pivoted'!GU66</f>
        <v>92.045000000000002</v>
      </c>
      <c r="K65" s="149">
        <f>'Haver Pivoted'!GV66</f>
        <v>92.712999999999994</v>
      </c>
      <c r="L65" s="149">
        <f>'Haver Pivoted'!GW66</f>
        <v>93.037000000000006</v>
      </c>
      <c r="M65" s="149">
        <f>'Haver Pivoted'!GX66</f>
        <v>109.65300000000001</v>
      </c>
      <c r="N65" s="149">
        <f>'Haver Pivoted'!GY66</f>
        <v>128.93899999999999</v>
      </c>
      <c r="O65" s="149">
        <f>'Haver Pivoted'!GZ66</f>
        <v>135.661</v>
      </c>
      <c r="P65" s="149">
        <f>'Haver Pivoted'!HA66</f>
        <v>139.85</v>
      </c>
      <c r="Q65" s="149">
        <f>'Haver Pivoted'!HB66</f>
        <v>135.12899999999999</v>
      </c>
      <c r="R65" s="156">
        <f>'Haver Pivoted'!HC66</f>
        <v>127.4</v>
      </c>
      <c r="S65" s="362"/>
      <c r="T65" s="362"/>
      <c r="U65" s="362"/>
      <c r="V65" s="362"/>
      <c r="W65" s="362"/>
      <c r="X65" s="362"/>
      <c r="Y65" s="362"/>
      <c r="Z65" s="362"/>
      <c r="AA65" s="362"/>
      <c r="AB65" s="362"/>
      <c r="AC65" s="381"/>
    </row>
    <row r="66" spans="2:29" ht="28.95" customHeight="1" x14ac:dyDescent="0.3">
      <c r="B66" s="151" t="s">
        <v>544</v>
      </c>
      <c r="C66" s="268"/>
      <c r="D66" s="290"/>
      <c r="E66" s="159"/>
      <c r="F66" s="159"/>
      <c r="G66" s="159"/>
      <c r="H66" s="159"/>
      <c r="I66" s="159"/>
      <c r="J66" s="159">
        <f t="shared" ref="J66:R66" si="24">J65-$H65</f>
        <v>37.892000000000003</v>
      </c>
      <c r="K66" s="159">
        <f t="shared" si="24"/>
        <v>38.559999999999995</v>
      </c>
      <c r="L66" s="159">
        <f t="shared" si="24"/>
        <v>38.884000000000007</v>
      </c>
      <c r="M66" s="159">
        <f t="shared" si="24"/>
        <v>55.500000000000007</v>
      </c>
      <c r="N66" s="159">
        <f>N65-$H65</f>
        <v>74.786000000000001</v>
      </c>
      <c r="O66" s="159">
        <f>O65-$H65</f>
        <v>81.50800000000001</v>
      </c>
      <c r="P66" s="159">
        <f t="shared" si="24"/>
        <v>85.697000000000003</v>
      </c>
      <c r="Q66" s="159">
        <f t="shared" si="24"/>
        <v>80.975999999999999</v>
      </c>
      <c r="R66" s="163">
        <f t="shared" si="24"/>
        <v>73.247000000000014</v>
      </c>
      <c r="S66" s="280"/>
      <c r="T66" s="280"/>
      <c r="U66" s="280"/>
      <c r="V66" s="280"/>
      <c r="W66" s="280"/>
      <c r="X66" s="280"/>
      <c r="Y66" s="280"/>
      <c r="Z66" s="280"/>
      <c r="AA66" s="280"/>
      <c r="AB66" s="280"/>
      <c r="AC66" s="281"/>
    </row>
    <row r="67" spans="2:29" ht="35.700000000000003" customHeight="1" x14ac:dyDescent="0.3"/>
    <row r="68" spans="2:29" x14ac:dyDescent="0.3">
      <c r="B68" s="182" t="s">
        <v>413</v>
      </c>
    </row>
    <row r="69" spans="2:29" x14ac:dyDescent="0.3">
      <c r="B69" s="950" t="s">
        <v>876</v>
      </c>
      <c r="C69" s="951"/>
      <c r="D69" s="957" t="s">
        <v>325</v>
      </c>
      <c r="E69" s="958"/>
      <c r="F69" s="958"/>
      <c r="G69" s="958"/>
      <c r="H69" s="958"/>
      <c r="I69" s="958"/>
      <c r="J69" s="958"/>
      <c r="K69" s="958"/>
      <c r="L69" s="958"/>
      <c r="M69" s="958"/>
      <c r="N69" s="958"/>
      <c r="O69" s="958"/>
      <c r="P69" s="958"/>
      <c r="Q69" s="958"/>
      <c r="R69" s="988"/>
      <c r="S69" s="989" t="s">
        <v>326</v>
      </c>
      <c r="T69" s="990"/>
      <c r="U69" s="990"/>
      <c r="V69" s="990"/>
      <c r="W69" s="990"/>
      <c r="X69" s="990"/>
      <c r="Y69" s="990"/>
      <c r="Z69" s="990"/>
      <c r="AA69" s="990"/>
      <c r="AB69" s="990"/>
      <c r="AC69" s="991"/>
    </row>
    <row r="70" spans="2:29" x14ac:dyDescent="0.3">
      <c r="B70" s="952"/>
      <c r="C70" s="953"/>
      <c r="D70" s="201">
        <v>2018</v>
      </c>
      <c r="E70" s="948">
        <v>2019</v>
      </c>
      <c r="F70" s="949"/>
      <c r="G70" s="949"/>
      <c r="H70" s="956"/>
      <c r="I70" s="948">
        <v>2020</v>
      </c>
      <c r="J70" s="949"/>
      <c r="K70" s="949"/>
      <c r="L70" s="949"/>
      <c r="M70" s="948">
        <v>2021</v>
      </c>
      <c r="N70" s="949"/>
      <c r="O70" s="949"/>
      <c r="P70" s="956"/>
      <c r="Q70" s="986">
        <v>2022</v>
      </c>
      <c r="R70" s="987"/>
      <c r="S70" s="295"/>
      <c r="T70" s="296"/>
      <c r="U70" s="983">
        <v>2023</v>
      </c>
      <c r="V70" s="984"/>
      <c r="W70" s="984"/>
      <c r="X70" s="984"/>
      <c r="Y70" s="983">
        <v>2024</v>
      </c>
      <c r="Z70" s="984"/>
      <c r="AA70" s="984"/>
      <c r="AB70" s="985"/>
      <c r="AC70" s="262">
        <v>2025</v>
      </c>
    </row>
    <row r="71" spans="2:29" x14ac:dyDescent="0.3">
      <c r="B71" s="952"/>
      <c r="C71" s="953"/>
      <c r="D71" s="155" t="s">
        <v>327</v>
      </c>
      <c r="E71" s="155" t="s">
        <v>328</v>
      </c>
      <c r="F71" s="154" t="s">
        <v>329</v>
      </c>
      <c r="G71" s="154" t="s">
        <v>238</v>
      </c>
      <c r="H71" s="205" t="s">
        <v>327</v>
      </c>
      <c r="I71" s="154" t="s">
        <v>328</v>
      </c>
      <c r="J71" s="154" t="s">
        <v>329</v>
      </c>
      <c r="K71" s="154" t="s">
        <v>238</v>
      </c>
      <c r="L71" s="154" t="s">
        <v>327</v>
      </c>
      <c r="M71" s="155" t="s">
        <v>328</v>
      </c>
      <c r="N71" s="154" t="s">
        <v>329</v>
      </c>
      <c r="O71" s="154" t="s">
        <v>238</v>
      </c>
      <c r="P71" s="205" t="s">
        <v>327</v>
      </c>
      <c r="Q71" s="155" t="s">
        <v>328</v>
      </c>
      <c r="R71" s="205" t="s">
        <v>329</v>
      </c>
      <c r="S71" s="362" t="s">
        <v>238</v>
      </c>
      <c r="T71" s="381" t="s">
        <v>327</v>
      </c>
      <c r="U71" s="361" t="s">
        <v>328</v>
      </c>
      <c r="V71" s="362" t="s">
        <v>329</v>
      </c>
      <c r="W71" s="362" t="s">
        <v>238</v>
      </c>
      <c r="X71" s="362" t="s">
        <v>327</v>
      </c>
      <c r="Y71" s="361" t="s">
        <v>328</v>
      </c>
      <c r="Z71" s="272" t="s">
        <v>329</v>
      </c>
      <c r="AA71" s="362" t="s">
        <v>238</v>
      </c>
      <c r="AB71" s="381" t="s">
        <v>327</v>
      </c>
      <c r="AC71" s="398" t="s">
        <v>328</v>
      </c>
    </row>
    <row r="72" spans="2:29" x14ac:dyDescent="0.3">
      <c r="B72" s="530" t="s">
        <v>529</v>
      </c>
      <c r="C72" s="429" t="s">
        <v>530</v>
      </c>
      <c r="D72" s="558">
        <f>'Haver Pivoted'!GO31</f>
        <v>2222.3000000000002</v>
      </c>
      <c r="E72" s="536">
        <f>'Haver Pivoted'!GP31</f>
        <v>2298.1</v>
      </c>
      <c r="F72" s="536">
        <f>'Haver Pivoted'!GQ31</f>
        <v>2315.5</v>
      </c>
      <c r="G72" s="536">
        <f>'Haver Pivoted'!GR31</f>
        <v>2333.1999999999998</v>
      </c>
      <c r="H72" s="536">
        <f>'Haver Pivoted'!GS31</f>
        <v>2350.8000000000002</v>
      </c>
      <c r="I72" s="536">
        <f>'Haver Pivoted'!GT31</f>
        <v>2417.9</v>
      </c>
      <c r="J72" s="536">
        <f>'Haver Pivoted'!GU31</f>
        <v>4766.7</v>
      </c>
      <c r="K72" s="536">
        <f>'Haver Pivoted'!GV31</f>
        <v>3468.3</v>
      </c>
      <c r="L72" s="536">
        <f>'Haver Pivoted'!GW31</f>
        <v>2839.1</v>
      </c>
      <c r="M72" s="536">
        <f>'Haver Pivoted'!GX31</f>
        <v>5070.6000000000004</v>
      </c>
      <c r="N72" s="536">
        <f>'Haver Pivoted'!GY31</f>
        <v>3372.3</v>
      </c>
      <c r="O72" s="536">
        <f>'Haver Pivoted'!GZ31</f>
        <v>3136.3</v>
      </c>
      <c r="P72" s="536">
        <f>'Haver Pivoted'!HA31</f>
        <v>2936.3</v>
      </c>
      <c r="Q72" s="536">
        <f>'Haver Pivoted'!HB31</f>
        <v>2880.8</v>
      </c>
      <c r="R72" s="564">
        <f>'Haver Pivoted'!HC31</f>
        <v>2872</v>
      </c>
      <c r="S72" s="295"/>
      <c r="T72" s="295"/>
      <c r="U72" s="295"/>
      <c r="V72" s="295"/>
      <c r="W72" s="295"/>
      <c r="X72" s="295"/>
      <c r="Y72" s="295"/>
      <c r="Z72" s="295"/>
      <c r="AA72" s="295"/>
      <c r="AB72" s="295"/>
      <c r="AC72" s="296"/>
    </row>
    <row r="73" spans="2:29" ht="27.6" customHeight="1" x14ac:dyDescent="0.3">
      <c r="B73" s="188" t="s">
        <v>872</v>
      </c>
      <c r="C73" s="157"/>
      <c r="D73" s="593">
        <f t="shared" ref="D73:R73" si="25">SUM(D14:D22)</f>
        <v>811.30000000000007</v>
      </c>
      <c r="E73" s="278">
        <f t="shared" si="25"/>
        <v>826.69999999999993</v>
      </c>
      <c r="F73" s="278">
        <f t="shared" si="25"/>
        <v>838.9</v>
      </c>
      <c r="G73" s="278">
        <f t="shared" si="25"/>
        <v>849.5</v>
      </c>
      <c r="H73" s="278">
        <f t="shared" si="25"/>
        <v>858.09999999999991</v>
      </c>
      <c r="I73" s="278">
        <f t="shared" si="25"/>
        <v>880.58175000000006</v>
      </c>
      <c r="J73" s="278">
        <f t="shared" si="25"/>
        <v>3224.5587499999997</v>
      </c>
      <c r="K73" s="278">
        <f t="shared" si="25"/>
        <v>1817.02675</v>
      </c>
      <c r="L73" s="278">
        <f t="shared" si="25"/>
        <v>1253.3507500000003</v>
      </c>
      <c r="M73" s="278">
        <f t="shared" si="25"/>
        <v>3456.5667500000004</v>
      </c>
      <c r="N73" s="278">
        <f t="shared" si="25"/>
        <v>1779.6745899999999</v>
      </c>
      <c r="O73" s="278">
        <f t="shared" si="25"/>
        <v>1537.0782433333331</v>
      </c>
      <c r="P73" s="278">
        <f t="shared" si="25"/>
        <v>1346.9730833333331</v>
      </c>
      <c r="Q73" s="278">
        <f t="shared" si="25"/>
        <v>1199.41875</v>
      </c>
      <c r="R73" s="647">
        <f t="shared" si="25"/>
        <v>1180.8897499999998</v>
      </c>
      <c r="S73" s="623"/>
      <c r="T73" s="623"/>
      <c r="U73" s="623"/>
      <c r="V73" s="623"/>
      <c r="W73" s="623"/>
      <c r="X73" s="623"/>
      <c r="Y73" s="623"/>
      <c r="Z73" s="623"/>
      <c r="AA73" s="623"/>
      <c r="AB73" s="623"/>
      <c r="AC73" s="641"/>
    </row>
    <row r="74" spans="2:29" ht="27.6" customHeight="1" x14ac:dyDescent="0.3">
      <c r="B74" s="188" t="s">
        <v>873</v>
      </c>
      <c r="C74" s="157"/>
      <c r="D74" s="593">
        <f>D72-D73</f>
        <v>1411</v>
      </c>
      <c r="E74" s="278">
        <f t="shared" ref="E74:O74" si="26">E72-E73</f>
        <v>1471.4</v>
      </c>
      <c r="F74" s="278">
        <f t="shared" si="26"/>
        <v>1476.6</v>
      </c>
      <c r="G74" s="278">
        <f t="shared" si="26"/>
        <v>1483.6999999999998</v>
      </c>
      <c r="H74" s="278">
        <f t="shared" si="26"/>
        <v>1492.7000000000003</v>
      </c>
      <c r="I74" s="278">
        <f t="shared" si="26"/>
        <v>1537.31825</v>
      </c>
      <c r="J74" s="278">
        <f t="shared" si="26"/>
        <v>1542.1412500000001</v>
      </c>
      <c r="K74" s="278">
        <f t="shared" si="26"/>
        <v>1651.2732500000002</v>
      </c>
      <c r="L74" s="278">
        <f t="shared" si="26"/>
        <v>1585.7492499999996</v>
      </c>
      <c r="M74" s="278">
        <f t="shared" si="26"/>
        <v>1614.03325</v>
      </c>
      <c r="N74" s="278">
        <f t="shared" si="26"/>
        <v>1592.6254100000003</v>
      </c>
      <c r="O74" s="278">
        <f t="shared" si="26"/>
        <v>1599.221756666667</v>
      </c>
      <c r="P74" s="278">
        <f>P72-P73</f>
        <v>1589.3269166666671</v>
      </c>
      <c r="Q74" s="278">
        <f>Q72-Q73</f>
        <v>1681.3812500000001</v>
      </c>
      <c r="R74" s="647">
        <f>R72-R73</f>
        <v>1691.1102500000002</v>
      </c>
      <c r="S74" s="623"/>
      <c r="T74" s="623"/>
      <c r="U74" s="623"/>
      <c r="V74" s="623"/>
      <c r="W74" s="623"/>
      <c r="X74" s="623"/>
      <c r="Y74" s="623"/>
      <c r="Z74" s="623"/>
      <c r="AA74" s="623"/>
      <c r="AB74" s="623"/>
      <c r="AC74" s="641"/>
    </row>
    <row r="75" spans="2:29" ht="24" customHeight="1" x14ac:dyDescent="0.3">
      <c r="B75" s="180" t="s">
        <v>874</v>
      </c>
      <c r="C75" s="157"/>
      <c r="D75" s="593">
        <f t="shared" ref="D75:I75" si="27">D12-D14-D15-D21</f>
        <v>1411.0000000000002</v>
      </c>
      <c r="E75" s="278">
        <f t="shared" si="27"/>
        <v>1471.3999999999999</v>
      </c>
      <c r="F75" s="278">
        <f t="shared" si="27"/>
        <v>1476.6</v>
      </c>
      <c r="G75" s="278">
        <f t="shared" si="27"/>
        <v>1483.6999999999998</v>
      </c>
      <c r="H75" s="278">
        <f t="shared" si="27"/>
        <v>1492.7</v>
      </c>
      <c r="I75" s="278">
        <f t="shared" si="27"/>
        <v>1539.9</v>
      </c>
      <c r="J75" s="648">
        <f>I75+($H$75-$E$75)/3</f>
        <v>1547.0000000000002</v>
      </c>
      <c r="K75" s="648">
        <f>J75+($H$75-$E$75)/3</f>
        <v>1554.1000000000004</v>
      </c>
      <c r="L75" s="648">
        <f>K75+($H$75-$E$75)/3</f>
        <v>1561.2000000000005</v>
      </c>
      <c r="M75" s="652">
        <f>L75+($H$75-$E$75)/3 +(M76-L76)</f>
        <v>1585.8010000000006</v>
      </c>
      <c r="N75" s="648">
        <f>M75+($H$75-$E$75)/3</f>
        <v>1592.9010000000007</v>
      </c>
      <c r="O75" s="648">
        <f>N75+($H$75-$E$75)/3</f>
        <v>1600.0010000000009</v>
      </c>
      <c r="P75" s="648">
        <f>O75+($H$75-$E$75)/3</f>
        <v>1607.101000000001</v>
      </c>
      <c r="Q75" s="652">
        <f>P75+($H$75-$E$75)/3 + 0.06*Q76</f>
        <v>1686.1363800000011</v>
      </c>
      <c r="R75" s="643">
        <f>Q75+($H$75-$E$75)/3</f>
        <v>1693.2363800000012</v>
      </c>
      <c r="S75" s="627">
        <f>R75+($H$75-$E$75)/3</f>
        <v>1700.3363800000013</v>
      </c>
      <c r="T75" s="627">
        <f>S75+($H$75-$E$75)/3</f>
        <v>1707.4363800000015</v>
      </c>
      <c r="U75" s="628">
        <f>T75+($H$75-$E$75)/3 + 0.04 *U76</f>
        <v>1763.7642600000015</v>
      </c>
      <c r="V75" s="627">
        <f>U75+($H$75-$E$75)/3</f>
        <v>1770.8642600000017</v>
      </c>
      <c r="W75" s="627">
        <f>V75+($H$75-$E$75)/3</f>
        <v>1777.9642600000018</v>
      </c>
      <c r="X75" s="627">
        <f>W75+($H$75-$E$75)/3</f>
        <v>1785.0642600000019</v>
      </c>
      <c r="Y75" s="628">
        <f>X75+($H$75-$E$75)/3 + 0.02*Y76</f>
        <v>1817.4182000000021</v>
      </c>
      <c r="Z75" s="627">
        <f>Y75+($H$75-$E$75)/3</f>
        <v>1824.5182000000023</v>
      </c>
      <c r="AA75" s="627">
        <f>Z75+($H$75-$E$75)/3</f>
        <v>1831.6182000000024</v>
      </c>
      <c r="AB75" s="627">
        <f>AA75+($H$75-$E$75)/3</f>
        <v>1838.7182000000025</v>
      </c>
      <c r="AC75" s="629">
        <f>AB75+($H$75-$E$75)/3 + 0.02*AC76</f>
        <v>1871.7121400000026</v>
      </c>
    </row>
    <row r="76" spans="2:29" x14ac:dyDescent="0.3">
      <c r="B76" s="180" t="s">
        <v>538</v>
      </c>
      <c r="C76" s="157" t="s">
        <v>539</v>
      </c>
      <c r="D76" s="180">
        <f>'Haver Pivoted'!GO88/1000</f>
        <v>983.95899999999995</v>
      </c>
      <c r="E76" s="157">
        <f>'Haver Pivoted'!GP88/1000</f>
        <v>1019.419</v>
      </c>
      <c r="F76" s="157">
        <f>'Haver Pivoted'!GQ88/1000</f>
        <v>1026.4179999999999</v>
      </c>
      <c r="G76" s="157">
        <f>'Haver Pivoted'!GR88/1000</f>
        <v>1034.2080000000001</v>
      </c>
      <c r="H76" s="157">
        <f>'Haver Pivoted'!GS88/1000</f>
        <v>1042.9269999999999</v>
      </c>
      <c r="I76" s="157">
        <f>'Haver Pivoted'!GT88/1000</f>
        <v>1067.885</v>
      </c>
      <c r="J76" s="157">
        <f>'Haver Pivoted'!GU88/1000</f>
        <v>1074.7909999999999</v>
      </c>
      <c r="K76" s="157">
        <f>'Haver Pivoted'!GV88/1000</f>
        <v>1080.221</v>
      </c>
      <c r="L76" s="157">
        <f>'Haver Pivoted'!GW88/1000</f>
        <v>1088.8150000000001</v>
      </c>
      <c r="M76" s="157">
        <f>'Haver Pivoted'!GX88/1000</f>
        <v>1106.316</v>
      </c>
      <c r="N76" s="157">
        <f>'Haver Pivoted'!GY88/1000</f>
        <v>1109.664</v>
      </c>
      <c r="O76" s="157">
        <f>'Haver Pivoted'!GZ88/1000</f>
        <v>1117.202</v>
      </c>
      <c r="P76" s="157">
        <f>'Haver Pivoted'!HA88/1000</f>
        <v>1126.867</v>
      </c>
      <c r="Q76" s="157">
        <f>'Haver Pivoted'!HB88/1000</f>
        <v>1198.923</v>
      </c>
      <c r="R76" s="586">
        <f>'Haver Pivoted'!HC88/1000</f>
        <v>1206.6969999999999</v>
      </c>
      <c r="S76" s="623">
        <f t="shared" ref="S76:AC76" si="28">R76+8</f>
        <v>1214.6969999999999</v>
      </c>
      <c r="T76" s="623">
        <f t="shared" si="28"/>
        <v>1222.6969999999999</v>
      </c>
      <c r="U76" s="623">
        <f t="shared" si="28"/>
        <v>1230.6969999999999</v>
      </c>
      <c r="V76" s="623">
        <f t="shared" si="28"/>
        <v>1238.6969999999999</v>
      </c>
      <c r="W76" s="623">
        <f t="shared" si="28"/>
        <v>1246.6969999999999</v>
      </c>
      <c r="X76" s="623">
        <f t="shared" si="28"/>
        <v>1254.6969999999999</v>
      </c>
      <c r="Y76" s="623">
        <f t="shared" si="28"/>
        <v>1262.6969999999999</v>
      </c>
      <c r="Z76" s="623">
        <f t="shared" si="28"/>
        <v>1270.6969999999999</v>
      </c>
      <c r="AA76" s="623">
        <f t="shared" si="28"/>
        <v>1278.6969999999999</v>
      </c>
      <c r="AB76" s="623">
        <f t="shared" si="28"/>
        <v>1286.6969999999999</v>
      </c>
      <c r="AC76" s="641">
        <f t="shared" si="28"/>
        <v>1294.6969999999999</v>
      </c>
    </row>
    <row r="77" spans="2:29" ht="69" customHeight="1" x14ac:dyDescent="0.3">
      <c r="B77" s="642" t="s">
        <v>887</v>
      </c>
      <c r="C77" s="268"/>
      <c r="D77" s="634">
        <f>D74-D75</f>
        <v>0</v>
      </c>
      <c r="E77" s="630">
        <f t="shared" ref="E77:O77" si="29">E74-E75</f>
        <v>0</v>
      </c>
      <c r="F77" s="630">
        <f t="shared" si="29"/>
        <v>0</v>
      </c>
      <c r="G77" s="630">
        <f t="shared" si="29"/>
        <v>0</v>
      </c>
      <c r="H77" s="630">
        <f t="shared" si="29"/>
        <v>0</v>
      </c>
      <c r="I77" s="630">
        <f t="shared" si="29"/>
        <v>-2.5817500000000564</v>
      </c>
      <c r="J77" s="630">
        <f t="shared" si="29"/>
        <v>-4.8587500000001</v>
      </c>
      <c r="K77" s="630">
        <f t="shared" si="29"/>
        <v>97.173249999999825</v>
      </c>
      <c r="L77" s="630">
        <f t="shared" si="29"/>
        <v>24.54924999999912</v>
      </c>
      <c r="M77" s="630">
        <f t="shared" si="29"/>
        <v>28.23224999999934</v>
      </c>
      <c r="N77" s="630">
        <f t="shared" si="29"/>
        <v>-0.27559000000042033</v>
      </c>
      <c r="O77" s="630">
        <f t="shared" si="29"/>
        <v>-0.77924333333385221</v>
      </c>
      <c r="P77" s="630">
        <f>P74-P75</f>
        <v>-17.77408333333392</v>
      </c>
      <c r="Q77" s="630">
        <f>Q74-Q75</f>
        <v>-4.7551300000009178</v>
      </c>
      <c r="R77" s="651">
        <f>R74-R75</f>
        <v>-2.1261300000010124</v>
      </c>
      <c r="S77" s="631">
        <v>25</v>
      </c>
      <c r="T77" s="631">
        <v>90</v>
      </c>
      <c r="U77" s="631">
        <v>90</v>
      </c>
      <c r="V77" s="631">
        <v>90</v>
      </c>
      <c r="W77" s="631">
        <v>90</v>
      </c>
      <c r="X77" s="631">
        <v>110</v>
      </c>
      <c r="Y77" s="631">
        <v>110</v>
      </c>
      <c r="Z77" s="631">
        <v>110</v>
      </c>
      <c r="AA77" s="631">
        <v>110</v>
      </c>
      <c r="AB77" s="631">
        <v>130</v>
      </c>
      <c r="AC77" s="632">
        <v>130</v>
      </c>
    </row>
    <row r="78" spans="2:29" x14ac:dyDescent="0.3">
      <c r="D78" s="157"/>
      <c r="E78" s="157"/>
      <c r="F78" s="157"/>
      <c r="G78" s="157"/>
      <c r="H78" s="157"/>
      <c r="I78" s="157"/>
      <c r="J78" s="157"/>
      <c r="K78" s="157"/>
      <c r="L78" s="157"/>
      <c r="M78" s="278"/>
      <c r="N78" s="278"/>
      <c r="O78" s="278"/>
      <c r="P78" s="157"/>
    </row>
    <row r="79" spans="2:29" x14ac:dyDescent="0.3">
      <c r="B79" s="530" t="s">
        <v>880</v>
      </c>
      <c r="C79" s="620"/>
      <c r="D79" s="636">
        <v>2021</v>
      </c>
      <c r="E79" s="636">
        <v>2022</v>
      </c>
      <c r="F79" s="636">
        <v>2023</v>
      </c>
      <c r="G79" s="637">
        <v>2024</v>
      </c>
    </row>
    <row r="80" spans="2:29" x14ac:dyDescent="0.3">
      <c r="B80" s="635" t="s">
        <v>881</v>
      </c>
      <c r="C80" s="646"/>
      <c r="D80" s="617">
        <v>3605.8330000000001</v>
      </c>
      <c r="E80" s="617">
        <v>2832.5949999999998</v>
      </c>
      <c r="F80" s="617">
        <v>2833.72</v>
      </c>
      <c r="G80" s="618">
        <v>2976.7339999999999</v>
      </c>
    </row>
    <row r="81" spans="2:7" x14ac:dyDescent="0.3">
      <c r="B81" s="635" t="s">
        <v>884</v>
      </c>
      <c r="C81" s="619"/>
      <c r="D81" s="198">
        <f>AVERAGE(Medicare!L10:O10)</f>
        <v>819.22499999999991</v>
      </c>
      <c r="E81" s="198">
        <f>AVERAGE(Medicare!P10:S10)</f>
        <v>861.78460136669617</v>
      </c>
      <c r="F81" s="198">
        <f>AVERAGE(Medicare!T10:W10)</f>
        <v>916.35421849360739</v>
      </c>
      <c r="G81" s="644">
        <f>AVERAGE(Medicare!X10:AA10)</f>
        <v>997.3286454627364</v>
      </c>
    </row>
    <row r="82" spans="2:7" ht="13.2" customHeight="1" x14ac:dyDescent="0.3">
      <c r="B82" s="635" t="s">
        <v>882</v>
      </c>
      <c r="C82" s="619"/>
      <c r="D82" s="198">
        <f>D80-D81</f>
        <v>2786.6080000000002</v>
      </c>
      <c r="E82" s="198">
        <f t="shared" ref="E82:G82" si="30">E80-E81</f>
        <v>1970.8103986333035</v>
      </c>
      <c r="F82" s="198">
        <f t="shared" si="30"/>
        <v>1917.3657815063925</v>
      </c>
      <c r="G82" s="644">
        <f t="shared" si="30"/>
        <v>1979.4053545372635</v>
      </c>
    </row>
    <row r="83" spans="2:7" x14ac:dyDescent="0.3">
      <c r="B83" s="635" t="s">
        <v>885</v>
      </c>
      <c r="C83" s="619"/>
      <c r="D83" s="198">
        <f>AVERAGE(L12:O12)</f>
        <v>3604.5749999999998</v>
      </c>
      <c r="E83" s="198">
        <f>AVERAGE(P12:S12)</f>
        <v>2875.5616561237202</v>
      </c>
      <c r="F83" s="198">
        <f>AVERAGE(T12:W12)</f>
        <v>2844.3304112713868</v>
      </c>
      <c r="G83" s="644">
        <f>AVERAGE(X12:AA12)</f>
        <v>2980.4312215738501</v>
      </c>
    </row>
    <row r="84" spans="2:7" x14ac:dyDescent="0.3">
      <c r="B84" s="635" t="s">
        <v>884</v>
      </c>
      <c r="C84" s="619"/>
      <c r="D84" s="198">
        <f>AVERAGE(Medicare!L10:O10)</f>
        <v>819.22499999999991</v>
      </c>
      <c r="E84" s="198">
        <f>AVERAGE(Medicare!P10:S10)</f>
        <v>861.78460136669617</v>
      </c>
      <c r="F84" s="198">
        <f>AVERAGE(Medicare!T10:W10)</f>
        <v>916.35421849360739</v>
      </c>
      <c r="G84" s="644">
        <f>AVERAGE(Medicare!X10:AA10)</f>
        <v>997.3286454627364</v>
      </c>
    </row>
    <row r="85" spans="2:7" x14ac:dyDescent="0.3">
      <c r="B85" s="635" t="s">
        <v>602</v>
      </c>
      <c r="C85" s="619"/>
      <c r="D85" s="198">
        <f>AVERAGE(L25:O25)</f>
        <v>1584.9757500000007</v>
      </c>
      <c r="E85" s="198">
        <f>AVERAGE(P25:S25)</f>
        <v>1671.7025350000013</v>
      </c>
      <c r="F85" s="198">
        <f>AVERAGE(T25:W25)</f>
        <v>1755.0072900000016</v>
      </c>
      <c r="G85" s="644">
        <f>AVERAGE(X25:AA25)</f>
        <v>1814.6547150000022</v>
      </c>
    </row>
    <row r="86" spans="2:7" ht="27.6" customHeight="1" x14ac:dyDescent="0.3">
      <c r="B86" s="621" t="s">
        <v>883</v>
      </c>
      <c r="C86" s="151"/>
      <c r="D86" s="581"/>
      <c r="E86" s="638">
        <v>1.157</v>
      </c>
      <c r="F86" s="638">
        <v>1.0109999999999999</v>
      </c>
      <c r="G86" s="645">
        <v>1.0529999999999999</v>
      </c>
    </row>
    <row r="87" spans="2:7" x14ac:dyDescent="0.3">
      <c r="B87" s="157" t="s">
        <v>886</v>
      </c>
      <c r="D87" s="639">
        <f>D83-D80</f>
        <v>-1.2580000000002656</v>
      </c>
      <c r="E87" s="639">
        <f>E83-E80</f>
        <v>42.966656123720441</v>
      </c>
      <c r="F87" s="639">
        <f>F83-F80</f>
        <v>10.610411271386965</v>
      </c>
      <c r="G87" s="639">
        <f t="shared" ref="G87" si="31">G83-G80</f>
        <v>3.6972215738501291</v>
      </c>
    </row>
  </sheetData>
  <mergeCells count="32">
    <mergeCell ref="B69:C71"/>
    <mergeCell ref="E70:H70"/>
    <mergeCell ref="I70:L70"/>
    <mergeCell ref="U70:X70"/>
    <mergeCell ref="M62:P62"/>
    <mergeCell ref="Q62:R62"/>
    <mergeCell ref="Q70:R70"/>
    <mergeCell ref="D69:R69"/>
    <mergeCell ref="S69:AC69"/>
    <mergeCell ref="M70:P70"/>
    <mergeCell ref="Y70:AB70"/>
    <mergeCell ref="B11:C11"/>
    <mergeCell ref="B60:AC60"/>
    <mergeCell ref="B61:C63"/>
    <mergeCell ref="E62:H62"/>
    <mergeCell ref="I62:L62"/>
    <mergeCell ref="B28:C28"/>
    <mergeCell ref="U62:X62"/>
    <mergeCell ref="Y62:AB62"/>
    <mergeCell ref="D61:R61"/>
    <mergeCell ref="S61:AC61"/>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3" zoomScale="90" zoomScaleNormal="90" workbookViewId="0">
      <selection activeCell="V40" sqref="V40"/>
    </sheetView>
  </sheetViews>
  <sheetFormatPr defaultColWidth="11.554687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47" t="s">
        <v>58</v>
      </c>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4:56" ht="14.25" customHeight="1" x14ac:dyDescent="0.3">
      <c r="D2" s="946" t="s">
        <v>1013</v>
      </c>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4:56" ht="84.75" customHeight="1" x14ac:dyDescent="0.3">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4:56" x14ac:dyDescent="0.3">
      <c r="D4" s="776" t="s">
        <v>381</v>
      </c>
    </row>
    <row r="5" spans="4:56" x14ac:dyDescent="0.3">
      <c r="D5" s="980" t="s">
        <v>465</v>
      </c>
      <c r="E5" s="960"/>
      <c r="F5" s="1067" t="s">
        <v>325</v>
      </c>
      <c r="G5" s="1068"/>
      <c r="H5" s="1068"/>
      <c r="I5" s="1068"/>
      <c r="J5" s="1068"/>
      <c r="K5" s="1068"/>
      <c r="L5" s="1068"/>
      <c r="M5" s="1068"/>
      <c r="N5" s="1068"/>
      <c r="O5" s="1068"/>
      <c r="P5" s="1068"/>
      <c r="Q5" s="1068"/>
      <c r="R5" s="1069"/>
      <c r="S5" s="989" t="s">
        <v>326</v>
      </c>
      <c r="T5" s="990"/>
      <c r="U5" s="990"/>
      <c r="V5" s="990"/>
      <c r="W5" s="990"/>
      <c r="X5" s="990"/>
      <c r="Y5" s="990"/>
      <c r="Z5" s="990"/>
      <c r="AA5" s="990"/>
      <c r="AB5" s="990"/>
      <c r="AC5" s="991"/>
      <c r="AD5" s="675"/>
      <c r="AE5" s="675"/>
      <c r="AF5" s="675"/>
      <c r="AG5" s="675"/>
      <c r="AH5" s="675"/>
      <c r="AI5" s="675"/>
      <c r="AJ5" s="675"/>
      <c r="AK5" s="675"/>
      <c r="AL5" s="675"/>
      <c r="AM5" s="675"/>
      <c r="AN5" s="675"/>
      <c r="AO5" s="675"/>
      <c r="AP5" s="675"/>
      <c r="AQ5" s="675"/>
      <c r="AR5" s="675"/>
      <c r="AS5" s="675"/>
      <c r="AT5" s="675"/>
      <c r="AU5" s="675"/>
      <c r="AV5" s="675"/>
      <c r="AW5" s="675"/>
      <c r="AX5" s="675"/>
      <c r="AY5" s="675"/>
      <c r="AZ5" s="675"/>
      <c r="BA5" s="675"/>
      <c r="BB5" s="675"/>
      <c r="BC5" s="675"/>
      <c r="BD5" s="675"/>
    </row>
    <row r="6" spans="4:56" x14ac:dyDescent="0.3">
      <c r="D6" s="981"/>
      <c r="E6" s="1011"/>
      <c r="F6" s="995">
        <v>2019</v>
      </c>
      <c r="G6" s="996"/>
      <c r="H6" s="1003"/>
      <c r="I6" s="996">
        <v>2020</v>
      </c>
      <c r="J6" s="996"/>
      <c r="K6" s="996"/>
      <c r="L6" s="996"/>
      <c r="M6" s="948">
        <v>2021</v>
      </c>
      <c r="N6" s="949"/>
      <c r="O6" s="949"/>
      <c r="P6" s="956"/>
      <c r="Q6" s="986">
        <v>2022</v>
      </c>
      <c r="R6" s="987"/>
      <c r="S6" s="805"/>
      <c r="T6" s="296"/>
      <c r="U6" s="1062">
        <v>2023</v>
      </c>
      <c r="V6" s="1063"/>
      <c r="W6" s="1063"/>
      <c r="X6" s="1063"/>
      <c r="Y6" s="983">
        <v>2024</v>
      </c>
      <c r="Z6" s="984"/>
      <c r="AA6" s="984"/>
      <c r="AB6" s="984"/>
      <c r="AC6" s="262">
        <v>2025</v>
      </c>
      <c r="AD6" s="671"/>
      <c r="AE6" s="671"/>
      <c r="AF6" s="671"/>
      <c r="AG6" s="676"/>
      <c r="AH6" s="676"/>
      <c r="AI6" s="676"/>
      <c r="AJ6" s="676"/>
      <c r="AK6" s="676"/>
      <c r="AL6" s="676"/>
      <c r="AM6" s="676"/>
      <c r="AN6" s="676"/>
      <c r="AO6" s="676"/>
      <c r="AP6" s="676"/>
      <c r="AQ6" s="676"/>
      <c r="AR6" s="676"/>
      <c r="AS6" s="676"/>
      <c r="AT6" s="676"/>
      <c r="AU6" s="676"/>
      <c r="AV6" s="676"/>
      <c r="AW6" s="676"/>
      <c r="AX6" s="676"/>
      <c r="AY6" s="676"/>
      <c r="AZ6" s="676"/>
      <c r="BA6" s="676"/>
      <c r="BB6" s="676"/>
      <c r="BC6" s="676"/>
    </row>
    <row r="7" spans="4:56" x14ac:dyDescent="0.3">
      <c r="D7" s="993"/>
      <c r="E7" s="1012"/>
      <c r="F7" s="155" t="s">
        <v>329</v>
      </c>
      <c r="G7" s="154" t="s">
        <v>238</v>
      </c>
      <c r="H7" s="205" t="s">
        <v>327</v>
      </c>
      <c r="I7" s="154" t="s">
        <v>328</v>
      </c>
      <c r="J7" s="154" t="s">
        <v>329</v>
      </c>
      <c r="K7" s="154" t="s">
        <v>238</v>
      </c>
      <c r="L7" s="154" t="s">
        <v>327</v>
      </c>
      <c r="M7" s="155" t="s">
        <v>328</v>
      </c>
      <c r="N7" s="154" t="s">
        <v>329</v>
      </c>
      <c r="O7" s="154" t="s">
        <v>238</v>
      </c>
      <c r="P7" s="205" t="s">
        <v>327</v>
      </c>
      <c r="Q7" s="155" t="s">
        <v>328</v>
      </c>
      <c r="R7" s="205" t="s">
        <v>329</v>
      </c>
      <c r="S7" s="279" t="s">
        <v>238</v>
      </c>
      <c r="T7" s="281" t="s">
        <v>327</v>
      </c>
      <c r="U7" s="279" t="s">
        <v>328</v>
      </c>
      <c r="V7" s="280" t="s">
        <v>329</v>
      </c>
      <c r="W7" s="280" t="s">
        <v>238</v>
      </c>
      <c r="X7" s="280" t="s">
        <v>327</v>
      </c>
      <c r="Y7" s="279" t="s">
        <v>328</v>
      </c>
      <c r="Z7" s="275" t="s">
        <v>329</v>
      </c>
      <c r="AA7" s="280" t="s">
        <v>238</v>
      </c>
      <c r="AB7" s="280" t="s">
        <v>327</v>
      </c>
      <c r="AC7" s="283" t="s">
        <v>328</v>
      </c>
      <c r="AD7" s="673"/>
      <c r="AE7" s="673"/>
      <c r="AF7" s="673"/>
      <c r="AG7" s="673"/>
      <c r="AH7" s="673"/>
      <c r="AI7" s="673"/>
      <c r="AJ7" s="673"/>
      <c r="AK7" s="673"/>
      <c r="AL7" s="673"/>
      <c r="AM7" s="673"/>
      <c r="AN7" s="673"/>
      <c r="AO7" s="673"/>
      <c r="AP7" s="673"/>
      <c r="AQ7" s="673"/>
      <c r="AR7" s="673"/>
      <c r="AS7" s="673"/>
      <c r="AT7" s="673"/>
      <c r="AU7" s="673"/>
      <c r="AV7" s="673"/>
      <c r="AW7" s="673"/>
      <c r="AX7" s="673"/>
      <c r="AY7" s="673"/>
      <c r="AZ7" s="673"/>
      <c r="BA7" s="673"/>
      <c r="BB7" s="673"/>
      <c r="BC7" s="673"/>
    </row>
    <row r="8" spans="4:56" x14ac:dyDescent="0.3">
      <c r="D8" s="379" t="s">
        <v>528</v>
      </c>
      <c r="E8" s="71"/>
      <c r="F8" s="659"/>
      <c r="G8" s="669"/>
      <c r="H8" s="669"/>
      <c r="I8" s="669"/>
      <c r="J8" s="669"/>
      <c r="K8" s="669"/>
      <c r="L8" s="669"/>
      <c r="M8" s="669"/>
      <c r="N8" s="669"/>
      <c r="O8" s="669"/>
      <c r="P8" s="669"/>
      <c r="Q8" s="669"/>
      <c r="R8" s="808"/>
      <c r="S8" s="686"/>
      <c r="T8" s="686"/>
      <c r="U8" s="686"/>
      <c r="V8" s="686"/>
      <c r="W8" s="686"/>
      <c r="X8" s="686"/>
      <c r="Y8" s="686"/>
      <c r="Z8" s="686"/>
      <c r="AA8" s="686"/>
      <c r="AB8" s="686"/>
      <c r="AC8" s="780"/>
      <c r="AD8" s="672"/>
      <c r="AE8" s="672"/>
      <c r="AF8" s="672"/>
      <c r="AG8" s="672"/>
      <c r="AH8" s="672"/>
      <c r="AI8" s="672"/>
      <c r="AJ8" s="672"/>
      <c r="AK8" s="672"/>
      <c r="AL8" s="672"/>
      <c r="AM8" s="672"/>
      <c r="AN8" s="672"/>
      <c r="AO8" s="672"/>
      <c r="AP8" s="672"/>
      <c r="AQ8" s="672"/>
      <c r="AR8" s="672"/>
      <c r="AS8" s="672"/>
      <c r="AT8" s="672"/>
      <c r="AU8" s="672"/>
      <c r="AV8" s="672"/>
      <c r="AW8" s="672"/>
      <c r="AX8" s="672"/>
      <c r="AY8" s="672"/>
      <c r="AZ8" s="672"/>
      <c r="BA8" s="672"/>
      <c r="BB8" s="672"/>
      <c r="BC8" s="672"/>
    </row>
    <row r="9" spans="4:56" ht="14.4" customHeight="1" x14ac:dyDescent="0.3">
      <c r="D9" s="466" t="s">
        <v>545</v>
      </c>
      <c r="E9" s="719"/>
      <c r="F9" s="777">
        <f t="shared" ref="F9:P9" si="0">SUM(F10:F12)</f>
        <v>3273.3999999999996</v>
      </c>
      <c r="G9" s="809">
        <f t="shared" si="0"/>
        <v>3290</v>
      </c>
      <c r="H9" s="809">
        <f t="shared" si="0"/>
        <v>3332.9</v>
      </c>
      <c r="I9" s="809">
        <f t="shared" si="0"/>
        <v>3380.8</v>
      </c>
      <c r="J9" s="809">
        <f t="shared" si="0"/>
        <v>3111.4</v>
      </c>
      <c r="K9" s="809">
        <f t="shared" si="0"/>
        <v>3257.3</v>
      </c>
      <c r="L9" s="809">
        <f t="shared" si="0"/>
        <v>3379.5</v>
      </c>
      <c r="M9" s="809">
        <f>SUM(M10:M12)</f>
        <v>3536</v>
      </c>
      <c r="N9" s="809">
        <f t="shared" si="0"/>
        <v>3679.6000000000004</v>
      </c>
      <c r="O9" s="809">
        <f t="shared" si="0"/>
        <v>3803.3</v>
      </c>
      <c r="P9" s="809">
        <f t="shared" si="0"/>
        <v>3943.2000000000003</v>
      </c>
      <c r="Q9" s="809">
        <f t="shared" ref="Q9:X9" si="1">SUM(Q10:Q12)</f>
        <v>4280.8999999999996</v>
      </c>
      <c r="R9" s="812">
        <f t="shared" si="1"/>
        <v>4350.2999999999993</v>
      </c>
      <c r="S9" s="692">
        <f t="shared" si="1"/>
        <v>4530.957639501511</v>
      </c>
      <c r="T9" s="692">
        <f t="shared" si="1"/>
        <v>4553.3895462316423</v>
      </c>
      <c r="U9" s="692">
        <f t="shared" si="1"/>
        <v>4576.4412167169803</v>
      </c>
      <c r="V9" s="692">
        <f t="shared" si="1"/>
        <v>4600.122531658546</v>
      </c>
      <c r="W9" s="692">
        <f t="shared" si="1"/>
        <v>4624.4435502502383</v>
      </c>
      <c r="X9" s="692">
        <f t="shared" si="1"/>
        <v>4632.3381296838579</v>
      </c>
      <c r="Y9" s="692">
        <f t="shared" ref="Y9:AC9" si="2">SUM(Y10:Y12)</f>
        <v>4640.4054597624345</v>
      </c>
      <c r="Z9" s="692">
        <f t="shared" si="2"/>
        <v>4648.6465713470625</v>
      </c>
      <c r="AA9" s="692">
        <f t="shared" si="2"/>
        <v>4657.0625052566529</v>
      </c>
      <c r="AB9" s="692">
        <f t="shared" si="2"/>
        <v>4669.3254748883073</v>
      </c>
      <c r="AC9" s="781">
        <f t="shared" si="2"/>
        <v>4681.6762855677307</v>
      </c>
      <c r="AD9" s="693"/>
      <c r="AE9" s="693"/>
      <c r="AF9" s="693"/>
      <c r="AG9" s="693"/>
      <c r="AH9" s="693"/>
      <c r="AI9" s="693"/>
      <c r="AJ9" s="693"/>
      <c r="AK9" s="693"/>
      <c r="AL9" s="693"/>
      <c r="AM9" s="693"/>
      <c r="AN9" s="693"/>
      <c r="AO9" s="693"/>
      <c r="AP9" s="693"/>
      <c r="AQ9" s="693"/>
      <c r="AR9" s="693"/>
      <c r="AS9" s="693"/>
      <c r="AT9" s="693"/>
      <c r="AU9" s="693"/>
      <c r="AV9" s="693"/>
      <c r="AW9" s="693"/>
      <c r="AX9" s="693"/>
      <c r="AY9" s="693"/>
      <c r="AZ9" s="693"/>
      <c r="BA9" s="693"/>
      <c r="BB9" s="693"/>
      <c r="BC9" s="693"/>
    </row>
    <row r="10" spans="4:56" x14ac:dyDescent="0.3">
      <c r="D10" s="487" t="s">
        <v>546</v>
      </c>
      <c r="E10" s="53" t="s">
        <v>115</v>
      </c>
      <c r="F10" s="722">
        <f>'Haver Pivoted'!GQ27</f>
        <v>1701.9</v>
      </c>
      <c r="G10" s="806">
        <f>'Haver Pivoted'!GR27</f>
        <v>1707.8</v>
      </c>
      <c r="H10" s="806">
        <f>'Haver Pivoted'!GS27</f>
        <v>1728.6</v>
      </c>
      <c r="I10" s="806">
        <f>'Haver Pivoted'!GT27</f>
        <v>1737.9</v>
      </c>
      <c r="J10" s="806">
        <f>'Haver Pivoted'!GU27</f>
        <v>1581.5</v>
      </c>
      <c r="K10" s="806">
        <f>'Haver Pivoted'!GV27</f>
        <v>1662.2</v>
      </c>
      <c r="L10" s="806">
        <f>'Haver Pivoted'!GW27</f>
        <v>1736.9</v>
      </c>
      <c r="M10" s="806">
        <f>'Haver Pivoted'!GX27</f>
        <v>1851.9</v>
      </c>
      <c r="N10" s="806">
        <f>'Haver Pivoted'!GY27</f>
        <v>1946.1</v>
      </c>
      <c r="O10" s="806">
        <f>'Haver Pivoted'!GZ27</f>
        <v>2036</v>
      </c>
      <c r="P10" s="806">
        <f>'Haver Pivoted'!HA27</f>
        <v>2125.9</v>
      </c>
      <c r="Q10" s="806">
        <f>'Haver Pivoted'!HB27</f>
        <v>2405.9</v>
      </c>
      <c r="R10" s="813">
        <f>'Haver Pivoted'!HC27</f>
        <v>2439.6</v>
      </c>
      <c r="S10" s="726">
        <f t="shared" ref="R10:S13" si="3">R10*(1+$I30)^0.25</f>
        <v>2570.6375156391264</v>
      </c>
      <c r="T10" s="726">
        <f t="shared" ref="T10:W13" si="4">S10*(1+$J30)^0.25</f>
        <v>2559.8667203650812</v>
      </c>
      <c r="U10" s="726">
        <f t="shared" si="4"/>
        <v>2549.1410539861563</v>
      </c>
      <c r="V10" s="726">
        <f t="shared" si="4"/>
        <v>2538.4603274153692</v>
      </c>
      <c r="W10" s="726">
        <f t="shared" si="4"/>
        <v>2527.8243523579995</v>
      </c>
      <c r="X10" s="726">
        <f t="shared" ref="X10:AA13" si="5">W10*(1+$K30)^0.25</f>
        <v>2518.6751528620621</v>
      </c>
      <c r="Y10" s="726">
        <f t="shared" si="5"/>
        <v>2509.5590679499519</v>
      </c>
      <c r="Z10" s="726">
        <f t="shared" si="5"/>
        <v>2500.4759777668487</v>
      </c>
      <c r="AA10" s="726">
        <f t="shared" si="5"/>
        <v>2491.4257628917339</v>
      </c>
      <c r="AB10" s="726">
        <f t="shared" ref="AB10:AC13" si="6">AA10*(1+$L30)^0.25</f>
        <v>2490.7947502438947</v>
      </c>
      <c r="AC10" s="726">
        <f t="shared" si="6"/>
        <v>2490.1638974149701</v>
      </c>
      <c r="AD10" s="672"/>
      <c r="AE10" s="672"/>
      <c r="AF10" s="672"/>
      <c r="AG10" s="672"/>
      <c r="AH10" s="672"/>
      <c r="AI10" s="672"/>
      <c r="AJ10" s="672"/>
      <c r="AK10" s="672"/>
      <c r="AL10" s="672"/>
      <c r="AM10" s="672"/>
      <c r="AN10" s="672"/>
      <c r="AO10" s="672"/>
      <c r="AP10" s="672"/>
      <c r="AQ10" s="672"/>
      <c r="AR10" s="672"/>
      <c r="AS10" s="672"/>
      <c r="AT10" s="672"/>
      <c r="AU10" s="672"/>
      <c r="AV10" s="672"/>
      <c r="AW10" s="672"/>
      <c r="AX10" s="672"/>
      <c r="AY10" s="672"/>
      <c r="AZ10" s="672"/>
      <c r="BA10" s="672"/>
      <c r="BB10" s="672"/>
      <c r="BC10" s="672"/>
    </row>
    <row r="11" spans="4:56" x14ac:dyDescent="0.3">
      <c r="D11" s="487" t="s">
        <v>547</v>
      </c>
      <c r="E11" s="72" t="s">
        <v>121</v>
      </c>
      <c r="F11" s="722">
        <f>'Haver Pivoted'!GQ30</f>
        <v>1399.3</v>
      </c>
      <c r="G11" s="806">
        <f>'Haver Pivoted'!GR30</f>
        <v>1406.9</v>
      </c>
      <c r="H11" s="806">
        <f>'Haver Pivoted'!GS30</f>
        <v>1426.4</v>
      </c>
      <c r="I11" s="806">
        <f>'Haver Pivoted'!GT30</f>
        <v>1457.1</v>
      </c>
      <c r="J11" s="806">
        <f>'Haver Pivoted'!GU30</f>
        <v>1391.6</v>
      </c>
      <c r="K11" s="806">
        <f>'Haver Pivoted'!GV30</f>
        <v>1443.8</v>
      </c>
      <c r="L11" s="806">
        <f>'Haver Pivoted'!GW30</f>
        <v>1486</v>
      </c>
      <c r="M11" s="806">
        <f>'Haver Pivoted'!GX30</f>
        <v>1517.9</v>
      </c>
      <c r="N11" s="806">
        <f>'Haver Pivoted'!GY30</f>
        <v>1555.7</v>
      </c>
      <c r="O11" s="806">
        <f>'Haver Pivoted'!GZ30</f>
        <v>1594.4</v>
      </c>
      <c r="P11" s="806">
        <f>'Haver Pivoted'!HA30</f>
        <v>1639</v>
      </c>
      <c r="Q11" s="806">
        <f>'Haver Pivoted'!HB30</f>
        <v>1681.8</v>
      </c>
      <c r="R11" s="813">
        <f>'Haver Pivoted'!HC30</f>
        <v>1710.8</v>
      </c>
      <c r="S11" s="726">
        <f t="shared" si="3"/>
        <v>1752.6633757955008</v>
      </c>
      <c r="T11" s="726">
        <f t="shared" si="4"/>
        <v>1783.8581001049672</v>
      </c>
      <c r="U11" s="726">
        <f t="shared" si="4"/>
        <v>1815.6080427399731</v>
      </c>
      <c r="V11" s="726">
        <f t="shared" si="4"/>
        <v>1847.9230857365308</v>
      </c>
      <c r="W11" s="726">
        <f t="shared" si="4"/>
        <v>1880.8132870157613</v>
      </c>
      <c r="X11" s="726">
        <f t="shared" si="5"/>
        <v>1896.5608930230303</v>
      </c>
      <c r="Y11" s="726">
        <f t="shared" si="5"/>
        <v>1912.4403500208641</v>
      </c>
      <c r="Z11" s="726">
        <f t="shared" si="5"/>
        <v>1928.4527619665055</v>
      </c>
      <c r="AA11" s="726">
        <f t="shared" si="5"/>
        <v>1944.5992420603714</v>
      </c>
      <c r="AB11" s="726">
        <f t="shared" si="6"/>
        <v>1957.6488330672496</v>
      </c>
      <c r="AC11" s="726">
        <f t="shared" si="6"/>
        <v>1970.7859957556157</v>
      </c>
      <c r="AD11" s="672"/>
      <c r="AE11" s="672"/>
      <c r="AF11" s="672"/>
      <c r="AG11" s="672"/>
      <c r="AH11" s="672"/>
      <c r="AI11" s="672"/>
      <c r="AJ11" s="672"/>
      <c r="AK11" s="672"/>
      <c r="AL11" s="672"/>
      <c r="AM11" s="672"/>
      <c r="AN11" s="672"/>
      <c r="AO11" s="672"/>
      <c r="AP11" s="672"/>
      <c r="AQ11" s="672"/>
      <c r="AR11" s="672"/>
      <c r="AS11" s="672"/>
      <c r="AT11" s="672"/>
      <c r="AU11" s="672"/>
      <c r="AV11" s="672"/>
      <c r="AW11" s="672"/>
      <c r="AX11" s="672"/>
      <c r="AY11" s="672"/>
      <c r="AZ11" s="672"/>
      <c r="BA11" s="672"/>
      <c r="BB11" s="672"/>
      <c r="BC11" s="672"/>
    </row>
    <row r="12" spans="4:56" x14ac:dyDescent="0.3">
      <c r="D12" s="487" t="s">
        <v>548</v>
      </c>
      <c r="E12" s="53" t="s">
        <v>117</v>
      </c>
      <c r="F12" s="722">
        <f>'Haver Pivoted'!GQ28</f>
        <v>172.2</v>
      </c>
      <c r="G12" s="806">
        <f>'Haver Pivoted'!GR28</f>
        <v>175.3</v>
      </c>
      <c r="H12" s="806">
        <f>'Haver Pivoted'!GS28</f>
        <v>177.9</v>
      </c>
      <c r="I12" s="806">
        <f>'Haver Pivoted'!GT28</f>
        <v>185.8</v>
      </c>
      <c r="J12" s="806">
        <f>'Haver Pivoted'!GU28</f>
        <v>138.30000000000001</v>
      </c>
      <c r="K12" s="806">
        <f>'Haver Pivoted'!GV28</f>
        <v>151.30000000000001</v>
      </c>
      <c r="L12" s="806">
        <f>'Haver Pivoted'!GW28</f>
        <v>156.6</v>
      </c>
      <c r="M12" s="806">
        <f>'Haver Pivoted'!GX28</f>
        <v>166.2</v>
      </c>
      <c r="N12" s="806">
        <f>'Haver Pivoted'!GY28</f>
        <v>177.8</v>
      </c>
      <c r="O12" s="806">
        <f>'Haver Pivoted'!GZ28</f>
        <v>172.9</v>
      </c>
      <c r="P12" s="806">
        <f>'Haver Pivoted'!HA28</f>
        <v>178.3</v>
      </c>
      <c r="Q12" s="806">
        <f>'Haver Pivoted'!HB28</f>
        <v>193.2</v>
      </c>
      <c r="R12" s="813">
        <f>'Haver Pivoted'!HC28</f>
        <v>199.9</v>
      </c>
      <c r="S12" s="726">
        <f t="shared" si="3"/>
        <v>207.65674806688327</v>
      </c>
      <c r="T12" s="726">
        <f t="shared" si="4"/>
        <v>209.66472576159435</v>
      </c>
      <c r="U12" s="726">
        <f t="shared" si="4"/>
        <v>211.69211999085098</v>
      </c>
      <c r="V12" s="726">
        <f t="shared" si="4"/>
        <v>213.73911850664601</v>
      </c>
      <c r="W12" s="726">
        <f t="shared" si="4"/>
        <v>215.80591087647701</v>
      </c>
      <c r="X12" s="726">
        <f t="shared" si="5"/>
        <v>217.10208379876568</v>
      </c>
      <c r="Y12" s="726">
        <f t="shared" si="5"/>
        <v>218.40604179161915</v>
      </c>
      <c r="Z12" s="726">
        <f t="shared" si="5"/>
        <v>219.71783161370877</v>
      </c>
      <c r="AA12" s="726">
        <f t="shared" si="5"/>
        <v>221.03750030454771</v>
      </c>
      <c r="AB12" s="726">
        <f t="shared" si="6"/>
        <v>220.8818915771632</v>
      </c>
      <c r="AC12" s="726">
        <f t="shared" si="6"/>
        <v>220.72639239714513</v>
      </c>
      <c r="AD12" s="672"/>
      <c r="AE12" s="672"/>
      <c r="AF12" s="672"/>
      <c r="AG12" s="672"/>
      <c r="AH12" s="672"/>
      <c r="AI12" s="672"/>
      <c r="AJ12" s="672"/>
      <c r="AK12" s="672"/>
      <c r="AL12" s="672"/>
      <c r="AM12" s="672"/>
      <c r="AN12" s="672"/>
      <c r="AO12" s="672"/>
      <c r="AP12" s="672"/>
      <c r="AQ12" s="672"/>
      <c r="AR12" s="672"/>
      <c r="AS12" s="672"/>
      <c r="AT12" s="672"/>
      <c r="AU12" s="672"/>
      <c r="AV12" s="672"/>
      <c r="AW12" s="672"/>
      <c r="AX12" s="672"/>
      <c r="AY12" s="672"/>
      <c r="AZ12" s="672"/>
      <c r="BA12" s="672"/>
      <c r="BB12" s="672"/>
      <c r="BC12" s="672"/>
    </row>
    <row r="13" spans="4:56" ht="14.4" customHeight="1" x14ac:dyDescent="0.3">
      <c r="D13" s="466" t="s">
        <v>549</v>
      </c>
      <c r="E13" s="720" t="s">
        <v>119</v>
      </c>
      <c r="F13" s="778">
        <f>'Haver Pivoted'!GQ29</f>
        <v>218.9</v>
      </c>
      <c r="G13" s="658">
        <f>'Haver Pivoted'!GR29</f>
        <v>206.5</v>
      </c>
      <c r="H13" s="658">
        <f>'Haver Pivoted'!GS29</f>
        <v>231.4</v>
      </c>
      <c r="I13" s="658">
        <f>'Haver Pivoted'!GT29</f>
        <v>166.7</v>
      </c>
      <c r="J13" s="658">
        <f>'Haver Pivoted'!GU29</f>
        <v>167.4</v>
      </c>
      <c r="K13" s="658">
        <f>'Haver Pivoted'!GV29</f>
        <v>211.7</v>
      </c>
      <c r="L13" s="658">
        <f>'Haver Pivoted'!GW29</f>
        <v>225.1</v>
      </c>
      <c r="M13" s="658">
        <f>'Haver Pivoted'!GX29</f>
        <v>246.4</v>
      </c>
      <c r="N13" s="658">
        <f>'Haver Pivoted'!GY29</f>
        <v>275.10000000000002</v>
      </c>
      <c r="O13" s="658">
        <f>'Haver Pivoted'!GZ29</f>
        <v>285.89999999999998</v>
      </c>
      <c r="P13" s="658">
        <f>'Haver Pivoted'!HA29</f>
        <v>281.2</v>
      </c>
      <c r="Q13" s="658">
        <f>'Haver Pivoted'!HB29</f>
        <v>280.8</v>
      </c>
      <c r="R13" s="807">
        <f t="shared" si="3"/>
        <v>277.85999071270419</v>
      </c>
      <c r="S13" s="726">
        <f t="shared" si="3"/>
        <v>274.95076367116832</v>
      </c>
      <c r="T13" s="726">
        <f t="shared" si="4"/>
        <v>285.05756137496093</v>
      </c>
      <c r="U13" s="726">
        <f t="shared" si="4"/>
        <v>295.53587053942931</v>
      </c>
      <c r="V13" s="726">
        <f t="shared" si="4"/>
        <v>306.39934739570208</v>
      </c>
      <c r="W13" s="726">
        <f t="shared" si="4"/>
        <v>317.66215015847598</v>
      </c>
      <c r="X13" s="726">
        <f t="shared" si="5"/>
        <v>321.40697249719227</v>
      </c>
      <c r="Y13" s="726">
        <f t="shared" si="5"/>
        <v>325.19594140590931</v>
      </c>
      <c r="Z13" s="726">
        <f t="shared" si="5"/>
        <v>329.0295773150952</v>
      </c>
      <c r="AA13" s="726">
        <f t="shared" si="5"/>
        <v>332.90840679041435</v>
      </c>
      <c r="AB13" s="726">
        <f t="shared" si="6"/>
        <v>333.79921579384455</v>
      </c>
      <c r="AC13" s="726">
        <f t="shared" si="6"/>
        <v>334.69240845795861</v>
      </c>
      <c r="AD13" s="693"/>
      <c r="AE13" s="693"/>
      <c r="AF13" s="693"/>
      <c r="AG13" s="693"/>
      <c r="AH13" s="693"/>
      <c r="AI13" s="693"/>
      <c r="AJ13" s="693"/>
      <c r="AK13" s="693"/>
      <c r="AL13" s="693"/>
      <c r="AM13" s="693"/>
      <c r="AN13" s="693"/>
      <c r="AO13" s="693"/>
      <c r="AP13" s="693"/>
      <c r="AQ13" s="693"/>
      <c r="AR13" s="693"/>
      <c r="AS13" s="693"/>
      <c r="AT13" s="693"/>
      <c r="AU13" s="693"/>
      <c r="AV13" s="693"/>
      <c r="AW13" s="693"/>
      <c r="AX13" s="693"/>
      <c r="AY13" s="693"/>
      <c r="AZ13" s="693"/>
      <c r="BA13" s="693"/>
      <c r="BB13" s="693"/>
      <c r="BC13" s="693"/>
    </row>
    <row r="14" spans="4:56" x14ac:dyDescent="0.3">
      <c r="D14" s="379"/>
      <c r="E14" s="71"/>
      <c r="F14" s="717"/>
      <c r="G14" s="814"/>
      <c r="H14" s="814"/>
      <c r="I14" s="814"/>
      <c r="J14" s="814"/>
      <c r="K14" s="814"/>
      <c r="L14" s="814"/>
      <c r="M14" s="814"/>
      <c r="N14" s="814"/>
      <c r="O14" s="814"/>
      <c r="P14" s="814"/>
      <c r="Q14" s="810"/>
      <c r="R14" s="811"/>
      <c r="S14" s="687"/>
      <c r="T14" s="688"/>
      <c r="U14" s="689"/>
      <c r="V14" s="687"/>
      <c r="W14" s="687"/>
      <c r="X14" s="687"/>
      <c r="Y14" s="687"/>
      <c r="Z14" s="687"/>
      <c r="AA14" s="687"/>
      <c r="AB14" s="687"/>
      <c r="AC14" s="782"/>
      <c r="AD14" s="672"/>
      <c r="AE14" s="672"/>
      <c r="AF14" s="672"/>
      <c r="AG14" s="672"/>
      <c r="AH14" s="672"/>
      <c r="AI14" s="672"/>
      <c r="AJ14" s="672"/>
      <c r="AK14" s="672"/>
      <c r="AL14" s="672"/>
      <c r="AM14" s="672"/>
      <c r="AN14" s="672"/>
      <c r="AO14" s="672"/>
      <c r="AP14" s="672"/>
      <c r="AQ14" s="672"/>
      <c r="AR14" s="672"/>
      <c r="AS14" s="672"/>
      <c r="AT14" s="672"/>
      <c r="AU14" s="672"/>
      <c r="AV14" s="672"/>
      <c r="AW14" s="672"/>
      <c r="AX14" s="672"/>
      <c r="AY14" s="672"/>
      <c r="AZ14" s="672"/>
      <c r="BA14" s="672"/>
      <c r="BB14" s="672"/>
      <c r="BC14" s="672"/>
    </row>
    <row r="15" spans="4:56" x14ac:dyDescent="0.3">
      <c r="D15" s="677" t="s">
        <v>536</v>
      </c>
      <c r="E15" s="72"/>
      <c r="F15" s="717"/>
      <c r="G15" s="814"/>
      <c r="H15" s="814"/>
      <c r="I15" s="814"/>
      <c r="J15" s="814"/>
      <c r="K15" s="814"/>
      <c r="L15" s="814"/>
      <c r="M15" s="814"/>
      <c r="N15" s="814"/>
      <c r="O15" s="814"/>
      <c r="P15" s="814"/>
      <c r="Q15" s="814"/>
      <c r="R15" s="811"/>
      <c r="S15" s="686"/>
      <c r="T15" s="686"/>
      <c r="U15" s="686"/>
      <c r="V15" s="686"/>
      <c r="W15" s="686"/>
      <c r="X15" s="686"/>
      <c r="Y15" s="686"/>
      <c r="Z15" s="686"/>
      <c r="AA15" s="686"/>
      <c r="AB15" s="686"/>
      <c r="AC15" s="780"/>
    </row>
    <row r="16" spans="4:56" ht="14.4" customHeight="1" x14ac:dyDescent="0.3">
      <c r="D16" s="683" t="s">
        <v>545</v>
      </c>
      <c r="E16" s="704"/>
      <c r="F16" s="778">
        <f t="shared" ref="F16:P16" si="7">SUM(F18:F20)</f>
        <v>1890.1</v>
      </c>
      <c r="G16" s="658">
        <f t="shared" si="7"/>
        <v>1889.7999999999997</v>
      </c>
      <c r="H16" s="658">
        <f t="shared" si="7"/>
        <v>1893.3000000000002</v>
      </c>
      <c r="I16" s="658">
        <f t="shared" si="7"/>
        <v>1915.1999999999998</v>
      </c>
      <c r="J16" s="658">
        <f t="shared" si="7"/>
        <v>1858.8000000000002</v>
      </c>
      <c r="K16" s="658">
        <f t="shared" si="7"/>
        <v>1932.2</v>
      </c>
      <c r="L16" s="658">
        <f t="shared" si="7"/>
        <v>1943.7</v>
      </c>
      <c r="M16" s="658">
        <f t="shared" si="7"/>
        <v>1995.3000000000002</v>
      </c>
      <c r="N16" s="658">
        <f t="shared" si="7"/>
        <v>2066.8000000000002</v>
      </c>
      <c r="O16" s="658">
        <f t="shared" si="7"/>
        <v>2109.4</v>
      </c>
      <c r="P16" s="658">
        <f t="shared" si="7"/>
        <v>2167.1</v>
      </c>
      <c r="Q16" s="658">
        <f>SUM(Q17:Q20)</f>
        <v>2223</v>
      </c>
      <c r="R16" s="816">
        <f t="shared" ref="R16:AC16" si="8">SUM(R17:R20)</f>
        <v>2296.1000000000004</v>
      </c>
      <c r="S16" s="691">
        <f t="shared" si="8"/>
        <v>2325.0429070919831</v>
      </c>
      <c r="T16" s="691">
        <f t="shared" si="8"/>
        <v>2356.0861302329859</v>
      </c>
      <c r="U16" s="691">
        <f t="shared" si="8"/>
        <v>2384.0372552072472</v>
      </c>
      <c r="V16" s="691">
        <f t="shared" si="8"/>
        <v>2411.6786553751663</v>
      </c>
      <c r="W16" s="691">
        <f t="shared" si="8"/>
        <v>2438.5516676866955</v>
      </c>
      <c r="X16" s="691">
        <f t="shared" si="8"/>
        <v>2463.5370168392024</v>
      </c>
      <c r="Y16" s="691">
        <f t="shared" si="8"/>
        <v>2488.1193988660461</v>
      </c>
      <c r="Z16" s="691">
        <f t="shared" si="8"/>
        <v>2510.9601276757567</v>
      </c>
      <c r="AA16" s="691">
        <f t="shared" si="8"/>
        <v>2533.6230452194436</v>
      </c>
      <c r="AB16" s="691">
        <f t="shared" si="8"/>
        <v>2557.3431689839808</v>
      </c>
      <c r="AC16" s="691">
        <f t="shared" si="8"/>
        <v>2580.651540101906</v>
      </c>
    </row>
    <row r="17" spans="4:40" ht="42" customHeight="1" x14ac:dyDescent="0.3">
      <c r="D17" s="668" t="s">
        <v>903</v>
      </c>
      <c r="E17" s="704"/>
      <c r="F17" s="778"/>
      <c r="G17" s="658"/>
      <c r="H17" s="658"/>
      <c r="I17" s="658"/>
      <c r="J17" s="658"/>
      <c r="K17" s="658"/>
      <c r="L17" s="658"/>
      <c r="M17" s="658"/>
      <c r="N17" s="658"/>
      <c r="O17" s="658"/>
      <c r="P17" s="658"/>
      <c r="Q17" s="365"/>
      <c r="R17" s="419">
        <v>20</v>
      </c>
      <c r="S17" s="406">
        <v>20</v>
      </c>
      <c r="T17" s="406">
        <v>20</v>
      </c>
      <c r="U17" s="406">
        <v>20</v>
      </c>
      <c r="V17" s="406">
        <v>20</v>
      </c>
      <c r="W17" s="406">
        <v>20</v>
      </c>
      <c r="X17" s="406">
        <v>20</v>
      </c>
      <c r="Y17" s="406">
        <v>20</v>
      </c>
      <c r="Z17" s="406">
        <v>20</v>
      </c>
      <c r="AA17" s="406">
        <v>20</v>
      </c>
      <c r="AB17" s="406">
        <v>20</v>
      </c>
      <c r="AC17" s="406">
        <v>20</v>
      </c>
    </row>
    <row r="18" spans="4:40" x14ac:dyDescent="0.3">
      <c r="D18" s="487" t="s">
        <v>550</v>
      </c>
      <c r="E18" s="72" t="s">
        <v>551</v>
      </c>
      <c r="F18" s="722">
        <f>'Haver Pivoted'!GQ33</f>
        <v>520.9</v>
      </c>
      <c r="G18" s="806">
        <f>'Haver Pivoted'!GR33</f>
        <v>497.4</v>
      </c>
      <c r="H18" s="806">
        <f>'Haver Pivoted'!GS33</f>
        <v>494.7</v>
      </c>
      <c r="I18" s="806">
        <f>'Haver Pivoted'!GT33</f>
        <v>503.8</v>
      </c>
      <c r="J18" s="806">
        <f>'Haver Pivoted'!GU33</f>
        <v>517.5</v>
      </c>
      <c r="K18" s="806">
        <f>'Haver Pivoted'!GV33</f>
        <v>519.6</v>
      </c>
      <c r="L18" s="806">
        <f>'Haver Pivoted'!GW33</f>
        <v>522.79999999999995</v>
      </c>
      <c r="M18" s="806">
        <f>'Haver Pivoted'!GX33</f>
        <v>560.20000000000005</v>
      </c>
      <c r="N18" s="806">
        <f>'Haver Pivoted'!GY33</f>
        <v>586.4</v>
      </c>
      <c r="O18" s="806">
        <f>'Haver Pivoted'!GZ33</f>
        <v>605.1</v>
      </c>
      <c r="P18" s="806">
        <f>'Haver Pivoted'!HA33</f>
        <v>629.1</v>
      </c>
      <c r="Q18" s="806">
        <f>'Haver Pivoted'!HB33</f>
        <v>655.1</v>
      </c>
      <c r="R18" s="813">
        <f>'Haver Pivoted'!HC33</f>
        <v>683.7</v>
      </c>
      <c r="S18" s="690">
        <f t="shared" ref="S18:AC18" si="9">$Q100*S109*(S85/$Q85)</f>
        <v>691.19832078594516</v>
      </c>
      <c r="T18" s="690">
        <f t="shared" si="9"/>
        <v>700.15454760155546</v>
      </c>
      <c r="U18" s="690">
        <f t="shared" si="9"/>
        <v>709.03799243852882</v>
      </c>
      <c r="V18" s="690">
        <f t="shared" si="9"/>
        <v>717.97400203785116</v>
      </c>
      <c r="W18" s="690">
        <f t="shared" si="9"/>
        <v>726.76040423664165</v>
      </c>
      <c r="X18" s="690">
        <f t="shared" si="9"/>
        <v>734.78259565974361</v>
      </c>
      <c r="Y18" s="690">
        <f t="shared" si="9"/>
        <v>742.74009199072373</v>
      </c>
      <c r="Z18" s="690">
        <f t="shared" si="9"/>
        <v>750.06276773025866</v>
      </c>
      <c r="AA18" s="690">
        <f t="shared" si="9"/>
        <v>757.5714418596441</v>
      </c>
      <c r="AB18" s="690">
        <f t="shared" si="9"/>
        <v>765.18928895698468</v>
      </c>
      <c r="AC18" s="690">
        <f t="shared" si="9"/>
        <v>772.52813846955041</v>
      </c>
    </row>
    <row r="19" spans="4:40" x14ac:dyDescent="0.3">
      <c r="D19" s="487" t="s">
        <v>547</v>
      </c>
      <c r="E19" s="72" t="s">
        <v>552</v>
      </c>
      <c r="F19" s="722">
        <f>'Haver Pivoted'!GQ36</f>
        <v>20.5</v>
      </c>
      <c r="G19" s="806">
        <f>'Haver Pivoted'!GR36</f>
        <v>20.3</v>
      </c>
      <c r="H19" s="806">
        <f>'Haver Pivoted'!GS36</f>
        <v>20.2</v>
      </c>
      <c r="I19" s="806">
        <f>'Haver Pivoted'!GT36</f>
        <v>20.100000000000001</v>
      </c>
      <c r="J19" s="806">
        <f>'Haver Pivoted'!GU36</f>
        <v>19.100000000000001</v>
      </c>
      <c r="K19" s="806">
        <f>'Haver Pivoted'!GV36</f>
        <v>19.899999999999999</v>
      </c>
      <c r="L19" s="806">
        <f>'Haver Pivoted'!GW36</f>
        <v>20.5</v>
      </c>
      <c r="M19" s="806">
        <f>'Haver Pivoted'!GX36</f>
        <v>21.2</v>
      </c>
      <c r="N19" s="806">
        <f>'Haver Pivoted'!GY36</f>
        <v>21.9</v>
      </c>
      <c r="O19" s="806">
        <f>'Haver Pivoted'!GZ36</f>
        <v>22.5</v>
      </c>
      <c r="P19" s="806">
        <f>'Haver Pivoted'!HA36</f>
        <v>22.8</v>
      </c>
      <c r="Q19" s="806">
        <f>'Haver Pivoted'!HB36</f>
        <v>22.9</v>
      </c>
      <c r="R19" s="813">
        <f>'Haver Pivoted'!HC36</f>
        <v>22.7</v>
      </c>
      <c r="S19" s="690">
        <f t="shared" ref="S19:AC19" si="10">$Q101*S110*(S86/$Q86)</f>
        <v>22.944154052207921</v>
      </c>
      <c r="T19" s="690">
        <f t="shared" si="10"/>
        <v>23.193652776972666</v>
      </c>
      <c r="U19" s="690">
        <f t="shared" si="10"/>
        <v>23.430180000206178</v>
      </c>
      <c r="V19" s="690">
        <f t="shared" si="10"/>
        <v>23.664072387191162</v>
      </c>
      <c r="W19" s="690">
        <f t="shared" si="10"/>
        <v>23.88783078860487</v>
      </c>
      <c r="X19" s="690">
        <f t="shared" si="10"/>
        <v>24.076322920230545</v>
      </c>
      <c r="Y19" s="690">
        <f t="shared" si="10"/>
        <v>24.276975834541755</v>
      </c>
      <c r="Z19" s="690">
        <f t="shared" si="10"/>
        <v>24.477426069141536</v>
      </c>
      <c r="AA19" s="690">
        <f t="shared" si="10"/>
        <v>24.682943296526954</v>
      </c>
      <c r="AB19" s="690">
        <f t="shared" si="10"/>
        <v>24.886636406509542</v>
      </c>
      <c r="AC19" s="690">
        <f t="shared" si="10"/>
        <v>25.086681281686474</v>
      </c>
    </row>
    <row r="20" spans="4:40" x14ac:dyDescent="0.3">
      <c r="D20" s="487" t="s">
        <v>548</v>
      </c>
      <c r="E20" s="72" t="s">
        <v>553</v>
      </c>
      <c r="F20" s="722">
        <f>'Haver Pivoted'!GQ34</f>
        <v>1348.7</v>
      </c>
      <c r="G20" s="806">
        <f>'Haver Pivoted'!GR34</f>
        <v>1372.1</v>
      </c>
      <c r="H20" s="806">
        <f>'Haver Pivoted'!GS34</f>
        <v>1378.4</v>
      </c>
      <c r="I20" s="806">
        <f>'Haver Pivoted'!GT34</f>
        <v>1391.3</v>
      </c>
      <c r="J20" s="806">
        <f>'Haver Pivoted'!GU34</f>
        <v>1322.2</v>
      </c>
      <c r="K20" s="806">
        <f>'Haver Pivoted'!GV34</f>
        <v>1392.7</v>
      </c>
      <c r="L20" s="806">
        <f>'Haver Pivoted'!GW34</f>
        <v>1400.4</v>
      </c>
      <c r="M20" s="806">
        <f>'Haver Pivoted'!GX34</f>
        <v>1413.9</v>
      </c>
      <c r="N20" s="806">
        <f>'Haver Pivoted'!GY34</f>
        <v>1458.5</v>
      </c>
      <c r="O20" s="806">
        <f>'Haver Pivoted'!GZ34</f>
        <v>1481.8</v>
      </c>
      <c r="P20" s="806">
        <f>'Haver Pivoted'!HA34</f>
        <v>1515.2</v>
      </c>
      <c r="Q20" s="806">
        <f>'Haver Pivoted'!HB34</f>
        <v>1545</v>
      </c>
      <c r="R20" s="813">
        <f>'Haver Pivoted'!HC34</f>
        <v>1569.7</v>
      </c>
      <c r="S20" s="690">
        <f t="shared" ref="S20:AC20" si="11">$Q106*S111*(S88/$Q88)</f>
        <v>1590.9004322538301</v>
      </c>
      <c r="T20" s="690">
        <f t="shared" si="11"/>
        <v>1612.7379298544579</v>
      </c>
      <c r="U20" s="690">
        <f t="shared" si="11"/>
        <v>1631.5690827685123</v>
      </c>
      <c r="V20" s="690">
        <f t="shared" si="11"/>
        <v>1650.0405809501242</v>
      </c>
      <c r="W20" s="690">
        <f t="shared" si="11"/>
        <v>1667.9034326614487</v>
      </c>
      <c r="X20" s="690">
        <f t="shared" si="11"/>
        <v>1684.6780982592281</v>
      </c>
      <c r="Y20" s="690">
        <f t="shared" si="11"/>
        <v>1701.1023310407809</v>
      </c>
      <c r="Z20" s="690">
        <f t="shared" si="11"/>
        <v>1716.4199338763565</v>
      </c>
      <c r="AA20" s="690">
        <f t="shared" si="11"/>
        <v>1731.3686600632725</v>
      </c>
      <c r="AB20" s="690">
        <f t="shared" si="11"/>
        <v>1747.2672436204864</v>
      </c>
      <c r="AC20" s="690">
        <f t="shared" si="11"/>
        <v>1763.0367203506694</v>
      </c>
    </row>
    <row r="21" spans="4:40" ht="14.4" customHeight="1" x14ac:dyDescent="0.3">
      <c r="D21" s="694" t="s">
        <v>549</v>
      </c>
      <c r="E21" s="721" t="s">
        <v>554</v>
      </c>
      <c r="F21" s="779">
        <f>'Haver Pivoted'!GQ35</f>
        <v>72.8</v>
      </c>
      <c r="G21" s="718">
        <f>'Haver Pivoted'!GR35</f>
        <v>73.099999999999994</v>
      </c>
      <c r="H21" s="718">
        <f>'Haver Pivoted'!GS35</f>
        <v>72.400000000000006</v>
      </c>
      <c r="I21" s="718">
        <f>'Haver Pivoted'!GT35</f>
        <v>66.5</v>
      </c>
      <c r="J21" s="718">
        <f>'Haver Pivoted'!GU35</f>
        <v>61.9</v>
      </c>
      <c r="K21" s="718">
        <f>'Haver Pivoted'!GV35</f>
        <v>76.8</v>
      </c>
      <c r="L21" s="718">
        <f>'Haver Pivoted'!GW35</f>
        <v>78.8</v>
      </c>
      <c r="M21" s="718">
        <f>'Haver Pivoted'!GX35</f>
        <v>85.5</v>
      </c>
      <c r="N21" s="718">
        <f>'Haver Pivoted'!GY35</f>
        <v>91.9</v>
      </c>
      <c r="O21" s="718">
        <f>'Haver Pivoted'!GZ35</f>
        <v>95.3</v>
      </c>
      <c r="P21" s="718">
        <f>'Haver Pivoted'!HA35</f>
        <v>115.4</v>
      </c>
      <c r="Q21" s="718">
        <f>'Haver Pivoted'!HB35</f>
        <v>175.6</v>
      </c>
      <c r="R21" s="815">
        <f>$Q107*R112*(R89/$Q89)</f>
        <v>122.20997037990983</v>
      </c>
      <c r="S21" s="804">
        <f t="shared" ref="S21:AC21" si="12">$Q107*S112*(S89/$Q89)</f>
        <v>124.65901738570506</v>
      </c>
      <c r="T21" s="804">
        <f t="shared" si="12"/>
        <v>113.01114784288472</v>
      </c>
      <c r="U21" s="804">
        <f t="shared" si="12"/>
        <v>112.80663979394718</v>
      </c>
      <c r="V21" s="804">
        <f t="shared" si="12"/>
        <v>112.1976602704443</v>
      </c>
      <c r="W21" s="804">
        <f t="shared" si="12"/>
        <v>111.51596677398582</v>
      </c>
      <c r="X21" s="804">
        <f t="shared" si="12"/>
        <v>110.92062112041209</v>
      </c>
      <c r="Y21" s="804">
        <f t="shared" si="12"/>
        <v>110.4070786864134</v>
      </c>
      <c r="Z21" s="804">
        <f t="shared" si="12"/>
        <v>110.27528461043141</v>
      </c>
      <c r="AA21" s="804">
        <f t="shared" si="12"/>
        <v>109.88899162910495</v>
      </c>
      <c r="AB21" s="804">
        <f t="shared" si="12"/>
        <v>110.49342652929813</v>
      </c>
      <c r="AC21" s="804">
        <f t="shared" si="12"/>
        <v>110.89335338055375</v>
      </c>
    </row>
    <row r="22" spans="4:40" ht="14.4" customHeight="1" x14ac:dyDescent="0.3">
      <c r="D22" s="703"/>
      <c r="E22" s="704"/>
      <c r="F22" s="658"/>
      <c r="G22" s="658"/>
      <c r="H22" s="658"/>
      <c r="I22" s="658"/>
      <c r="J22" s="658"/>
      <c r="K22" s="658"/>
      <c r="L22" s="658"/>
      <c r="M22" s="658"/>
    </row>
    <row r="23" spans="4:40" ht="14.4" customHeight="1" x14ac:dyDescent="0.3">
      <c r="D23" s="703"/>
      <c r="E23" s="704"/>
      <c r="F23" s="705"/>
      <c r="G23" s="705"/>
      <c r="H23" s="658"/>
      <c r="I23" s="658"/>
      <c r="J23" s="658"/>
      <c r="K23" s="658"/>
      <c r="L23" s="658"/>
      <c r="Q23" s="154" t="s">
        <v>328</v>
      </c>
      <c r="R23" s="280" t="s">
        <v>329</v>
      </c>
      <c r="S23" s="280" t="s">
        <v>238</v>
      </c>
      <c r="T23" s="280" t="s">
        <v>327</v>
      </c>
      <c r="U23" s="279" t="s">
        <v>328</v>
      </c>
      <c r="V23" s="280" t="s">
        <v>329</v>
      </c>
      <c r="W23" s="280" t="s">
        <v>238</v>
      </c>
      <c r="X23" s="280" t="s">
        <v>327</v>
      </c>
      <c r="Y23" s="279" t="s">
        <v>328</v>
      </c>
      <c r="Z23" s="275" t="s">
        <v>329</v>
      </c>
      <c r="AA23" s="280" t="s">
        <v>238</v>
      </c>
      <c r="AB23" s="280" t="s">
        <v>327</v>
      </c>
      <c r="AC23" s="283" t="s">
        <v>328</v>
      </c>
      <c r="AD23" s="430"/>
      <c r="AE23" s="430"/>
      <c r="AF23" s="430"/>
      <c r="AG23" s="430"/>
      <c r="AH23" s="430"/>
      <c r="AI23" s="430"/>
      <c r="AJ23" s="430"/>
      <c r="AK23" s="430"/>
      <c r="AL23" s="261"/>
      <c r="AM23" s="261"/>
      <c r="AN23" s="261"/>
    </row>
    <row r="24" spans="4:40" ht="14.4" customHeight="1" x14ac:dyDescent="0.3">
      <c r="D24" s="182"/>
      <c r="E24" s="147"/>
      <c r="F24" s="147"/>
      <c r="G24" s="147"/>
      <c r="H24" s="147"/>
      <c r="I24" s="147"/>
      <c r="J24" s="147"/>
      <c r="K24" s="147"/>
      <c r="L24" s="147"/>
      <c r="Q24" s="808"/>
      <c r="R24" s="686"/>
      <c r="S24" s="686"/>
      <c r="T24" s="686"/>
      <c r="U24" s="686"/>
      <c r="V24" s="686"/>
      <c r="W24" s="686"/>
      <c r="X24" s="686"/>
      <c r="Y24" s="686"/>
      <c r="Z24" s="686"/>
      <c r="AA24" s="686"/>
      <c r="AB24" s="686"/>
      <c r="AC24" s="780"/>
      <c r="AD24" s="261"/>
      <c r="AE24" s="261"/>
      <c r="AF24" s="261"/>
      <c r="AG24" s="261"/>
      <c r="AH24" s="261"/>
      <c r="AI24" s="261"/>
      <c r="AJ24" s="261"/>
      <c r="AK24" s="261"/>
      <c r="AL24" s="261"/>
      <c r="AM24" s="261"/>
      <c r="AN24" s="261"/>
    </row>
    <row r="25" spans="4:40" ht="14.4" customHeight="1" x14ac:dyDescent="0.3">
      <c r="D25" s="1064" t="s">
        <v>1020</v>
      </c>
      <c r="E25" s="1065"/>
      <c r="F25" s="1066"/>
      <c r="G25" s="202">
        <v>2020</v>
      </c>
      <c r="H25" s="202">
        <v>2021</v>
      </c>
      <c r="I25" s="666">
        <v>2022</v>
      </c>
      <c r="J25" s="728">
        <v>2023</v>
      </c>
      <c r="K25" s="728">
        <v>2024</v>
      </c>
      <c r="L25" s="729">
        <v>2025</v>
      </c>
      <c r="Q25" s="812">
        <v>4280.8999999999996</v>
      </c>
      <c r="R25" s="692">
        <v>4458.7779085933998</v>
      </c>
      <c r="S25" s="692">
        <v>4644.8949029259966</v>
      </c>
      <c r="T25" s="692">
        <v>4667.1346725158392</v>
      </c>
      <c r="U25" s="692">
        <v>4689.9999947063106</v>
      </c>
      <c r="V25" s="692">
        <v>4713.5008137459645</v>
      </c>
      <c r="W25" s="692">
        <v>4737.6472536639967</v>
      </c>
      <c r="X25" s="692">
        <v>4745.300617315711</v>
      </c>
      <c r="Y25" s="692">
        <v>4753.128995996286</v>
      </c>
      <c r="Z25" s="692">
        <v>4761.1334239026901</v>
      </c>
      <c r="AA25" s="692">
        <v>4769.3149452734779</v>
      </c>
      <c r="AB25" s="692">
        <v>4781.6452920978782</v>
      </c>
      <c r="AC25" s="781">
        <v>4794.0641087852446</v>
      </c>
      <c r="AD25" s="261"/>
      <c r="AE25" s="261"/>
      <c r="AF25" s="261"/>
      <c r="AG25" s="261"/>
      <c r="AH25" s="261"/>
      <c r="AI25" s="261"/>
      <c r="AJ25" s="261"/>
      <c r="AK25" s="261"/>
      <c r="AL25" s="261"/>
      <c r="AM25" s="261"/>
      <c r="AN25" s="261"/>
    </row>
    <row r="26" spans="4:40" ht="14.4" customHeight="1" x14ac:dyDescent="0.3">
      <c r="D26" s="667" t="s">
        <v>555</v>
      </c>
      <c r="E26" s="288"/>
      <c r="F26" s="649"/>
      <c r="G26" s="661">
        <f>AVERAGE(H10:K10)</f>
        <v>1677.55</v>
      </c>
      <c r="H26" s="160">
        <v>1877.8879999999999</v>
      </c>
      <c r="I26" s="160">
        <f>H26*I39/H39</f>
        <v>2408.9346874084385</v>
      </c>
      <c r="J26" s="160">
        <f t="shared" ref="J26:L26" si="13">I26*J39/I39</f>
        <v>2368.8146341227671</v>
      </c>
      <c r="K26" s="160">
        <f t="shared" si="13"/>
        <v>2334.7056536832492</v>
      </c>
      <c r="L26" s="153">
        <f t="shared" si="13"/>
        <v>2332.341273868763</v>
      </c>
      <c r="M26" t="s">
        <v>1000</v>
      </c>
      <c r="Q26" s="813">
        <v>2405.9</v>
      </c>
      <c r="R26" s="726">
        <v>2535.1273974734281</v>
      </c>
      <c r="S26" s="726">
        <v>2671.2959480528684</v>
      </c>
      <c r="T26" s="726">
        <v>2660.1034008353699</v>
      </c>
      <c r="U26" s="726">
        <v>2648.957749624773</v>
      </c>
      <c r="V26" s="726">
        <v>2637.8587979300178</v>
      </c>
      <c r="W26" s="726">
        <v>2626.8063500833291</v>
      </c>
      <c r="X26" s="726">
        <v>2617.2988954567095</v>
      </c>
      <c r="Y26" s="726">
        <v>2607.8258520814084</v>
      </c>
      <c r="Z26" s="726">
        <v>2598.3870954094509</v>
      </c>
      <c r="AA26" s="726">
        <v>2588.9825013436512</v>
      </c>
      <c r="AB26" s="726">
        <v>2588.3267801386628</v>
      </c>
      <c r="AC26" s="726">
        <v>2587.671225010617</v>
      </c>
      <c r="AD26" s="261"/>
      <c r="AE26" s="261"/>
    </row>
    <row r="27" spans="4:40" ht="14.4" customHeight="1" x14ac:dyDescent="0.3">
      <c r="D27" s="762" t="s">
        <v>563</v>
      </c>
      <c r="E27" s="149"/>
      <c r="F27" s="156"/>
      <c r="G27" s="661">
        <f>AVERAGE(H11:K11)</f>
        <v>1429.7250000000001</v>
      </c>
      <c r="H27" s="160">
        <v>1529.57</v>
      </c>
      <c r="I27" s="160">
        <f t="shared" ref="I27:L27" si="14">H27*I40/H40</f>
        <v>1704.7545636289196</v>
      </c>
      <c r="J27" s="160">
        <f t="shared" si="14"/>
        <v>1829.4015146626407</v>
      </c>
      <c r="K27" s="160">
        <f t="shared" si="14"/>
        <v>1891.4438894046671</v>
      </c>
      <c r="L27" s="153">
        <f t="shared" si="14"/>
        <v>1942.728776109363</v>
      </c>
      <c r="Q27" s="813">
        <v>1681.8</v>
      </c>
      <c r="R27" s="726">
        <v>1722.9537441038538</v>
      </c>
      <c r="S27" s="726">
        <v>1765.1145227265358</v>
      </c>
      <c r="T27" s="726">
        <v>1796.5308583854571</v>
      </c>
      <c r="U27" s="726">
        <v>1828.5063567125942</v>
      </c>
      <c r="V27" s="726">
        <v>1861.0509699472188</v>
      </c>
      <c r="W27" s="726">
        <v>1894.1748274632228</v>
      </c>
      <c r="X27" s="726">
        <v>1910.0343064969477</v>
      </c>
      <c r="Y27" s="726">
        <v>1926.0265732076994</v>
      </c>
      <c r="Z27" s="726">
        <v>1942.1527393953754</v>
      </c>
      <c r="AA27" s="726">
        <v>1958.4139261687121</v>
      </c>
      <c r="AB27" s="726">
        <v>1971.5562231551073</v>
      </c>
      <c r="AC27" s="726">
        <v>1984.786713943523</v>
      </c>
      <c r="AD27" s="261"/>
      <c r="AE27" s="261"/>
    </row>
    <row r="28" spans="4:40" ht="14.4" customHeight="1" x14ac:dyDescent="0.3">
      <c r="D28" s="762" t="s">
        <v>105</v>
      </c>
      <c r="E28" s="149"/>
      <c r="F28" s="156"/>
      <c r="G28" s="661">
        <f>AVERAGE(H12:K12)</f>
        <v>163.32500000000002</v>
      </c>
      <c r="H28" s="160">
        <v>168.43899999999999</v>
      </c>
      <c r="I28" s="160">
        <f t="shared" ref="I28:L28" si="15">H28*I41/H41</f>
        <v>197.82868117790269</v>
      </c>
      <c r="J28" s="160">
        <f t="shared" si="15"/>
        <v>205.59215694420288</v>
      </c>
      <c r="K28" s="160">
        <f t="shared" si="15"/>
        <v>210.57614348282542</v>
      </c>
      <c r="L28" s="153">
        <f t="shared" si="15"/>
        <v>209.98379331954985</v>
      </c>
      <c r="Q28" s="813">
        <v>193.2</v>
      </c>
      <c r="R28" s="726">
        <v>200.69676701611726</v>
      </c>
      <c r="S28" s="726">
        <v>208.48443214659244</v>
      </c>
      <c r="T28" s="726">
        <v>210.50041329501161</v>
      </c>
      <c r="U28" s="726">
        <v>212.53588836894326</v>
      </c>
      <c r="V28" s="726">
        <v>214.59104586872741</v>
      </c>
      <c r="W28" s="726">
        <v>216.66607611744507</v>
      </c>
      <c r="X28" s="726">
        <v>217.9674153620532</v>
      </c>
      <c r="Y28" s="726">
        <v>219.27657070717834</v>
      </c>
      <c r="Z28" s="726">
        <v>220.59358909786386</v>
      </c>
      <c r="AA28" s="726">
        <v>221.91851776111432</v>
      </c>
      <c r="AB28" s="726">
        <v>221.76228880410801</v>
      </c>
      <c r="AC28" s="726">
        <v>221.60616983110509</v>
      </c>
      <c r="AD28" s="261"/>
      <c r="AE28" s="261"/>
    </row>
    <row r="29" spans="4:40" ht="14.4" customHeight="1" x14ac:dyDescent="0.3">
      <c r="D29" s="762" t="s">
        <v>303</v>
      </c>
      <c r="E29" s="149"/>
      <c r="F29" s="156"/>
      <c r="G29" s="661">
        <f>AVERAGE(H13:K13)</f>
        <v>194.3</v>
      </c>
      <c r="H29" s="160">
        <v>259.06299999999999</v>
      </c>
      <c r="I29" s="160">
        <f>H29*I44/H44</f>
        <v>275.06601762628719</v>
      </c>
      <c r="J29" s="160">
        <f t="shared" ref="J29:L29" si="16">I29*J44/I44</f>
        <v>317.79530788718529</v>
      </c>
      <c r="K29" s="160">
        <f t="shared" si="16"/>
        <v>333.04795545019101</v>
      </c>
      <c r="L29" s="153">
        <f t="shared" si="16"/>
        <v>336.62701860253719</v>
      </c>
      <c r="Q29" s="658">
        <v>280.8</v>
      </c>
      <c r="R29" s="726">
        <v>277.85999071270419</v>
      </c>
      <c r="S29" s="726">
        <v>274.95076367116832</v>
      </c>
      <c r="T29" s="726">
        <v>285.05756137496093</v>
      </c>
      <c r="U29" s="726">
        <v>295.53587053942931</v>
      </c>
      <c r="V29" s="726">
        <v>306.39934739570208</v>
      </c>
      <c r="W29" s="726">
        <v>317.66215015847598</v>
      </c>
      <c r="X29" s="726">
        <v>321.40697249719227</v>
      </c>
      <c r="Y29" s="726">
        <v>325.19594140590931</v>
      </c>
      <c r="Z29" s="726">
        <v>329.0295773150952</v>
      </c>
      <c r="AA29" s="726">
        <v>332.90840679041435</v>
      </c>
      <c r="AB29" s="726">
        <v>333.79921579384455</v>
      </c>
      <c r="AC29" s="726">
        <v>334.69240845795861</v>
      </c>
      <c r="AD29" s="261"/>
      <c r="AE29" s="261"/>
    </row>
    <row r="30" spans="4:40" ht="14.4" customHeight="1" x14ac:dyDescent="0.3">
      <c r="D30" s="762" t="s">
        <v>1016</v>
      </c>
      <c r="E30" s="36"/>
      <c r="F30" s="586"/>
      <c r="G30" s="157"/>
      <c r="H30" s="662">
        <f>H26/G26-1+0.021</f>
        <v>0.140422968018837</v>
      </c>
      <c r="I30" s="662">
        <f>I26/H26-1.05</f>
        <v>0.23278932897405946</v>
      </c>
      <c r="J30" s="662">
        <f>J26/I26-1</f>
        <v>-1.6654687026335768E-2</v>
      </c>
      <c r="K30" s="662">
        <f>K26/J26-1</f>
        <v>-1.4399176680259473E-2</v>
      </c>
      <c r="L30" s="663">
        <f t="shared" ref="L30:L33" si="17">L26/K26-1</f>
        <v>-1.0127100222488972E-3</v>
      </c>
      <c r="M30" t="s">
        <v>999</v>
      </c>
      <c r="Q30" s="817"/>
      <c r="R30" s="687"/>
      <c r="S30" s="687"/>
      <c r="T30" s="688"/>
      <c r="U30" s="689"/>
      <c r="V30" s="687"/>
      <c r="W30" s="687"/>
      <c r="X30" s="687"/>
      <c r="Y30" s="687"/>
      <c r="Z30" s="687"/>
      <c r="AA30" s="687"/>
      <c r="AB30" s="687"/>
      <c r="AC30" s="782"/>
      <c r="AD30" s="261"/>
      <c r="AE30" s="261"/>
    </row>
    <row r="31" spans="4:40" ht="14.4" customHeight="1" x14ac:dyDescent="0.3">
      <c r="D31" s="762" t="s">
        <v>1017</v>
      </c>
      <c r="E31" s="36"/>
      <c r="F31" s="586"/>
      <c r="G31" s="157"/>
      <c r="H31" s="662">
        <f>H27/G27-1.03</f>
        <v>3.9835108150168663E-2</v>
      </c>
      <c r="I31" s="662">
        <f>I27/H27-1.013</f>
        <v>0.10153190349504748</v>
      </c>
      <c r="J31" s="662">
        <f t="shared" ref="J31:K31" si="18">J27/I27-1</f>
        <v>7.3117241445234571E-2</v>
      </c>
      <c r="K31" s="662">
        <f t="shared" si="18"/>
        <v>3.3914028300926269E-2</v>
      </c>
      <c r="L31" s="663">
        <f t="shared" ref="L31:L32" si="19">L27/K27-1</f>
        <v>2.7114146495161418E-2</v>
      </c>
      <c r="M31" t="s">
        <v>1001</v>
      </c>
      <c r="Q31" s="811"/>
      <c r="R31" s="686"/>
      <c r="S31" s="686"/>
      <c r="T31" s="686"/>
      <c r="U31" s="686"/>
      <c r="V31" s="686"/>
      <c r="W31" s="686"/>
      <c r="X31" s="686"/>
      <c r="Y31" s="686"/>
      <c r="Z31" s="686"/>
      <c r="AA31" s="686"/>
      <c r="AB31" s="686"/>
      <c r="AC31" s="780"/>
      <c r="AD31" s="261"/>
      <c r="AE31" s="261"/>
    </row>
    <row r="32" spans="4:40" ht="14.4" customHeight="1" x14ac:dyDescent="0.3">
      <c r="D32" s="762" t="s">
        <v>1018</v>
      </c>
      <c r="E32" s="36"/>
      <c r="F32" s="586"/>
      <c r="G32" s="157"/>
      <c r="H32" s="662">
        <f t="shared" ref="H32:H33" si="20">H28/G28-1</f>
        <v>3.1311801622531554E-2</v>
      </c>
      <c r="I32" s="662">
        <f>I28/H28-1.01</f>
        <v>0.16448263868761215</v>
      </c>
      <c r="J32" s="662">
        <f t="shared" ref="J32:K32" si="21">J28/I28-1</f>
        <v>3.9243428809590419E-2</v>
      </c>
      <c r="K32" s="662">
        <f t="shared" si="21"/>
        <v>2.4242104429962108E-2</v>
      </c>
      <c r="L32" s="663">
        <f t="shared" si="19"/>
        <v>-2.8129974909711919E-3</v>
      </c>
      <c r="Q32" s="816">
        <v>2223</v>
      </c>
      <c r="R32" s="691">
        <v>2282.2853945908828</v>
      </c>
      <c r="S32" s="691">
        <v>2316.2398568327635</v>
      </c>
      <c r="T32" s="691">
        <v>2347.1723061074072</v>
      </c>
      <c r="U32" s="691">
        <v>2375.0026007192837</v>
      </c>
      <c r="V32" s="691">
        <v>2402.5205700881256</v>
      </c>
      <c r="W32" s="691">
        <v>2429.2709191895074</v>
      </c>
      <c r="X32" s="691">
        <v>2454.1455920897911</v>
      </c>
      <c r="Y32" s="691">
        <v>2478.6177566405659</v>
      </c>
      <c r="Z32" s="691">
        <v>2501.358262856993</v>
      </c>
      <c r="AA32" s="691">
        <v>2523.9155565208234</v>
      </c>
      <c r="AB32" s="691">
        <v>2547.531147300911</v>
      </c>
      <c r="AC32" s="691">
        <v>2570.7406257278276</v>
      </c>
      <c r="AD32" s="261"/>
      <c r="AE32" s="261"/>
    </row>
    <row r="33" spans="4:40" ht="14.4" customHeight="1" x14ac:dyDescent="0.3">
      <c r="D33" s="763" t="s">
        <v>1019</v>
      </c>
      <c r="E33" s="37"/>
      <c r="F33" s="577"/>
      <c r="G33" s="268"/>
      <c r="H33" s="664">
        <f t="shared" si="20"/>
        <v>0.33331446217189908</v>
      </c>
      <c r="I33" s="664">
        <f>I29/H29-1.103</f>
        <v>-4.1227312945935068E-2</v>
      </c>
      <c r="J33" s="664">
        <f>J29/I29-1</f>
        <v>0.15534194528875389</v>
      </c>
      <c r="K33" s="664">
        <f>K29/J29-1</f>
        <v>4.799519434195143E-2</v>
      </c>
      <c r="L33" s="665">
        <f t="shared" si="17"/>
        <v>1.0746389802958722E-2</v>
      </c>
      <c r="Q33" s="419"/>
      <c r="R33" s="406">
        <v>20</v>
      </c>
      <c r="S33" s="406">
        <v>20</v>
      </c>
      <c r="T33" s="406">
        <v>20</v>
      </c>
      <c r="U33" s="406">
        <v>20</v>
      </c>
      <c r="V33" s="406">
        <v>20</v>
      </c>
      <c r="W33" s="406">
        <v>20</v>
      </c>
      <c r="X33" s="406">
        <v>20</v>
      </c>
      <c r="Y33" s="406">
        <v>20</v>
      </c>
      <c r="Z33" s="406">
        <v>20</v>
      </c>
      <c r="AA33" s="406">
        <v>20</v>
      </c>
      <c r="AB33" s="406">
        <v>20</v>
      </c>
      <c r="AC33" s="406">
        <v>20</v>
      </c>
      <c r="AD33" s="261"/>
      <c r="AE33" s="261"/>
    </row>
    <row r="34" spans="4:40" ht="14.4" customHeight="1" x14ac:dyDescent="0.3">
      <c r="D34" s="703"/>
      <c r="E34" s="704"/>
      <c r="F34" s="705"/>
      <c r="G34" s="705"/>
      <c r="H34" s="658"/>
      <c r="I34" s="658"/>
      <c r="J34" s="658"/>
      <c r="K34" s="658"/>
      <c r="L34" s="658"/>
      <c r="Q34" s="813">
        <v>655.1</v>
      </c>
      <c r="R34" s="690">
        <v>666.03454143886449</v>
      </c>
      <c r="S34" s="690">
        <v>675.77126434700733</v>
      </c>
      <c r="T34" s="690">
        <v>684.52759453033525</v>
      </c>
      <c r="U34" s="690">
        <v>693.21276717718467</v>
      </c>
      <c r="V34" s="690">
        <v>701.94933137815758</v>
      </c>
      <c r="W34" s="690">
        <v>710.53962730970227</v>
      </c>
      <c r="X34" s="690">
        <v>718.38276910822265</v>
      </c>
      <c r="Y34" s="690">
        <v>726.16265976320653</v>
      </c>
      <c r="Z34" s="690">
        <v>733.32189857223875</v>
      </c>
      <c r="AA34" s="690">
        <v>740.66298441893866</v>
      </c>
      <c r="AB34" s="690">
        <v>748.11080657035598</v>
      </c>
      <c r="AC34" s="690">
        <v>755.28585816527266</v>
      </c>
      <c r="AD34" s="261"/>
      <c r="AE34" s="261"/>
    </row>
    <row r="35" spans="4:40" ht="14.4" customHeight="1" x14ac:dyDescent="0.3">
      <c r="D35" s="703"/>
      <c r="E35" s="704"/>
      <c r="F35" s="705"/>
      <c r="G35" s="705"/>
      <c r="H35" s="658"/>
      <c r="I35" s="658"/>
      <c r="J35" s="658"/>
      <c r="K35" s="658"/>
      <c r="L35" s="658"/>
      <c r="Q35" s="813">
        <v>22.9</v>
      </c>
      <c r="R35" s="690">
        <v>23.267994434289147</v>
      </c>
      <c r="S35" s="690">
        <v>23.57580188979529</v>
      </c>
      <c r="T35" s="690">
        <v>23.832169263088975</v>
      </c>
      <c r="U35" s="690">
        <v>24.075208032084692</v>
      </c>
      <c r="V35" s="690">
        <v>24.315539428332386</v>
      </c>
      <c r="W35" s="690">
        <v>24.545457852472289</v>
      </c>
      <c r="X35" s="690">
        <v>24.739139133677099</v>
      </c>
      <c r="Y35" s="690">
        <v>24.945315981411259</v>
      </c>
      <c r="Z35" s="690">
        <v>25.151284569703257</v>
      </c>
      <c r="AA35" s="690">
        <v>25.362459644049149</v>
      </c>
      <c r="AB35" s="690">
        <v>25.57176038341564</v>
      </c>
      <c r="AC35" s="690">
        <v>25.777312452823331</v>
      </c>
      <c r="AD35" s="261"/>
      <c r="AE35" s="261"/>
    </row>
    <row r="36" spans="4:40" ht="14.4" customHeight="1" x14ac:dyDescent="0.3">
      <c r="D36" s="703"/>
      <c r="E36" s="704"/>
      <c r="F36" s="705"/>
      <c r="G36" s="705"/>
      <c r="H36" s="658"/>
      <c r="I36" s="658"/>
      <c r="J36" s="658"/>
      <c r="K36" s="658"/>
      <c r="L36" s="658"/>
      <c r="Q36" s="813">
        <v>1545</v>
      </c>
      <c r="R36" s="690">
        <v>1572.982858717729</v>
      </c>
      <c r="S36" s="690">
        <v>1596.8927905959606</v>
      </c>
      <c r="T36" s="690">
        <v>1618.8125423139832</v>
      </c>
      <c r="U36" s="690">
        <v>1637.7146255100145</v>
      </c>
      <c r="V36" s="690">
        <v>1656.2556992816355</v>
      </c>
      <c r="W36" s="690">
        <v>1674.1858340273327</v>
      </c>
      <c r="X36" s="690">
        <v>1691.0236838478913</v>
      </c>
      <c r="Y36" s="690">
        <v>1707.5097808959479</v>
      </c>
      <c r="Z36" s="690">
        <v>1722.8850797150508</v>
      </c>
      <c r="AA36" s="690">
        <v>1737.8901124578356</v>
      </c>
      <c r="AB36" s="690">
        <v>1753.8485803471394</v>
      </c>
      <c r="AC36" s="690">
        <v>1769.6774551097317</v>
      </c>
      <c r="AD36" s="261"/>
      <c r="AE36" s="261"/>
    </row>
    <row r="37" spans="4:40" ht="41.7" customHeight="1" x14ac:dyDescent="0.3">
      <c r="F37" s="157"/>
      <c r="G37" s="157"/>
      <c r="H37" s="198"/>
      <c r="I37" s="198"/>
      <c r="J37" s="198"/>
      <c r="K37" s="198"/>
      <c r="L37" s="198"/>
      <c r="M37" s="179"/>
      <c r="N37" s="179"/>
      <c r="Q37" s="718">
        <v>175.6</v>
      </c>
      <c r="R37" s="804">
        <v>122.20997037990983</v>
      </c>
      <c r="S37" s="804">
        <v>124.65901738570506</v>
      </c>
      <c r="T37" s="804">
        <v>113.01114784288472</v>
      </c>
      <c r="U37" s="804">
        <v>112.80663979394718</v>
      </c>
      <c r="V37" s="804">
        <v>112.1976602704443</v>
      </c>
      <c r="W37" s="804">
        <v>111.51596677398582</v>
      </c>
      <c r="X37" s="804">
        <v>110.92062112041209</v>
      </c>
      <c r="Y37" s="804">
        <v>110.4070786864134</v>
      </c>
      <c r="Z37" s="804">
        <v>110.27528461043141</v>
      </c>
      <c r="AA37" s="804">
        <v>109.88899162910495</v>
      </c>
      <c r="AB37" s="804">
        <v>110.49342652929813</v>
      </c>
      <c r="AC37" s="804">
        <v>110.89335338055375</v>
      </c>
      <c r="AD37" s="198"/>
      <c r="AE37" s="198"/>
      <c r="AF37" s="198"/>
      <c r="AG37" s="198"/>
      <c r="AH37" s="198"/>
      <c r="AI37" s="198"/>
      <c r="AJ37" s="198"/>
      <c r="AK37" s="198"/>
      <c r="AM37" s="198"/>
      <c r="AN37" s="198"/>
    </row>
    <row r="38" spans="4:40" ht="30.75" customHeight="1" x14ac:dyDescent="0.3">
      <c r="D38" s="796" t="s">
        <v>1010</v>
      </c>
      <c r="E38" s="655">
        <v>2018</v>
      </c>
      <c r="F38" s="753">
        <v>2019</v>
      </c>
      <c r="G38" s="753">
        <v>2020</v>
      </c>
      <c r="H38" s="783">
        <v>2021</v>
      </c>
      <c r="I38" s="784">
        <v>2022</v>
      </c>
      <c r="J38" s="784">
        <v>2023</v>
      </c>
      <c r="K38" s="784">
        <v>2024</v>
      </c>
      <c r="L38" s="723">
        <v>2025</v>
      </c>
      <c r="N38" s="727"/>
      <c r="O38" s="278"/>
    </row>
    <row r="39" spans="4:40" ht="16.5" customHeight="1" x14ac:dyDescent="0.3">
      <c r="D39" s="747" t="s">
        <v>555</v>
      </c>
      <c r="E39" s="740">
        <v>1683.5</v>
      </c>
      <c r="F39" s="741">
        <v>1717.9</v>
      </c>
      <c r="G39" s="745">
        <v>1609</v>
      </c>
      <c r="H39" s="442">
        <v>2044.377</v>
      </c>
      <c r="I39" s="442">
        <v>2622.5050000000006</v>
      </c>
      <c r="J39" s="442">
        <v>2578.828</v>
      </c>
      <c r="K39" s="442">
        <v>2541.6950000000002</v>
      </c>
      <c r="L39" s="472">
        <v>2539.1210000000001</v>
      </c>
      <c r="M39" s="761" t="s">
        <v>556</v>
      </c>
      <c r="N39" s="712"/>
      <c r="O39" s="678"/>
      <c r="P39" s="709"/>
      <c r="Q39" s="709"/>
      <c r="R39" s="709"/>
      <c r="S39" s="709"/>
      <c r="T39" s="709"/>
      <c r="U39" s="709"/>
      <c r="V39" s="709"/>
      <c r="W39" s="709"/>
      <c r="X39" s="706"/>
      <c r="Y39" s="706"/>
      <c r="Z39" s="710"/>
    </row>
    <row r="40" spans="4:40" ht="16.5" customHeight="1" x14ac:dyDescent="0.3">
      <c r="D40" s="747" t="s">
        <v>557</v>
      </c>
      <c r="E40" s="742">
        <v>1170.7</v>
      </c>
      <c r="F40" s="707">
        <v>1243.4000000000001</v>
      </c>
      <c r="G40" s="785">
        <v>1310</v>
      </c>
      <c r="H40" s="442">
        <v>1314.088</v>
      </c>
      <c r="I40" s="442">
        <v>1464.5929999999998</v>
      </c>
      <c r="J40" s="442">
        <v>1571.68</v>
      </c>
      <c r="K40" s="442">
        <v>1624.982</v>
      </c>
      <c r="L40" s="472">
        <v>1669.0420000000001</v>
      </c>
      <c r="M40" s="706"/>
      <c r="N40" s="706"/>
      <c r="O40" s="678"/>
      <c r="P40" s="709"/>
      <c r="Q40" s="709"/>
      <c r="R40" s="709"/>
      <c r="S40" s="709"/>
      <c r="T40" s="709"/>
      <c r="U40" s="709"/>
      <c r="V40" s="709"/>
      <c r="W40" s="709"/>
      <c r="X40" s="706"/>
      <c r="Y40" s="706"/>
      <c r="Z40" s="710"/>
    </row>
    <row r="41" spans="4:40" x14ac:dyDescent="0.3">
      <c r="D41" s="180" t="s">
        <v>558</v>
      </c>
      <c r="E41" s="453">
        <f t="shared" ref="E41:L41" si="22">E42+E43</f>
        <v>136.30000000000001</v>
      </c>
      <c r="F41" s="442">
        <f t="shared" si="22"/>
        <v>170.6</v>
      </c>
      <c r="G41" s="472">
        <f t="shared" si="22"/>
        <v>156</v>
      </c>
      <c r="H41" s="442">
        <f t="shared" si="22"/>
        <v>155.25900000000001</v>
      </c>
      <c r="I41" s="442">
        <f t="shared" si="22"/>
        <v>182.34899999999999</v>
      </c>
      <c r="J41" s="442">
        <f t="shared" si="22"/>
        <v>189.505</v>
      </c>
      <c r="K41" s="442">
        <f t="shared" si="22"/>
        <v>194.09899999999999</v>
      </c>
      <c r="L41" s="472">
        <f t="shared" si="22"/>
        <v>193.553</v>
      </c>
      <c r="N41" s="147"/>
      <c r="P41" s="713"/>
      <c r="Q41" s="713"/>
      <c r="R41" s="713"/>
      <c r="S41" s="713"/>
      <c r="T41" s="713"/>
      <c r="U41" s="713"/>
      <c r="V41" s="713"/>
      <c r="W41" s="713"/>
    </row>
    <row r="42" spans="4:40" ht="16.5" customHeight="1" x14ac:dyDescent="0.3">
      <c r="D42" s="487" t="s">
        <v>559</v>
      </c>
      <c r="E42" s="742">
        <v>95</v>
      </c>
      <c r="F42" s="707">
        <v>99.8</v>
      </c>
      <c r="G42" s="785">
        <v>87</v>
      </c>
      <c r="H42" s="442">
        <v>75.274000000000001</v>
      </c>
      <c r="I42" s="442">
        <v>87.554999999999993</v>
      </c>
      <c r="J42" s="442">
        <v>90.245999999999995</v>
      </c>
      <c r="K42" s="442">
        <v>93.706000000000003</v>
      </c>
      <c r="L42" s="472">
        <v>92.66</v>
      </c>
      <c r="M42" s="706"/>
      <c r="N42" s="706"/>
      <c r="O42" s="711"/>
      <c r="P42" s="709"/>
      <c r="Q42" s="709"/>
      <c r="R42" s="709"/>
      <c r="S42" s="709"/>
      <c r="T42" s="709"/>
      <c r="U42" s="709"/>
      <c r="V42" s="709"/>
      <c r="W42" s="709"/>
      <c r="X42" s="706"/>
      <c r="Y42" s="706"/>
      <c r="Z42" s="710"/>
    </row>
    <row r="43" spans="4:40" ht="16.5" customHeight="1" x14ac:dyDescent="0.3">
      <c r="D43" s="487" t="s">
        <v>560</v>
      </c>
      <c r="E43" s="742">
        <v>41.3</v>
      </c>
      <c r="F43" s="707">
        <v>70.8</v>
      </c>
      <c r="G43" s="785">
        <v>69</v>
      </c>
      <c r="H43" s="442">
        <v>79.984999999999999</v>
      </c>
      <c r="I43" s="442">
        <v>94.793999999999997</v>
      </c>
      <c r="J43" s="442">
        <v>99.259</v>
      </c>
      <c r="K43" s="442">
        <v>100.393</v>
      </c>
      <c r="L43" s="472">
        <v>100.893</v>
      </c>
      <c r="M43" s="706"/>
      <c r="N43" s="706"/>
      <c r="O43" s="711"/>
      <c r="P43" s="709"/>
      <c r="Q43" s="709"/>
      <c r="R43" s="709"/>
      <c r="S43" s="709"/>
      <c r="T43" s="709"/>
      <c r="U43" s="709"/>
      <c r="V43" s="709"/>
      <c r="W43" s="709"/>
      <c r="X43" s="706"/>
      <c r="Y43" s="706"/>
      <c r="Z43" s="710"/>
    </row>
    <row r="44" spans="4:40" ht="16.5" customHeight="1" x14ac:dyDescent="0.3">
      <c r="D44" s="748" t="s">
        <v>106</v>
      </c>
      <c r="E44" s="743">
        <v>204.7</v>
      </c>
      <c r="F44" s="744">
        <v>230.2</v>
      </c>
      <c r="G44" s="746">
        <v>212</v>
      </c>
      <c r="H44" s="670">
        <v>371.83100000000002</v>
      </c>
      <c r="I44" s="670">
        <v>394.8</v>
      </c>
      <c r="J44" s="670">
        <v>456.12900000000002</v>
      </c>
      <c r="K44" s="670">
        <v>478.02099999999996</v>
      </c>
      <c r="L44" s="660">
        <v>483.15800000000002</v>
      </c>
      <c r="M44" s="661"/>
      <c r="N44" s="661"/>
      <c r="O44" s="676"/>
      <c r="P44" s="707"/>
      <c r="Q44" s="707"/>
      <c r="R44" s="707"/>
      <c r="S44" s="707"/>
      <c r="T44" s="707"/>
      <c r="U44" s="707"/>
      <c r="V44" s="707"/>
      <c r="W44" s="707"/>
      <c r="X44" s="661"/>
      <c r="Y44" s="661"/>
      <c r="Z44" s="679"/>
    </row>
    <row r="45" spans="4:40" ht="16.5" customHeight="1" x14ac:dyDescent="0.3">
      <c r="D45" s="678"/>
      <c r="E45" s="685"/>
      <c r="F45" s="685"/>
      <c r="G45" s="661"/>
      <c r="H45" s="661"/>
      <c r="I45" s="661"/>
      <c r="J45" s="661"/>
      <c r="K45" s="661"/>
      <c r="L45" s="661"/>
      <c r="M45" s="661"/>
      <c r="N45" s="661"/>
      <c r="O45" s="661"/>
      <c r="P45" s="661"/>
      <c r="Q45" s="661"/>
      <c r="R45" s="661"/>
      <c r="S45" s="661"/>
      <c r="T45" s="661"/>
      <c r="U45" s="661"/>
      <c r="V45" s="661"/>
      <c r="W45" s="661"/>
      <c r="X45" s="661"/>
      <c r="Y45" s="661"/>
      <c r="Z45" s="679"/>
    </row>
    <row r="46" spans="4:40" x14ac:dyDescent="0.3">
      <c r="D46" s="695" t="s">
        <v>561</v>
      </c>
      <c r="E46" s="655">
        <v>2018</v>
      </c>
      <c r="F46" s="656">
        <v>2019</v>
      </c>
      <c r="G46" s="657">
        <v>2020</v>
      </c>
      <c r="H46" s="728">
        <v>2021</v>
      </c>
      <c r="I46" s="728">
        <v>2022</v>
      </c>
      <c r="J46" s="728">
        <v>2023</v>
      </c>
      <c r="K46" s="728">
        <v>2024</v>
      </c>
      <c r="L46" s="729">
        <v>2025</v>
      </c>
      <c r="O46" s="182" t="s">
        <v>562</v>
      </c>
    </row>
    <row r="47" spans="4:40" ht="14.7" customHeight="1" x14ac:dyDescent="0.3">
      <c r="D47" s="697" t="s">
        <v>555</v>
      </c>
      <c r="E47" s="149">
        <v>1622</v>
      </c>
      <c r="F47" s="149">
        <v>1687</v>
      </c>
      <c r="G47" s="684">
        <f>G26</f>
        <v>1677.55</v>
      </c>
      <c r="H47" s="684">
        <f t="shared" ref="H47:L47" si="23">H26</f>
        <v>1877.8879999999999</v>
      </c>
      <c r="I47" s="684">
        <f t="shared" si="23"/>
        <v>2408.9346874084385</v>
      </c>
      <c r="J47" s="684">
        <f t="shared" si="23"/>
        <v>2368.8146341227671</v>
      </c>
      <c r="K47" s="684">
        <f t="shared" si="23"/>
        <v>2334.7056536832492</v>
      </c>
      <c r="L47" s="684">
        <f t="shared" si="23"/>
        <v>2332.341273868763</v>
      </c>
    </row>
    <row r="48" spans="4:40" x14ac:dyDescent="0.3">
      <c r="D48" s="697" t="s">
        <v>563</v>
      </c>
      <c r="E48" s="149">
        <v>1332</v>
      </c>
      <c r="F48" s="149">
        <v>1388</v>
      </c>
      <c r="G48" s="684">
        <f t="shared" ref="G48:L48" si="24">G27</f>
        <v>1429.7250000000001</v>
      </c>
      <c r="H48" s="684">
        <f t="shared" si="24"/>
        <v>1529.57</v>
      </c>
      <c r="I48" s="684">
        <f t="shared" si="24"/>
        <v>1704.7545636289196</v>
      </c>
      <c r="J48" s="684">
        <f t="shared" si="24"/>
        <v>1829.4015146626407</v>
      </c>
      <c r="K48" s="684">
        <f t="shared" si="24"/>
        <v>1891.4438894046671</v>
      </c>
      <c r="L48" s="684">
        <f t="shared" si="24"/>
        <v>1942.728776109363</v>
      </c>
      <c r="N48" s="702"/>
    </row>
    <row r="49" spans="4:22" x14ac:dyDescent="0.3">
      <c r="D49" s="697" t="s">
        <v>105</v>
      </c>
      <c r="E49" s="149">
        <v>150</v>
      </c>
      <c r="F49" s="149">
        <v>175</v>
      </c>
      <c r="G49" s="684">
        <f t="shared" ref="G49:L49" si="25">G28</f>
        <v>163.32500000000002</v>
      </c>
      <c r="H49" s="684">
        <f t="shared" si="25"/>
        <v>168.43899999999999</v>
      </c>
      <c r="I49" s="684">
        <f t="shared" si="25"/>
        <v>197.82868117790269</v>
      </c>
      <c r="J49" s="684">
        <f t="shared" si="25"/>
        <v>205.59215694420288</v>
      </c>
      <c r="K49" s="684">
        <f t="shared" si="25"/>
        <v>210.57614348282542</v>
      </c>
      <c r="L49" s="684">
        <f t="shared" si="25"/>
        <v>209.98379331954985</v>
      </c>
      <c r="N49" s="702"/>
    </row>
    <row r="50" spans="4:22" x14ac:dyDescent="0.3">
      <c r="D50" s="696" t="s">
        <v>303</v>
      </c>
      <c r="E50" s="159">
        <v>208</v>
      </c>
      <c r="F50" s="159">
        <v>219</v>
      </c>
      <c r="G50" s="802">
        <f t="shared" ref="G50:L50" si="26">G29</f>
        <v>194.3</v>
      </c>
      <c r="H50" s="802">
        <f t="shared" si="26"/>
        <v>259.06299999999999</v>
      </c>
      <c r="I50" s="802">
        <f t="shared" si="26"/>
        <v>275.06601762628719</v>
      </c>
      <c r="J50" s="802">
        <f t="shared" si="26"/>
        <v>317.79530788718529</v>
      </c>
      <c r="K50" s="802">
        <f t="shared" si="26"/>
        <v>333.04795545019101</v>
      </c>
      <c r="L50" s="802">
        <f t="shared" si="26"/>
        <v>336.62701860253719</v>
      </c>
      <c r="O50" s="1052" t="s">
        <v>994</v>
      </c>
      <c r="P50" s="1052" t="s">
        <v>994</v>
      </c>
      <c r="Q50" s="1052" t="s">
        <v>994</v>
      </c>
      <c r="R50" s="1052" t="s">
        <v>994</v>
      </c>
      <c r="S50" s="1052" t="s">
        <v>994</v>
      </c>
      <c r="T50" s="1052" t="s">
        <v>994</v>
      </c>
      <c r="U50" s="1052" t="s">
        <v>994</v>
      </c>
      <c r="V50" s="1053" t="s">
        <v>994</v>
      </c>
    </row>
    <row r="51" spans="4:22" ht="14.4" customHeight="1" x14ac:dyDescent="0.3">
      <c r="D51" s="273"/>
      <c r="E51" s="149"/>
      <c r="F51" s="149"/>
      <c r="G51" s="149"/>
      <c r="P51" s="1054">
        <v>2022</v>
      </c>
      <c r="Q51" s="1055">
        <v>2022</v>
      </c>
      <c r="R51" s="1055">
        <v>2022</v>
      </c>
      <c r="S51" s="1056">
        <v>2022</v>
      </c>
    </row>
    <row r="52" spans="4:22" ht="17.25" customHeight="1" x14ac:dyDescent="0.3">
      <c r="D52" s="183" t="s">
        <v>565</v>
      </c>
      <c r="E52" s="149"/>
      <c r="F52" s="149"/>
      <c r="G52" s="149"/>
      <c r="P52" s="795" t="s">
        <v>995</v>
      </c>
      <c r="Q52" s="795" t="s">
        <v>996</v>
      </c>
      <c r="R52" s="795" t="s">
        <v>997</v>
      </c>
      <c r="S52" s="795" t="s">
        <v>998</v>
      </c>
      <c r="T52" s="803" t="s">
        <v>1015</v>
      </c>
    </row>
    <row r="53" spans="4:22" ht="30" customHeight="1" x14ac:dyDescent="0.3">
      <c r="D53" s="787" t="s">
        <v>566</v>
      </c>
      <c r="E53" s="656">
        <v>2018</v>
      </c>
      <c r="F53" s="656">
        <v>2019</v>
      </c>
      <c r="G53" s="657">
        <v>2020</v>
      </c>
      <c r="H53" s="737">
        <v>2021</v>
      </c>
      <c r="I53" s="738">
        <v>2022</v>
      </c>
      <c r="J53" s="738">
        <v>2023</v>
      </c>
      <c r="K53" s="738">
        <v>2024</v>
      </c>
      <c r="L53" s="739">
        <v>2025</v>
      </c>
      <c r="O53" s="30" t="s">
        <v>564</v>
      </c>
      <c r="P53" s="793">
        <v>2973</v>
      </c>
      <c r="Q53" s="793">
        <v>3062.8</v>
      </c>
      <c r="R53" s="793">
        <v>3085.2</v>
      </c>
      <c r="S53" s="794">
        <v>2106.1999999999998</v>
      </c>
      <c r="T53" s="793">
        <v>3123.2</v>
      </c>
    </row>
    <row r="54" spans="4:22" x14ac:dyDescent="0.3">
      <c r="D54" s="697" t="s">
        <v>555</v>
      </c>
      <c r="E54" s="168">
        <f t="shared" ref="E54:K56" si="27">E47/E39</f>
        <v>0.96346896346896349</v>
      </c>
      <c r="F54" s="168">
        <f t="shared" si="27"/>
        <v>0.98201292275452579</v>
      </c>
      <c r="G54" s="168">
        <f t="shared" si="27"/>
        <v>1.0426041019266625</v>
      </c>
      <c r="H54" s="732">
        <f t="shared" si="27"/>
        <v>0.91856247649039291</v>
      </c>
      <c r="I54" s="733">
        <f t="shared" si="27"/>
        <v>0.91856247649039302</v>
      </c>
      <c r="J54" s="733">
        <f t="shared" si="27"/>
        <v>0.91856247649039291</v>
      </c>
      <c r="K54" s="733">
        <f t="shared" si="27"/>
        <v>0.91856247649039291</v>
      </c>
      <c r="L54" s="774"/>
      <c r="T54" s="278"/>
    </row>
    <row r="55" spans="4:22" x14ac:dyDescent="0.3">
      <c r="D55" s="697" t="s">
        <v>563</v>
      </c>
      <c r="E55" s="168">
        <f t="shared" si="27"/>
        <v>1.1377808148970701</v>
      </c>
      <c r="F55" s="168">
        <f t="shared" si="27"/>
        <v>1.1162940324915553</v>
      </c>
      <c r="G55" s="168">
        <f t="shared" si="27"/>
        <v>1.0913931297709925</v>
      </c>
      <c r="H55" s="734">
        <f t="shared" si="27"/>
        <v>1.1639783637016698</v>
      </c>
      <c r="I55" s="731">
        <f t="shared" si="27"/>
        <v>1.1639783637016698</v>
      </c>
      <c r="J55" s="731">
        <f t="shared" si="27"/>
        <v>1.1639783637016698</v>
      </c>
      <c r="K55" s="731">
        <f t="shared" si="27"/>
        <v>1.1639783637016701</v>
      </c>
      <c r="L55" s="786"/>
    </row>
    <row r="56" spans="4:22" x14ac:dyDescent="0.3">
      <c r="D56" s="697" t="s">
        <v>105</v>
      </c>
      <c r="E56" s="168">
        <f t="shared" si="27"/>
        <v>1.1005135730007336</v>
      </c>
      <c r="F56" s="168">
        <f t="shared" si="27"/>
        <v>1.0257913247362251</v>
      </c>
      <c r="G56" s="168">
        <f t="shared" si="27"/>
        <v>1.0469551282051284</v>
      </c>
      <c r="H56" s="734">
        <f t="shared" si="27"/>
        <v>1.084890408929595</v>
      </c>
      <c r="I56" s="731">
        <f t="shared" si="27"/>
        <v>1.084890408929595</v>
      </c>
      <c r="J56" s="731">
        <f t="shared" si="27"/>
        <v>1.084890408929595</v>
      </c>
      <c r="K56" s="731">
        <f t="shared" si="27"/>
        <v>1.0848904089295948</v>
      </c>
      <c r="L56" s="786"/>
    </row>
    <row r="57" spans="4:22" x14ac:dyDescent="0.3">
      <c r="D57" s="696" t="s">
        <v>303</v>
      </c>
      <c r="E57" s="175">
        <f t="shared" ref="E57:K57" si="28">E50/E44</f>
        <v>1.0161211529066927</v>
      </c>
      <c r="F57" s="175">
        <f t="shared" si="28"/>
        <v>0.95134665508253702</v>
      </c>
      <c r="G57" s="175">
        <f t="shared" si="28"/>
        <v>0.91650943396226425</v>
      </c>
      <c r="H57" s="735">
        <f t="shared" si="28"/>
        <v>0.69672243573021075</v>
      </c>
      <c r="I57" s="736">
        <f t="shared" si="28"/>
        <v>0.69672243573021064</v>
      </c>
      <c r="J57" s="736">
        <f t="shared" si="28"/>
        <v>0.69672243573021064</v>
      </c>
      <c r="K57" s="736">
        <f t="shared" si="28"/>
        <v>0.69672243573021064</v>
      </c>
      <c r="L57" s="730"/>
    </row>
    <row r="59" spans="4:22" x14ac:dyDescent="0.3">
      <c r="D59" s="273"/>
      <c r="E59" s="149"/>
      <c r="F59" s="149"/>
      <c r="G59" s="149"/>
    </row>
    <row r="60" spans="4:22" x14ac:dyDescent="0.3">
      <c r="D60" s="157" t="s">
        <v>567</v>
      </c>
    </row>
    <row r="61" spans="4:22" x14ac:dyDescent="0.3">
      <c r="D61" s="797" t="s">
        <v>1014</v>
      </c>
      <c r="E61" s="655">
        <v>2018</v>
      </c>
      <c r="F61" s="753">
        <v>2019</v>
      </c>
      <c r="G61" s="753">
        <v>2020</v>
      </c>
      <c r="H61" s="754">
        <v>2021</v>
      </c>
      <c r="I61" s="755">
        <v>2022</v>
      </c>
      <c r="J61" s="755">
        <v>2023</v>
      </c>
      <c r="K61" s="755">
        <v>2024</v>
      </c>
      <c r="L61" s="756">
        <v>2025</v>
      </c>
    </row>
    <row r="62" spans="4:22" x14ac:dyDescent="0.3">
      <c r="D62" s="762" t="s">
        <v>568</v>
      </c>
      <c r="E62" s="453">
        <v>14016.099999999999</v>
      </c>
      <c r="F62" s="442">
        <v>14604.2</v>
      </c>
      <c r="G62" s="472">
        <v>14711.300000000001</v>
      </c>
      <c r="H62" s="798">
        <v>20725.8</v>
      </c>
      <c r="I62" s="798">
        <v>21293</v>
      </c>
      <c r="J62" s="798">
        <v>22393.200000000001</v>
      </c>
      <c r="K62" s="798">
        <v>23451.7</v>
      </c>
      <c r="L62" s="799">
        <v>24455.1</v>
      </c>
    </row>
    <row r="63" spans="4:22" x14ac:dyDescent="0.3">
      <c r="D63" s="762" t="s">
        <v>569</v>
      </c>
      <c r="E63" s="289">
        <v>8804</v>
      </c>
      <c r="F63" s="149">
        <v>9209</v>
      </c>
      <c r="G63" s="472">
        <v>9300</v>
      </c>
      <c r="H63" s="798">
        <v>10082.5</v>
      </c>
      <c r="I63" s="798">
        <v>11062.4</v>
      </c>
      <c r="J63" s="798">
        <v>11616.3</v>
      </c>
      <c r="K63" s="798">
        <v>12028</v>
      </c>
      <c r="L63" s="799">
        <v>12433.6</v>
      </c>
    </row>
    <row r="64" spans="4:22" x14ac:dyDescent="0.3">
      <c r="D64" s="762" t="s">
        <v>570</v>
      </c>
      <c r="E64" s="289">
        <v>13844</v>
      </c>
      <c r="F64" s="149">
        <v>14403</v>
      </c>
      <c r="G64" s="472">
        <v>14201</v>
      </c>
      <c r="H64" s="798">
        <v>15279.9</v>
      </c>
      <c r="I64" s="798">
        <v>16817.599999999999</v>
      </c>
      <c r="J64" s="798">
        <v>17789.8</v>
      </c>
      <c r="K64" s="798">
        <v>18525.3</v>
      </c>
      <c r="L64" s="799">
        <v>19204.5</v>
      </c>
    </row>
    <row r="65" spans="4:25" x14ac:dyDescent="0.3">
      <c r="D65" s="763" t="s">
        <v>571</v>
      </c>
      <c r="E65" s="725">
        <v>2211</v>
      </c>
      <c r="F65" s="670">
        <v>2243</v>
      </c>
      <c r="G65" s="660">
        <v>2125</v>
      </c>
      <c r="H65" s="800">
        <v>2678.6</v>
      </c>
      <c r="I65" s="800">
        <v>2946.3</v>
      </c>
      <c r="J65" s="800">
        <v>3018.1</v>
      </c>
      <c r="K65" s="800">
        <v>3000.1</v>
      </c>
      <c r="L65" s="801">
        <v>3037.1</v>
      </c>
    </row>
    <row r="67" spans="4:25" x14ac:dyDescent="0.3">
      <c r="D67" s="157" t="s">
        <v>572</v>
      </c>
    </row>
    <row r="68" spans="4:25" x14ac:dyDescent="0.3">
      <c r="D68" s="695" t="s">
        <v>573</v>
      </c>
      <c r="E68" s="615">
        <v>2018</v>
      </c>
      <c r="F68" s="714">
        <v>2019</v>
      </c>
      <c r="G68" s="714">
        <v>2020</v>
      </c>
      <c r="H68" s="749">
        <v>2021</v>
      </c>
      <c r="I68" s="715">
        <v>2022</v>
      </c>
      <c r="J68" s="715">
        <v>2023</v>
      </c>
      <c r="K68" s="715">
        <v>2024</v>
      </c>
      <c r="L68" s="750">
        <v>2025</v>
      </c>
    </row>
    <row r="69" spans="4:25" x14ac:dyDescent="0.3">
      <c r="D69" s="764" t="s">
        <v>555</v>
      </c>
      <c r="E69" s="757">
        <f t="shared" ref="E69:L71" si="29">E39/E62</f>
        <v>0.12011187134794987</v>
      </c>
      <c r="F69" s="758">
        <f t="shared" si="29"/>
        <v>0.11763054463784391</v>
      </c>
      <c r="G69" s="760">
        <f t="shared" si="29"/>
        <v>0.10937170746297063</v>
      </c>
      <c r="H69" s="724">
        <f t="shared" si="29"/>
        <v>9.8639232261239621E-2</v>
      </c>
      <c r="I69" s="724">
        <f t="shared" si="29"/>
        <v>0.12316277649931905</v>
      </c>
      <c r="J69" s="724">
        <f t="shared" si="29"/>
        <v>0.11516120965293035</v>
      </c>
      <c r="K69" s="724">
        <f t="shared" si="29"/>
        <v>0.10837998951035532</v>
      </c>
      <c r="L69" s="752">
        <f t="shared" si="29"/>
        <v>0.10382787230475443</v>
      </c>
    </row>
    <row r="70" spans="4:25" x14ac:dyDescent="0.3">
      <c r="D70" s="764" t="s">
        <v>557</v>
      </c>
      <c r="E70" s="759">
        <f t="shared" si="29"/>
        <v>0.13297364834166289</v>
      </c>
      <c r="F70" s="167">
        <f t="shared" si="29"/>
        <v>0.13502008904332718</v>
      </c>
      <c r="G70" s="788">
        <f t="shared" si="29"/>
        <v>0.14086021505376345</v>
      </c>
      <c r="H70" s="701">
        <f t="shared" si="29"/>
        <v>0.1303335482271262</v>
      </c>
      <c r="I70" s="701">
        <f t="shared" si="29"/>
        <v>0.13239378435059299</v>
      </c>
      <c r="J70" s="701">
        <f t="shared" si="29"/>
        <v>0.13529953599683206</v>
      </c>
      <c r="K70" s="701">
        <f t="shared" si="29"/>
        <v>0.13509993348852678</v>
      </c>
      <c r="L70" s="789">
        <f t="shared" si="29"/>
        <v>0.13423642388367008</v>
      </c>
    </row>
    <row r="71" spans="4:25" x14ac:dyDescent="0.3">
      <c r="D71" s="762" t="s">
        <v>574</v>
      </c>
      <c r="E71" s="759">
        <f t="shared" si="29"/>
        <v>9.8454203987286912E-3</v>
      </c>
      <c r="F71" s="167">
        <f t="shared" si="29"/>
        <v>1.1844754565021176E-2</v>
      </c>
      <c r="G71" s="788">
        <f t="shared" si="29"/>
        <v>1.0985141891416098E-2</v>
      </c>
      <c r="H71" s="701">
        <f t="shared" si="29"/>
        <v>1.016099581803546E-2</v>
      </c>
      <c r="I71" s="701">
        <f t="shared" si="29"/>
        <v>1.0842748073446866E-2</v>
      </c>
      <c r="J71" s="701">
        <f t="shared" si="29"/>
        <v>1.065245252897728E-2</v>
      </c>
      <c r="K71" s="701">
        <f t="shared" si="29"/>
        <v>1.0477509136154341E-2</v>
      </c>
      <c r="L71" s="789">
        <f t="shared" si="29"/>
        <v>1.0078523262776954E-2</v>
      </c>
    </row>
    <row r="72" spans="4:25" x14ac:dyDescent="0.3">
      <c r="D72" s="765" t="s">
        <v>106</v>
      </c>
      <c r="E72" s="184">
        <f t="shared" ref="E72:L72" si="30">E44/E65</f>
        <v>9.258254183627318E-2</v>
      </c>
      <c r="F72" s="185">
        <f t="shared" si="30"/>
        <v>0.10263040570664288</v>
      </c>
      <c r="G72" s="186">
        <f t="shared" si="30"/>
        <v>9.9764705882352936E-2</v>
      </c>
      <c r="H72" s="681">
        <f t="shared" si="30"/>
        <v>0.13881542596878968</v>
      </c>
      <c r="I72" s="681">
        <f t="shared" si="30"/>
        <v>0.13399857448325017</v>
      </c>
      <c r="J72" s="681">
        <f t="shared" si="30"/>
        <v>0.15113117524270236</v>
      </c>
      <c r="K72" s="681">
        <f t="shared" si="30"/>
        <v>0.15933502216592779</v>
      </c>
      <c r="L72" s="682">
        <f t="shared" si="30"/>
        <v>0.15908531164597808</v>
      </c>
    </row>
    <row r="74" spans="4:25" x14ac:dyDescent="0.3">
      <c r="D74" s="157" t="s">
        <v>575</v>
      </c>
    </row>
    <row r="75" spans="4:25" x14ac:dyDescent="0.3">
      <c r="D75" s="776" t="s">
        <v>400</v>
      </c>
    </row>
    <row r="76" spans="4:25" x14ac:dyDescent="0.3">
      <c r="D76" s="695" t="s">
        <v>576</v>
      </c>
      <c r="E76" s="656">
        <v>2018</v>
      </c>
      <c r="F76" s="753">
        <v>2019</v>
      </c>
      <c r="G76" s="753">
        <v>2020</v>
      </c>
      <c r="H76" s="754">
        <v>2021</v>
      </c>
      <c r="I76" s="755">
        <v>2022</v>
      </c>
      <c r="J76" s="755">
        <v>2023</v>
      </c>
      <c r="K76" s="755">
        <v>2024</v>
      </c>
      <c r="L76" s="756">
        <v>2025</v>
      </c>
    </row>
    <row r="77" spans="4:25" ht="20.25" customHeight="1" x14ac:dyDescent="0.3">
      <c r="D77" s="698" t="s">
        <v>555</v>
      </c>
      <c r="E77" s="757">
        <f t="shared" ref="E77:G80" si="31">E69*E54</f>
        <v>0.11572406018792676</v>
      </c>
      <c r="F77" s="758">
        <f t="shared" si="31"/>
        <v>0.11551471494501581</v>
      </c>
      <c r="G77" s="758">
        <f t="shared" si="31"/>
        <v>0.11403139083561616</v>
      </c>
      <c r="H77" s="751">
        <f>N95</f>
        <v>0.12406841900584607</v>
      </c>
      <c r="I77" s="724">
        <f>H77</f>
        <v>0.12406841900584607</v>
      </c>
      <c r="J77" s="724">
        <f t="shared" ref="J77:L77" si="32">I77</f>
        <v>0.12406841900584607</v>
      </c>
      <c r="K77" s="724">
        <f t="shared" si="32"/>
        <v>0.12406841900584607</v>
      </c>
      <c r="L77" s="752">
        <f t="shared" si="32"/>
        <v>0.12406841900584607</v>
      </c>
      <c r="M77" s="767"/>
      <c r="N77" s="766"/>
      <c r="O77" s="167"/>
      <c r="P77" s="167"/>
      <c r="Q77" s="167"/>
      <c r="R77" s="167"/>
      <c r="S77" s="167"/>
      <c r="T77" s="167"/>
      <c r="U77" s="167"/>
      <c r="V77" s="167"/>
      <c r="W77" s="167"/>
      <c r="X77" s="167"/>
      <c r="Y77" s="167"/>
    </row>
    <row r="78" spans="4:25" ht="18.75" customHeight="1" x14ac:dyDescent="0.3">
      <c r="D78" s="698" t="s">
        <v>557</v>
      </c>
      <c r="E78" s="759">
        <f t="shared" si="31"/>
        <v>0.15129486597001363</v>
      </c>
      <c r="F78" s="167">
        <f t="shared" si="31"/>
        <v>0.15072211966554458</v>
      </c>
      <c r="G78" s="167">
        <f t="shared" si="31"/>
        <v>0.15373387096774196</v>
      </c>
      <c r="H78" s="700">
        <f>N96</f>
        <v>0.15268276884121268</v>
      </c>
      <c r="I78" s="701">
        <f>H78</f>
        <v>0.15268276884121268</v>
      </c>
      <c r="J78" s="701">
        <f>I78</f>
        <v>0.15268276884121268</v>
      </c>
      <c r="K78" s="701">
        <f t="shared" ref="K78:L78" si="33">J78</f>
        <v>0.15268276884121268</v>
      </c>
      <c r="L78" s="789">
        <f t="shared" si="33"/>
        <v>0.15268276884121268</v>
      </c>
      <c r="M78" s="767"/>
      <c r="N78" s="766"/>
      <c r="O78" s="167"/>
      <c r="P78" s="167"/>
      <c r="Q78" s="167"/>
      <c r="R78" s="167"/>
      <c r="S78" s="167"/>
      <c r="T78" s="167"/>
      <c r="U78" s="167"/>
      <c r="V78" s="167"/>
      <c r="W78" s="167"/>
      <c r="X78" s="167"/>
      <c r="Y78" s="167"/>
    </row>
    <row r="79" spans="4:25" ht="19.2" customHeight="1" x14ac:dyDescent="0.3">
      <c r="D79" s="697" t="s">
        <v>105</v>
      </c>
      <c r="E79" s="759">
        <f t="shared" si="31"/>
        <v>1.0835018780699219E-2</v>
      </c>
      <c r="F79" s="167">
        <f t="shared" si="31"/>
        <v>1.2150246476428523E-2</v>
      </c>
      <c r="G79" s="167">
        <f t="shared" si="31"/>
        <v>1.1500950637279067E-2</v>
      </c>
      <c r="H79" s="700">
        <f>N97</f>
        <v>1.1338056460715356E-2</v>
      </c>
      <c r="I79" s="701">
        <f>AVERAGE($F56:$G56)*I71</f>
        <v>1.1237133804686841E-2</v>
      </c>
      <c r="J79" s="701">
        <f>AVERAGE($F56:$G56)*J71</f>
        <v>1.1039916597281903E-2</v>
      </c>
      <c r="K79" s="701">
        <f>J79</f>
        <v>1.1039916597281903E-2</v>
      </c>
      <c r="L79" s="789">
        <f>K79</f>
        <v>1.1039916597281903E-2</v>
      </c>
      <c r="M79" s="767"/>
      <c r="N79" s="766"/>
      <c r="O79" s="167"/>
      <c r="P79" s="167"/>
      <c r="Q79" s="167"/>
      <c r="R79" s="167"/>
      <c r="S79" s="167"/>
      <c r="T79" s="167"/>
      <c r="U79" s="167"/>
      <c r="V79" s="167"/>
      <c r="W79" s="167"/>
      <c r="X79" s="167"/>
      <c r="Y79" s="167"/>
    </row>
    <row r="80" spans="4:25" ht="19.2" customHeight="1" x14ac:dyDescent="0.3">
      <c r="D80" s="699" t="s">
        <v>106</v>
      </c>
      <c r="E80" s="184">
        <f t="shared" si="31"/>
        <v>9.4075079149706017E-2</v>
      </c>
      <c r="F80" s="185">
        <f t="shared" si="31"/>
        <v>9.7637093178778417E-2</v>
      </c>
      <c r="G80" s="185">
        <f t="shared" si="31"/>
        <v>9.1435294117647059E-2</v>
      </c>
      <c r="H80" s="680">
        <f>M98</f>
        <v>0.11817745803357314</v>
      </c>
      <c r="I80" s="681">
        <f>N98</f>
        <v>0.11661721068249259</v>
      </c>
      <c r="J80" s="681">
        <f>I80</f>
        <v>0.11661721068249259</v>
      </c>
      <c r="K80" s="681">
        <f>J80</f>
        <v>0.11661721068249259</v>
      </c>
      <c r="L80" s="682">
        <f>K80</f>
        <v>0.11661721068249259</v>
      </c>
      <c r="M80" s="767"/>
      <c r="N80" s="766"/>
      <c r="O80" s="167"/>
      <c r="P80" s="167"/>
      <c r="Q80" s="167"/>
      <c r="R80" s="167"/>
      <c r="S80" s="167"/>
      <c r="T80" s="167"/>
      <c r="U80" s="167"/>
      <c r="V80" s="167"/>
      <c r="W80" s="167"/>
      <c r="X80" s="167"/>
      <c r="Y80" s="167"/>
    </row>
    <row r="81" spans="4:32" x14ac:dyDescent="0.3">
      <c r="E81" s="672"/>
      <c r="F81" s="672"/>
      <c r="G81" s="672"/>
      <c r="H81" s="672"/>
      <c r="I81" s="672"/>
      <c r="J81" s="672"/>
      <c r="K81" s="672"/>
      <c r="L81" s="672"/>
    </row>
    <row r="82" spans="4:32" x14ac:dyDescent="0.3">
      <c r="D82" s="775" t="s">
        <v>413</v>
      </c>
      <c r="E82" s="167"/>
      <c r="F82" s="167"/>
      <c r="G82" s="167"/>
      <c r="H82" s="167"/>
      <c r="I82" s="167"/>
      <c r="J82" s="167"/>
      <c r="K82" s="167"/>
      <c r="L82" s="167"/>
      <c r="M82" s="167"/>
      <c r="N82" s="167"/>
      <c r="O82" s="167"/>
      <c r="P82" s="167"/>
      <c r="Q82" s="167"/>
      <c r="R82" s="167"/>
      <c r="S82" s="167"/>
      <c r="T82" s="167"/>
      <c r="U82" s="167"/>
      <c r="V82" s="167"/>
      <c r="W82" s="167"/>
      <c r="X82" s="167"/>
      <c r="Y82" s="167"/>
    </row>
    <row r="83" spans="4:32" ht="14.7" customHeight="1" x14ac:dyDescent="0.3">
      <c r="D83" s="1047" t="s">
        <v>982</v>
      </c>
      <c r="E83" s="1057"/>
      <c r="F83" s="948">
        <v>2019</v>
      </c>
      <c r="G83" s="949"/>
      <c r="H83" s="956"/>
      <c r="I83" s="948">
        <v>2020</v>
      </c>
      <c r="J83" s="949"/>
      <c r="K83" s="949"/>
      <c r="L83" s="956"/>
      <c r="M83" s="948">
        <v>2021</v>
      </c>
      <c r="N83" s="949"/>
      <c r="O83" s="949"/>
      <c r="P83" s="956"/>
      <c r="Q83" s="986">
        <v>2022</v>
      </c>
      <c r="R83" s="987"/>
      <c r="S83" s="295"/>
      <c r="T83" s="296"/>
      <c r="U83" s="983">
        <v>2023</v>
      </c>
      <c r="V83" s="984"/>
      <c r="W83" s="984"/>
      <c r="X83" s="985"/>
      <c r="Y83" s="983">
        <v>2024</v>
      </c>
      <c r="Z83" s="984"/>
      <c r="AA83" s="984"/>
      <c r="AB83" s="984"/>
      <c r="AC83" s="262">
        <v>2025</v>
      </c>
    </row>
    <row r="84" spans="4:32" x14ac:dyDescent="0.3">
      <c r="D84" s="1060"/>
      <c r="E84" s="1061"/>
      <c r="F84" s="155" t="s">
        <v>329</v>
      </c>
      <c r="G84" s="154" t="s">
        <v>238</v>
      </c>
      <c r="H84" s="205" t="s">
        <v>327</v>
      </c>
      <c r="I84" s="155" t="s">
        <v>328</v>
      </c>
      <c r="J84" s="154" t="s">
        <v>329</v>
      </c>
      <c r="K84" s="154" t="s">
        <v>238</v>
      </c>
      <c r="L84" s="205" t="s">
        <v>327</v>
      </c>
      <c r="M84" s="155" t="s">
        <v>328</v>
      </c>
      <c r="N84" s="154" t="s">
        <v>329</v>
      </c>
      <c r="O84" s="154" t="s">
        <v>238</v>
      </c>
      <c r="P84" s="205" t="s">
        <v>327</v>
      </c>
      <c r="Q84" s="155" t="s">
        <v>328</v>
      </c>
      <c r="R84" s="205" t="s">
        <v>329</v>
      </c>
      <c r="S84" s="362" t="s">
        <v>238</v>
      </c>
      <c r="T84" s="381" t="s">
        <v>327</v>
      </c>
      <c r="U84" s="279" t="s">
        <v>328</v>
      </c>
      <c r="V84" s="280" t="s">
        <v>329</v>
      </c>
      <c r="W84" s="280" t="s">
        <v>238</v>
      </c>
      <c r="X84" s="281" t="s">
        <v>327</v>
      </c>
      <c r="Y84" s="279" t="s">
        <v>328</v>
      </c>
      <c r="Z84" s="275" t="s">
        <v>329</v>
      </c>
      <c r="AA84" s="280" t="s">
        <v>238</v>
      </c>
      <c r="AB84" s="280" t="s">
        <v>327</v>
      </c>
      <c r="AC84" s="283" t="s">
        <v>328</v>
      </c>
    </row>
    <row r="85" spans="4:32" x14ac:dyDescent="0.3">
      <c r="D85" s="790" t="s">
        <v>568</v>
      </c>
      <c r="E85" s="716"/>
      <c r="F85" s="331">
        <f>F86+F87</f>
        <v>14660.3</v>
      </c>
      <c r="G85" s="332">
        <f t="shared" ref="G85:AC85" si="34">G86+G87</f>
        <v>14748</v>
      </c>
      <c r="H85" s="332">
        <f t="shared" si="34"/>
        <v>14896.1</v>
      </c>
      <c r="I85" s="332">
        <f t="shared" si="34"/>
        <v>15018.7</v>
      </c>
      <c r="J85" s="332">
        <f t="shared" si="34"/>
        <v>14127</v>
      </c>
      <c r="K85" s="332">
        <f t="shared" si="34"/>
        <v>14803.099999999999</v>
      </c>
      <c r="L85" s="332">
        <f t="shared" si="34"/>
        <v>15014.2</v>
      </c>
      <c r="M85" s="332">
        <f t="shared" si="34"/>
        <v>15152.900000000001</v>
      </c>
      <c r="N85" s="332">
        <f t="shared" si="34"/>
        <v>15654.4</v>
      </c>
      <c r="O85" s="332">
        <f t="shared" si="34"/>
        <v>15799.3</v>
      </c>
      <c r="P85" s="332">
        <f t="shared" si="34"/>
        <v>15983.8</v>
      </c>
      <c r="Q85" s="332">
        <f>Q86+Q87</f>
        <v>16571.400000000001</v>
      </c>
      <c r="R85" s="426">
        <f t="shared" si="34"/>
        <v>16848</v>
      </c>
      <c r="S85" s="769">
        <f t="shared" si="34"/>
        <v>17094.3</v>
      </c>
      <c r="T85" s="769">
        <f t="shared" si="34"/>
        <v>17315.8</v>
      </c>
      <c r="U85" s="769">
        <f t="shared" si="34"/>
        <v>17535.5</v>
      </c>
      <c r="V85" s="769">
        <f t="shared" si="34"/>
        <v>17756.5</v>
      </c>
      <c r="W85" s="769">
        <f t="shared" si="34"/>
        <v>17973.8</v>
      </c>
      <c r="X85" s="769">
        <f t="shared" si="34"/>
        <v>18172.2</v>
      </c>
      <c r="Y85" s="769">
        <f t="shared" si="34"/>
        <v>18369</v>
      </c>
      <c r="Z85" s="769">
        <f t="shared" si="34"/>
        <v>18550.099999999999</v>
      </c>
      <c r="AA85" s="769">
        <f t="shared" si="34"/>
        <v>18735.8</v>
      </c>
      <c r="AB85" s="769">
        <f t="shared" si="34"/>
        <v>18924.199999999997</v>
      </c>
      <c r="AC85" s="770">
        <f t="shared" si="34"/>
        <v>19105.7</v>
      </c>
    </row>
    <row r="86" spans="4:32" ht="27.6" customHeight="1" x14ac:dyDescent="0.3">
      <c r="D86" s="287" t="s">
        <v>569</v>
      </c>
      <c r="E86" s="528"/>
      <c r="F86" s="453">
        <v>9274.9</v>
      </c>
      <c r="G86" s="442">
        <v>9311.2999999999993</v>
      </c>
      <c r="H86" s="442">
        <v>9422.5</v>
      </c>
      <c r="I86" s="442">
        <v>9526.1</v>
      </c>
      <c r="J86" s="442">
        <v>8908.7999999999993</v>
      </c>
      <c r="K86" s="442">
        <v>9343.2999999999993</v>
      </c>
      <c r="L86" s="442">
        <v>9546</v>
      </c>
      <c r="M86" s="442">
        <v>9702.2000000000007</v>
      </c>
      <c r="N86" s="442">
        <v>9950.4</v>
      </c>
      <c r="O86" s="442">
        <v>10175.1</v>
      </c>
      <c r="P86" s="442">
        <v>10336.6</v>
      </c>
      <c r="Q86" s="442">
        <v>10995.9</v>
      </c>
      <c r="R86" s="472">
        <v>11172.6</v>
      </c>
      <c r="S86" s="442">
        <v>11320.4</v>
      </c>
      <c r="T86" s="442">
        <v>11443.5</v>
      </c>
      <c r="U86" s="442">
        <v>11560.2</v>
      </c>
      <c r="V86" s="442">
        <v>11675.6</v>
      </c>
      <c r="W86" s="442">
        <v>11786</v>
      </c>
      <c r="X86" s="442">
        <v>11879</v>
      </c>
      <c r="Y86" s="442">
        <v>11978</v>
      </c>
      <c r="Z86" s="442">
        <v>12076.9</v>
      </c>
      <c r="AA86" s="442">
        <v>12178.3</v>
      </c>
      <c r="AB86" s="442">
        <v>12278.8</v>
      </c>
      <c r="AC86" s="472">
        <v>12377.5</v>
      </c>
    </row>
    <row r="87" spans="4:32" ht="27.6" customHeight="1" x14ac:dyDescent="0.3">
      <c r="D87" s="287" t="s">
        <v>981</v>
      </c>
      <c r="E87" s="528"/>
      <c r="F87" s="453">
        <v>5385.4</v>
      </c>
      <c r="G87" s="442">
        <v>5436.7</v>
      </c>
      <c r="H87" s="442">
        <v>5473.6</v>
      </c>
      <c r="I87" s="442">
        <v>5492.6</v>
      </c>
      <c r="J87" s="442">
        <v>5218.2</v>
      </c>
      <c r="K87" s="442">
        <v>5459.8</v>
      </c>
      <c r="L87" s="442">
        <v>5468.2</v>
      </c>
      <c r="M87" s="442">
        <v>5450.7</v>
      </c>
      <c r="N87" s="442">
        <v>5704</v>
      </c>
      <c r="O87" s="442">
        <v>5624.2</v>
      </c>
      <c r="P87" s="442">
        <v>5647.2</v>
      </c>
      <c r="Q87" s="442">
        <v>5575.5</v>
      </c>
      <c r="R87" s="472">
        <v>5675.4</v>
      </c>
      <c r="S87" s="442">
        <v>5773.9</v>
      </c>
      <c r="T87" s="442">
        <v>5872.3</v>
      </c>
      <c r="U87" s="442">
        <v>5975.3</v>
      </c>
      <c r="V87" s="442">
        <v>6080.9</v>
      </c>
      <c r="W87" s="442">
        <v>6187.8</v>
      </c>
      <c r="X87" s="442">
        <v>6293.2</v>
      </c>
      <c r="Y87" s="442">
        <v>6391</v>
      </c>
      <c r="Z87" s="442">
        <v>6473.2</v>
      </c>
      <c r="AA87" s="442">
        <v>6557.5</v>
      </c>
      <c r="AB87" s="442">
        <v>6645.4</v>
      </c>
      <c r="AC87" s="472">
        <v>6728.2</v>
      </c>
    </row>
    <row r="88" spans="4:32" x14ac:dyDescent="0.3">
      <c r="D88" s="289" t="s">
        <v>570</v>
      </c>
      <c r="E88" s="528"/>
      <c r="F88" s="534"/>
      <c r="G88" s="528"/>
      <c r="H88" s="442"/>
      <c r="I88" s="442"/>
      <c r="J88" s="442"/>
      <c r="K88" s="442"/>
      <c r="L88" s="442"/>
      <c r="M88" s="442">
        <v>15041</v>
      </c>
      <c r="N88" s="442">
        <v>15551</v>
      </c>
      <c r="O88" s="442">
        <v>15824</v>
      </c>
      <c r="P88" s="442">
        <v>16056</v>
      </c>
      <c r="Q88" s="442">
        <v>16690.7</v>
      </c>
      <c r="R88" s="472">
        <v>16993</v>
      </c>
      <c r="S88" s="442">
        <v>17251.3</v>
      </c>
      <c r="T88" s="442">
        <v>17488.099999999999</v>
      </c>
      <c r="U88" s="442">
        <v>17692.3</v>
      </c>
      <c r="V88" s="442">
        <v>17892.599999999999</v>
      </c>
      <c r="W88" s="442">
        <v>18086.3</v>
      </c>
      <c r="X88" s="442">
        <v>18268.2</v>
      </c>
      <c r="Y88" s="442">
        <v>18446.3</v>
      </c>
      <c r="Z88" s="442">
        <v>18612.400000000001</v>
      </c>
      <c r="AA88" s="442">
        <v>18774.5</v>
      </c>
      <c r="AB88" s="442">
        <v>18946.900000000001</v>
      </c>
      <c r="AC88" s="472">
        <v>19117.900000000001</v>
      </c>
    </row>
    <row r="89" spans="4:32" x14ac:dyDescent="0.3">
      <c r="D89" s="290" t="s">
        <v>577</v>
      </c>
      <c r="E89" s="529"/>
      <c r="F89" s="561"/>
      <c r="G89" s="529"/>
      <c r="H89" s="670"/>
      <c r="I89" s="670"/>
      <c r="J89" s="670"/>
      <c r="K89" s="670"/>
      <c r="L89" s="670"/>
      <c r="M89" s="670">
        <v>1874</v>
      </c>
      <c r="N89" s="670">
        <v>2307</v>
      </c>
      <c r="O89" s="670">
        <v>2443</v>
      </c>
      <c r="P89" s="670">
        <v>2460</v>
      </c>
      <c r="Q89" s="670">
        <v>2329.5</v>
      </c>
      <c r="R89" s="660">
        <v>2420.1999999999998</v>
      </c>
      <c r="S89" s="670">
        <v>2468.6999999999998</v>
      </c>
      <c r="T89" s="670">
        <v>2486.6999999999998</v>
      </c>
      <c r="U89" s="670">
        <v>2482.1999999999998</v>
      </c>
      <c r="V89" s="670">
        <v>2468.8000000000002</v>
      </c>
      <c r="W89" s="670">
        <v>2453.8000000000002</v>
      </c>
      <c r="X89" s="670">
        <v>2440.6999999999998</v>
      </c>
      <c r="Y89" s="670">
        <v>2429.4</v>
      </c>
      <c r="Z89" s="670">
        <v>2426.5</v>
      </c>
      <c r="AA89" s="670">
        <v>2418</v>
      </c>
      <c r="AB89" s="670">
        <v>2431.3000000000002</v>
      </c>
      <c r="AC89" s="660">
        <v>2440.1</v>
      </c>
    </row>
    <row r="90" spans="4:32" x14ac:dyDescent="0.3">
      <c r="D90" s="792"/>
      <c r="E90" s="535"/>
      <c r="F90" s="535"/>
      <c r="G90" s="535"/>
      <c r="H90" s="442"/>
      <c r="I90" s="442"/>
      <c r="J90" s="442"/>
      <c r="K90" s="442"/>
      <c r="L90" s="442"/>
      <c r="M90" s="442"/>
      <c r="N90" s="442"/>
      <c r="O90" s="442"/>
      <c r="P90" s="442"/>
      <c r="Q90" s="442"/>
      <c r="R90" s="442"/>
      <c r="S90" s="442"/>
      <c r="T90" s="442"/>
      <c r="U90" s="442"/>
      <c r="V90" s="442"/>
      <c r="W90" s="442"/>
      <c r="X90" s="442"/>
      <c r="Y90" s="442"/>
      <c r="Z90" s="442"/>
      <c r="AA90" s="442"/>
      <c r="AB90" s="442"/>
      <c r="AC90" s="442"/>
    </row>
    <row r="91" spans="4:32" x14ac:dyDescent="0.3">
      <c r="D91" s="182"/>
    </row>
    <row r="92" spans="4:32" ht="14.7" customHeight="1" x14ac:dyDescent="0.3">
      <c r="D92" s="1047" t="s">
        <v>578</v>
      </c>
      <c r="E92" s="1057"/>
      <c r="F92" s="948">
        <v>2019</v>
      </c>
      <c r="G92" s="949"/>
      <c r="H92" s="956"/>
      <c r="I92" s="949">
        <v>2020</v>
      </c>
      <c r="J92" s="949"/>
      <c r="K92" s="949"/>
      <c r="L92" s="956"/>
      <c r="M92" s="948">
        <v>2021</v>
      </c>
      <c r="N92" s="949"/>
      <c r="O92" s="949"/>
      <c r="P92" s="956"/>
      <c r="Q92" s="986">
        <v>2022</v>
      </c>
      <c r="R92" s="987"/>
      <c r="S92" s="295"/>
      <c r="T92" s="296"/>
      <c r="U92" s="983">
        <v>2023</v>
      </c>
      <c r="V92" s="984"/>
      <c r="W92" s="984"/>
      <c r="X92" s="985"/>
      <c r="Y92" s="983">
        <v>2024</v>
      </c>
      <c r="Z92" s="984"/>
      <c r="AA92" s="984"/>
      <c r="AB92" s="984"/>
      <c r="AC92" s="262">
        <v>2025</v>
      </c>
      <c r="AD92" s="708"/>
      <c r="AE92" s="708"/>
      <c r="AF92" s="708"/>
    </row>
    <row r="93" spans="4:32" x14ac:dyDescent="0.3">
      <c r="D93" s="1058"/>
      <c r="E93" s="1059"/>
      <c r="F93" s="155" t="s">
        <v>329</v>
      </c>
      <c r="G93" s="154" t="s">
        <v>238</v>
      </c>
      <c r="H93" s="205" t="s">
        <v>327</v>
      </c>
      <c r="I93" s="154" t="s">
        <v>328</v>
      </c>
      <c r="J93" s="154" t="s">
        <v>329</v>
      </c>
      <c r="K93" s="154" t="s">
        <v>238</v>
      </c>
      <c r="L93" s="205" t="s">
        <v>327</v>
      </c>
      <c r="M93" s="155" t="s">
        <v>328</v>
      </c>
      <c r="N93" s="154" t="s">
        <v>329</v>
      </c>
      <c r="O93" s="154" t="s">
        <v>238</v>
      </c>
      <c r="P93" s="205" t="s">
        <v>327</v>
      </c>
      <c r="Q93" s="155" t="s">
        <v>328</v>
      </c>
      <c r="R93" s="205" t="s">
        <v>329</v>
      </c>
      <c r="S93" s="362" t="s">
        <v>238</v>
      </c>
      <c r="T93" s="381" t="s">
        <v>327</v>
      </c>
      <c r="U93" s="279" t="s">
        <v>328</v>
      </c>
      <c r="V93" s="280" t="s">
        <v>329</v>
      </c>
      <c r="W93" s="280" t="s">
        <v>238</v>
      </c>
      <c r="X93" s="281" t="s">
        <v>327</v>
      </c>
      <c r="Y93" s="279" t="s">
        <v>328</v>
      </c>
      <c r="Z93" s="275" t="s">
        <v>329</v>
      </c>
      <c r="AA93" s="280" t="s">
        <v>238</v>
      </c>
      <c r="AB93" s="280" t="s">
        <v>327</v>
      </c>
      <c r="AC93" s="283" t="s">
        <v>328</v>
      </c>
    </row>
    <row r="94" spans="4:32" x14ac:dyDescent="0.3">
      <c r="D94" s="1050" t="s">
        <v>579</v>
      </c>
      <c r="E94" s="1051"/>
      <c r="F94" s="292"/>
      <c r="G94" s="288"/>
      <c r="H94" s="288"/>
      <c r="I94" s="288"/>
      <c r="J94" s="288"/>
      <c r="K94" s="288"/>
      <c r="L94" s="288"/>
      <c r="M94" s="288"/>
      <c r="N94" s="288"/>
      <c r="O94" s="288"/>
      <c r="P94" s="288"/>
      <c r="Q94" s="288"/>
      <c r="R94" s="649"/>
      <c r="S94" s="312"/>
      <c r="T94" s="312"/>
      <c r="U94" s="312"/>
      <c r="V94" s="312"/>
      <c r="W94" s="312"/>
      <c r="X94" s="312"/>
      <c r="Y94" s="312"/>
      <c r="Z94" s="312"/>
      <c r="AA94" s="312"/>
      <c r="AB94" s="312"/>
      <c r="AC94" s="313"/>
    </row>
    <row r="95" spans="4:32" x14ac:dyDescent="0.3">
      <c r="D95" s="487" t="s">
        <v>546</v>
      </c>
      <c r="F95" s="759"/>
      <c r="G95" s="167"/>
      <c r="H95" s="167">
        <f t="shared" ref="H95:R95" si="35">H10/H100</f>
        <v>0.11691183930201886</v>
      </c>
      <c r="I95" s="167">
        <f t="shared" si="35"/>
        <v>0.11632374399271765</v>
      </c>
      <c r="J95" s="167">
        <f t="shared" si="35"/>
        <v>0.11234318837285294</v>
      </c>
      <c r="K95" s="167">
        <f t="shared" si="35"/>
        <v>0.11273203252694187</v>
      </c>
      <c r="L95" s="167">
        <f t="shared" si="35"/>
        <v>0.11471728519817445</v>
      </c>
      <c r="M95" s="167">
        <f t="shared" si="35"/>
        <v>0.12169301738753303</v>
      </c>
      <c r="N95" s="167">
        <f t="shared" si="35"/>
        <v>0.12406841900584607</v>
      </c>
      <c r="O95" s="167">
        <f t="shared" si="35"/>
        <v>0.12694533120510773</v>
      </c>
      <c r="P95" s="167">
        <f t="shared" si="35"/>
        <v>0.12939844544132059</v>
      </c>
      <c r="Q95" s="167">
        <f t="shared" si="35"/>
        <v>0.14380151458097987</v>
      </c>
      <c r="R95" s="788">
        <f t="shared" si="35"/>
        <v>0.14290567850322761</v>
      </c>
      <c r="S95" s="362"/>
      <c r="T95" s="362"/>
      <c r="U95" s="362"/>
      <c r="V95" s="362"/>
      <c r="W95" s="362"/>
      <c r="X95" s="362"/>
      <c r="Y95" s="362"/>
      <c r="Z95" s="362"/>
      <c r="AA95" s="362"/>
      <c r="AB95" s="362"/>
      <c r="AC95" s="381"/>
    </row>
    <row r="96" spans="4:32" x14ac:dyDescent="0.3">
      <c r="D96" s="487" t="s">
        <v>547</v>
      </c>
      <c r="F96" s="759"/>
      <c r="G96" s="167"/>
      <c r="H96" s="167">
        <f t="shared" ref="H96:R96" si="36">H11/H105</f>
        <v>0.15050223685321179</v>
      </c>
      <c r="I96" s="167">
        <f t="shared" si="36"/>
        <v>0.15157126064930876</v>
      </c>
      <c r="J96" s="167">
        <f t="shared" si="36"/>
        <v>0.15486484381085924</v>
      </c>
      <c r="K96" s="167">
        <f t="shared" si="36"/>
        <v>0.15330544288475015</v>
      </c>
      <c r="L96" s="167">
        <f t="shared" si="36"/>
        <v>0.15177048544085955</v>
      </c>
      <c r="M96" s="167">
        <f t="shared" si="36"/>
        <v>0.15350775174199291</v>
      </c>
      <c r="N96" s="167">
        <f t="shared" si="36"/>
        <v>0.15268276884121268</v>
      </c>
      <c r="O96" s="167">
        <f t="shared" si="36"/>
        <v>0.1518881225469649</v>
      </c>
      <c r="P96" s="167">
        <f t="shared" si="36"/>
        <v>0.1512299544187935</v>
      </c>
      <c r="Q96" s="167">
        <f t="shared" si="36"/>
        <v>0.15156403485846634</v>
      </c>
      <c r="R96" s="788">
        <f t="shared" si="36"/>
        <v>0.15136876006441222</v>
      </c>
      <c r="S96" s="362"/>
      <c r="T96" s="362"/>
      <c r="U96" s="362"/>
      <c r="V96" s="362"/>
      <c r="W96" s="362"/>
      <c r="X96" s="362"/>
      <c r="Y96" s="362"/>
      <c r="Z96" s="362"/>
      <c r="AA96" s="362"/>
      <c r="AB96" s="362"/>
      <c r="AC96" s="381"/>
    </row>
    <row r="97" spans="4:30" x14ac:dyDescent="0.3">
      <c r="D97" s="487" t="s">
        <v>548</v>
      </c>
      <c r="F97" s="759"/>
      <c r="G97" s="167"/>
      <c r="H97" s="167">
        <f t="shared" ref="H97:R97" si="37">H12/H106</f>
        <v>1.2140112870976327E-2</v>
      </c>
      <c r="I97" s="167">
        <f t="shared" si="37"/>
        <v>1.2867838023145487E-2</v>
      </c>
      <c r="J97" s="167">
        <f t="shared" si="37"/>
        <v>1.0646897156978221E-2</v>
      </c>
      <c r="K97" s="167">
        <f t="shared" si="37"/>
        <v>1.0585008884971108E-2</v>
      </c>
      <c r="L97" s="167">
        <f t="shared" si="37"/>
        <v>1.0824186458016532E-2</v>
      </c>
      <c r="M97" s="167">
        <f t="shared" si="37"/>
        <v>1.1076012635451236E-2</v>
      </c>
      <c r="N97" s="167">
        <f t="shared" si="37"/>
        <v>1.1338056460715356E-2</v>
      </c>
      <c r="O97" s="167">
        <f t="shared" si="37"/>
        <v>1.083000833077564E-2</v>
      </c>
      <c r="P97" s="167">
        <f t="shared" si="37"/>
        <v>1.0929129224847066E-2</v>
      </c>
      <c r="Q97" s="167">
        <f t="shared" si="37"/>
        <v>1.1589612539816798E-2</v>
      </c>
      <c r="R97" s="788">
        <f t="shared" si="37"/>
        <v>1.1758546857720995E-2</v>
      </c>
      <c r="S97" s="362"/>
      <c r="T97" s="362"/>
      <c r="U97" s="362"/>
      <c r="V97" s="362"/>
      <c r="W97" s="362"/>
      <c r="X97" s="362"/>
      <c r="Y97" s="362"/>
      <c r="Z97" s="362"/>
      <c r="AA97" s="362"/>
      <c r="AB97" s="362"/>
      <c r="AC97" s="381"/>
    </row>
    <row r="98" spans="4:30" x14ac:dyDescent="0.3">
      <c r="D98" s="414" t="s">
        <v>549</v>
      </c>
      <c r="F98" s="759"/>
      <c r="G98" s="167"/>
      <c r="H98" s="167">
        <f t="shared" ref="H98:Q98" si="38">H13/H107</f>
        <v>0.12172540768016833</v>
      </c>
      <c r="I98" s="167">
        <f t="shared" si="38"/>
        <v>9.8615712257453844E-2</v>
      </c>
      <c r="J98" s="167">
        <f t="shared" si="38"/>
        <v>0.10910512937495927</v>
      </c>
      <c r="K98" s="167">
        <f t="shared" si="38"/>
        <v>0.10686521958606764</v>
      </c>
      <c r="L98" s="167">
        <f t="shared" si="38"/>
        <v>0.11540630607536528</v>
      </c>
      <c r="M98" s="167">
        <f t="shared" si="38"/>
        <v>0.11817745803357314</v>
      </c>
      <c r="N98" s="167">
        <f t="shared" si="38"/>
        <v>0.11661721068249259</v>
      </c>
      <c r="O98" s="167">
        <f t="shared" si="38"/>
        <v>0.11888722554890217</v>
      </c>
      <c r="P98" s="167">
        <f t="shared" si="38"/>
        <v>0.11675316587087399</v>
      </c>
      <c r="Q98" s="167">
        <f t="shared" si="38"/>
        <v>0.11935730680948739</v>
      </c>
      <c r="R98" s="381"/>
      <c r="S98" s="362"/>
      <c r="T98" s="362"/>
      <c r="U98" s="362"/>
      <c r="V98" s="362"/>
      <c r="W98" s="362"/>
      <c r="X98" s="362"/>
      <c r="Y98" s="362"/>
      <c r="Z98" s="362"/>
      <c r="AA98" s="362"/>
      <c r="AB98" s="362"/>
      <c r="AC98" s="381"/>
    </row>
    <row r="99" spans="4:30" x14ac:dyDescent="0.3">
      <c r="D99" s="580" t="s">
        <v>580</v>
      </c>
      <c r="F99" s="289"/>
      <c r="G99" s="149"/>
      <c r="H99" s="149"/>
      <c r="I99" s="149"/>
      <c r="J99" s="149"/>
      <c r="K99" s="149"/>
      <c r="L99" s="149"/>
      <c r="M99" s="149"/>
      <c r="N99" s="149"/>
      <c r="O99" s="149"/>
      <c r="P99" s="149"/>
      <c r="Q99" s="149"/>
      <c r="R99" s="156"/>
      <c r="S99" s="362"/>
      <c r="T99" s="362"/>
      <c r="U99" s="362"/>
      <c r="V99" s="362"/>
      <c r="W99" s="362"/>
      <c r="X99" s="362"/>
      <c r="Y99" s="362"/>
      <c r="Z99" s="362"/>
      <c r="AA99" s="362"/>
      <c r="AB99" s="362"/>
      <c r="AC99" s="381"/>
    </row>
    <row r="100" spans="4:30" x14ac:dyDescent="0.3">
      <c r="D100" s="674" t="s">
        <v>581</v>
      </c>
      <c r="F100" s="453">
        <f>SUM(F101:F104)</f>
        <v>14523.5</v>
      </c>
      <c r="G100" s="442">
        <f t="shared" ref="G100:O100" si="39">SUM(G101:G104)</f>
        <v>14614</v>
      </c>
      <c r="H100" s="442">
        <f t="shared" si="39"/>
        <v>14785.5</v>
      </c>
      <c r="I100" s="442">
        <f t="shared" si="39"/>
        <v>14940.199999999999</v>
      </c>
      <c r="J100" s="442">
        <f t="shared" si="39"/>
        <v>14077.4</v>
      </c>
      <c r="K100" s="442">
        <f t="shared" si="39"/>
        <v>14744.7</v>
      </c>
      <c r="L100" s="442">
        <f t="shared" si="39"/>
        <v>15140.7</v>
      </c>
      <c r="M100" s="442">
        <f t="shared" si="39"/>
        <v>15217.8</v>
      </c>
      <c r="N100" s="442">
        <f t="shared" si="39"/>
        <v>15685.7</v>
      </c>
      <c r="O100" s="442">
        <f t="shared" si="39"/>
        <v>16038.400000000001</v>
      </c>
      <c r="P100" s="442">
        <f t="shared" ref="P100:R100" si="40">SUM(P101:P104)</f>
        <v>16429.099999999999</v>
      </c>
      <c r="Q100" s="442">
        <f t="shared" si="40"/>
        <v>16730.7</v>
      </c>
      <c r="R100" s="472">
        <f t="shared" si="40"/>
        <v>17071.400000000001</v>
      </c>
      <c r="S100" s="362"/>
      <c r="T100" s="362"/>
      <c r="U100" s="362"/>
      <c r="V100" s="362"/>
      <c r="W100" s="362"/>
      <c r="X100" s="362"/>
      <c r="Y100" s="362"/>
      <c r="Z100" s="362"/>
      <c r="AA100" s="362"/>
      <c r="AB100" s="362"/>
      <c r="AC100" s="381"/>
    </row>
    <row r="101" spans="4:30" x14ac:dyDescent="0.3">
      <c r="D101" s="768" t="s">
        <v>855</v>
      </c>
      <c r="E101" s="157" t="s">
        <v>851</v>
      </c>
      <c r="F101" s="453">
        <f>'Haver Pivoted'!GQ81</f>
        <v>9287.2000000000007</v>
      </c>
      <c r="G101" s="442">
        <f>'Haver Pivoted'!GR81</f>
        <v>9338.7000000000007</v>
      </c>
      <c r="H101" s="442">
        <f>'Haver Pivoted'!GS81</f>
        <v>9477.6</v>
      </c>
      <c r="I101" s="442">
        <f>'Haver Pivoted'!GT81</f>
        <v>9613.2999999999993</v>
      </c>
      <c r="J101" s="442">
        <f>'Haver Pivoted'!GU81</f>
        <v>8985.9</v>
      </c>
      <c r="K101" s="442">
        <f>'Haver Pivoted'!GV81</f>
        <v>9417.7999999999993</v>
      </c>
      <c r="L101" s="442">
        <f>'Haver Pivoted'!GW81</f>
        <v>9791.1</v>
      </c>
      <c r="M101" s="442">
        <f>'Haver Pivoted'!GX81</f>
        <v>9888.1</v>
      </c>
      <c r="N101" s="442">
        <f>'Haver Pivoted'!GY81</f>
        <v>10189.1</v>
      </c>
      <c r="O101" s="442">
        <f>'Haver Pivoted'!GZ81</f>
        <v>10497.2</v>
      </c>
      <c r="P101" s="442">
        <f>'Haver Pivoted'!HA81</f>
        <v>10837.8</v>
      </c>
      <c r="Q101" s="442">
        <f>'Haver Pivoted'!HB81</f>
        <v>11096.3</v>
      </c>
      <c r="R101" s="472">
        <f>'Haver Pivoted'!HC81</f>
        <v>11302.2</v>
      </c>
      <c r="S101" s="362"/>
      <c r="T101" s="362"/>
      <c r="U101" s="362"/>
      <c r="V101" s="362"/>
      <c r="W101" s="362"/>
      <c r="X101" s="362"/>
      <c r="Y101" s="362"/>
      <c r="Z101" s="362"/>
      <c r="AA101" s="362"/>
      <c r="AB101" s="362"/>
      <c r="AC101" s="381"/>
    </row>
    <row r="102" spans="4:30" x14ac:dyDescent="0.3">
      <c r="D102" s="768" t="s">
        <v>582</v>
      </c>
      <c r="E102" s="157" t="s">
        <v>852</v>
      </c>
      <c r="F102" s="453">
        <f>'Haver Pivoted'!GQ82</f>
        <v>1572.8</v>
      </c>
      <c r="G102" s="442">
        <f>'Haver Pivoted'!GR82</f>
        <v>1610.6</v>
      </c>
      <c r="H102" s="442">
        <f>'Haver Pivoted'!GS82</f>
        <v>1626.8</v>
      </c>
      <c r="I102" s="442">
        <f>'Haver Pivoted'!GT82</f>
        <v>1638.3</v>
      </c>
      <c r="J102" s="442">
        <f>'Haver Pivoted'!GU82</f>
        <v>1471.1</v>
      </c>
      <c r="K102" s="442">
        <f>'Haver Pivoted'!GV82</f>
        <v>1760.7</v>
      </c>
      <c r="L102" s="442">
        <f>'Haver Pivoted'!GW82</f>
        <v>1730</v>
      </c>
      <c r="M102" s="442">
        <f>'Haver Pivoted'!GX82</f>
        <v>1714</v>
      </c>
      <c r="N102" s="442">
        <f>'Haver Pivoted'!GY82</f>
        <v>1848.2</v>
      </c>
      <c r="O102" s="442">
        <f>'Haver Pivoted'!GZ82</f>
        <v>1867</v>
      </c>
      <c r="P102" s="442">
        <f>'Haver Pivoted'!HA82</f>
        <v>1858.5</v>
      </c>
      <c r="Q102" s="442">
        <f>'Haver Pivoted'!HB82</f>
        <v>1878.2</v>
      </c>
      <c r="R102" s="472">
        <f>'Haver Pivoted'!HC82</f>
        <v>1930.8</v>
      </c>
      <c r="S102" s="362"/>
      <c r="T102" s="362"/>
      <c r="U102" s="362"/>
      <c r="V102" s="362"/>
      <c r="W102" s="362"/>
      <c r="X102" s="362"/>
      <c r="Y102" s="362"/>
      <c r="Z102" s="362"/>
      <c r="AA102" s="362"/>
      <c r="AB102" s="362"/>
      <c r="AC102" s="381"/>
    </row>
    <row r="103" spans="4:30" x14ac:dyDescent="0.3">
      <c r="D103" s="768" t="s">
        <v>583</v>
      </c>
      <c r="E103" s="157" t="s">
        <v>858</v>
      </c>
      <c r="F103" s="453">
        <f>'Haver Pivoted'!GQ83</f>
        <v>691</v>
      </c>
      <c r="G103" s="442">
        <f>'Haver Pivoted'!GR83</f>
        <v>691.5</v>
      </c>
      <c r="H103" s="442">
        <f>'Haver Pivoted'!GS83</f>
        <v>699</v>
      </c>
      <c r="I103" s="442">
        <f>'Haver Pivoted'!GT83</f>
        <v>712.2</v>
      </c>
      <c r="J103" s="442">
        <f>'Haver Pivoted'!GU83</f>
        <v>709.5</v>
      </c>
      <c r="K103" s="442">
        <f>'Haver Pivoted'!GV83</f>
        <v>714.5</v>
      </c>
      <c r="L103" s="442">
        <f>'Haver Pivoted'!GW83</f>
        <v>710</v>
      </c>
      <c r="M103" s="442">
        <f>'Haver Pivoted'!GX83</f>
        <v>716.9</v>
      </c>
      <c r="N103" s="442">
        <f>'Haver Pivoted'!GY83</f>
        <v>716.3</v>
      </c>
      <c r="O103" s="442">
        <f>'Haver Pivoted'!GZ83</f>
        <v>729</v>
      </c>
      <c r="P103" s="442">
        <f>'Haver Pivoted'!HA83</f>
        <v>743.6</v>
      </c>
      <c r="Q103" s="442">
        <f>'Haver Pivoted'!HB83</f>
        <v>748.4</v>
      </c>
      <c r="R103" s="472">
        <f>'Haver Pivoted'!HC83</f>
        <v>788.9</v>
      </c>
      <c r="S103" s="362"/>
      <c r="T103" s="362"/>
      <c r="U103" s="362"/>
      <c r="V103" s="362"/>
      <c r="W103" s="362"/>
      <c r="X103" s="362"/>
      <c r="Y103" s="362"/>
      <c r="Z103" s="362"/>
      <c r="AA103" s="362"/>
      <c r="AB103" s="362"/>
      <c r="AC103" s="381"/>
    </row>
    <row r="104" spans="4:30" x14ac:dyDescent="0.3">
      <c r="D104" s="768" t="s">
        <v>584</v>
      </c>
      <c r="E104" s="157" t="s">
        <v>854</v>
      </c>
      <c r="F104" s="453">
        <f>'Haver Pivoted'!GQ84</f>
        <v>2972.5</v>
      </c>
      <c r="G104" s="442">
        <f>'Haver Pivoted'!GR84</f>
        <v>2973.2</v>
      </c>
      <c r="H104" s="442">
        <f>'Haver Pivoted'!GS84</f>
        <v>2982.1</v>
      </c>
      <c r="I104" s="442">
        <f>'Haver Pivoted'!GT84</f>
        <v>2976.4</v>
      </c>
      <c r="J104" s="442">
        <f>'Haver Pivoted'!GU84</f>
        <v>2910.9</v>
      </c>
      <c r="K104" s="442">
        <f>'Haver Pivoted'!GV84</f>
        <v>2851.7</v>
      </c>
      <c r="L104" s="442">
        <f>'Haver Pivoted'!GW84</f>
        <v>2909.6</v>
      </c>
      <c r="M104" s="442">
        <f>'Haver Pivoted'!GX84</f>
        <v>2898.8</v>
      </c>
      <c r="N104" s="442">
        <f>'Haver Pivoted'!GY84</f>
        <v>2932.1</v>
      </c>
      <c r="O104" s="442">
        <f>'Haver Pivoted'!GZ84</f>
        <v>2945.2</v>
      </c>
      <c r="P104" s="442">
        <f>'Haver Pivoted'!HA84</f>
        <v>2989.2</v>
      </c>
      <c r="Q104" s="442">
        <f>'Haver Pivoted'!HB84</f>
        <v>3007.8</v>
      </c>
      <c r="R104" s="472">
        <f>'Haver Pivoted'!HC84</f>
        <v>3049.5</v>
      </c>
      <c r="S104" s="362"/>
      <c r="T104" s="362"/>
      <c r="U104" s="362"/>
      <c r="V104" s="362"/>
      <c r="W104" s="362"/>
      <c r="X104" s="362"/>
      <c r="Y104" s="362"/>
      <c r="Z104" s="362"/>
      <c r="AA104" s="362"/>
      <c r="AB104" s="362"/>
      <c r="AC104" s="381"/>
    </row>
    <row r="105" spans="4:30" x14ac:dyDescent="0.3">
      <c r="D105" s="674" t="s">
        <v>569</v>
      </c>
      <c r="F105" s="453">
        <f>F101</f>
        <v>9287.2000000000007</v>
      </c>
      <c r="G105" s="442">
        <f t="shared" ref="G105:O105" si="41">G101</f>
        <v>9338.7000000000007</v>
      </c>
      <c r="H105" s="442">
        <f t="shared" si="41"/>
        <v>9477.6</v>
      </c>
      <c r="I105" s="442">
        <f t="shared" si="41"/>
        <v>9613.2999999999993</v>
      </c>
      <c r="J105" s="442">
        <f t="shared" si="41"/>
        <v>8985.9</v>
      </c>
      <c r="K105" s="442">
        <f t="shared" si="41"/>
        <v>9417.7999999999993</v>
      </c>
      <c r="L105" s="442">
        <f t="shared" si="41"/>
        <v>9791.1</v>
      </c>
      <c r="M105" s="442">
        <f t="shared" si="41"/>
        <v>9888.1</v>
      </c>
      <c r="N105" s="442">
        <f t="shared" si="41"/>
        <v>10189.1</v>
      </c>
      <c r="O105" s="442">
        <f t="shared" si="41"/>
        <v>10497.2</v>
      </c>
      <c r="P105" s="442">
        <f t="shared" ref="P105:R105" si="42">P101</f>
        <v>10837.8</v>
      </c>
      <c r="Q105" s="442">
        <f t="shared" si="42"/>
        <v>11096.3</v>
      </c>
      <c r="R105" s="472">
        <f t="shared" si="42"/>
        <v>11302.2</v>
      </c>
      <c r="S105" s="362"/>
      <c r="T105" s="362"/>
      <c r="U105" s="362"/>
      <c r="V105" s="362"/>
      <c r="W105" s="362"/>
      <c r="X105" s="362"/>
      <c r="Y105" s="362"/>
      <c r="Z105" s="362"/>
      <c r="AA105" s="362"/>
      <c r="AB105" s="362"/>
      <c r="AC105" s="381"/>
    </row>
    <row r="106" spans="4:30" x14ac:dyDescent="0.3">
      <c r="D106" s="674" t="s">
        <v>570</v>
      </c>
      <c r="E106" s="157" t="s">
        <v>588</v>
      </c>
      <c r="F106" s="453">
        <f>'Haver Pivoted'!GQ5</f>
        <v>14375.7</v>
      </c>
      <c r="G106" s="442">
        <f>'Haver Pivoted'!GR5</f>
        <v>14529.5</v>
      </c>
      <c r="H106" s="442">
        <f>'Haver Pivoted'!GS5</f>
        <v>14653.9</v>
      </c>
      <c r="I106" s="442">
        <f>'Haver Pivoted'!GT5</f>
        <v>14439.1</v>
      </c>
      <c r="J106" s="442">
        <f>'Haver Pivoted'!GU5</f>
        <v>12989.7</v>
      </c>
      <c r="K106" s="442">
        <f>'Haver Pivoted'!GV5</f>
        <v>14293.8</v>
      </c>
      <c r="L106" s="442">
        <f>'Haver Pivoted'!GW5</f>
        <v>14467.6</v>
      </c>
      <c r="M106" s="442">
        <f>'Haver Pivoted'!GX5</f>
        <v>15005.4</v>
      </c>
      <c r="N106" s="442">
        <f>'Haver Pivoted'!GY5</f>
        <v>15681.7</v>
      </c>
      <c r="O106" s="442">
        <f>'Haver Pivoted'!GZ5</f>
        <v>15964.9</v>
      </c>
      <c r="P106" s="442">
        <f>'Haver Pivoted'!HA5</f>
        <v>16314.2</v>
      </c>
      <c r="Q106" s="442">
        <f>'Haver Pivoted'!HB5</f>
        <v>16670.099999999999</v>
      </c>
      <c r="R106" s="472">
        <f>'Haver Pivoted'!HC5</f>
        <v>17000.400000000001</v>
      </c>
      <c r="S106" s="362"/>
      <c r="T106" s="362"/>
      <c r="U106" s="362"/>
      <c r="V106" s="362"/>
      <c r="W106" s="362"/>
      <c r="X106" s="362"/>
      <c r="Y106" s="362"/>
      <c r="Z106" s="362"/>
      <c r="AA106" s="362"/>
      <c r="AB106" s="362"/>
      <c r="AC106" s="381"/>
    </row>
    <row r="107" spans="4:30" x14ac:dyDescent="0.3">
      <c r="D107" s="674" t="s">
        <v>585</v>
      </c>
      <c r="E107" s="157" t="s">
        <v>853</v>
      </c>
      <c r="F107" s="453">
        <f>'Haver Pivoted'!GQ85</f>
        <v>1858.1</v>
      </c>
      <c r="G107" s="442">
        <f>'Haver Pivoted'!GR85</f>
        <v>1859.3</v>
      </c>
      <c r="H107" s="442">
        <f>'Haver Pivoted'!GS85</f>
        <v>1901</v>
      </c>
      <c r="I107" s="442">
        <f>'Haver Pivoted'!GT85</f>
        <v>1690.4</v>
      </c>
      <c r="J107" s="442">
        <f>'Haver Pivoted'!GU85</f>
        <v>1534.3</v>
      </c>
      <c r="K107" s="442">
        <f>'Haver Pivoted'!GV85</f>
        <v>1981</v>
      </c>
      <c r="L107" s="442">
        <f>'Haver Pivoted'!GW85</f>
        <v>1950.5</v>
      </c>
      <c r="M107" s="442">
        <f>'Haver Pivoted'!GX85</f>
        <v>2085</v>
      </c>
      <c r="N107" s="442">
        <f>'Haver Pivoted'!GY85</f>
        <v>2359</v>
      </c>
      <c r="O107" s="442">
        <f>'Haver Pivoted'!GZ85</f>
        <v>2404.8000000000002</v>
      </c>
      <c r="P107" s="442">
        <f>'Haver Pivoted'!HA85</f>
        <v>2408.5</v>
      </c>
      <c r="Q107" s="442">
        <f>'Haver Pivoted'!HB85</f>
        <v>2352.6</v>
      </c>
      <c r="R107" s="381"/>
      <c r="S107" s="362"/>
      <c r="T107" s="362"/>
      <c r="U107" s="362"/>
      <c r="V107" s="362"/>
      <c r="W107" s="362"/>
      <c r="X107" s="362"/>
      <c r="Y107" s="362"/>
      <c r="Z107" s="362"/>
      <c r="AA107" s="362"/>
      <c r="AB107" s="362"/>
      <c r="AC107" s="381"/>
    </row>
    <row r="108" spans="4:30" x14ac:dyDescent="0.3">
      <c r="D108" s="580" t="s">
        <v>586</v>
      </c>
      <c r="F108" s="289"/>
      <c r="G108" s="149"/>
      <c r="H108" s="149"/>
      <c r="I108" s="149"/>
      <c r="J108" s="149"/>
      <c r="K108" s="149"/>
      <c r="L108" s="149"/>
      <c r="M108" s="149"/>
      <c r="N108" s="149"/>
      <c r="O108" s="149"/>
      <c r="P108" s="149"/>
      <c r="Q108" s="149"/>
      <c r="R108" s="156"/>
      <c r="S108" s="362"/>
      <c r="T108" s="362"/>
      <c r="U108" s="362"/>
      <c r="V108" s="362"/>
      <c r="W108" s="362"/>
      <c r="X108" s="362"/>
      <c r="Y108" s="362"/>
      <c r="Z108" s="362"/>
      <c r="AA108" s="362"/>
      <c r="AB108" s="362"/>
      <c r="AC108" s="381"/>
    </row>
    <row r="109" spans="4:30" x14ac:dyDescent="0.3">
      <c r="D109" s="762" t="s">
        <v>550</v>
      </c>
      <c r="F109" s="759">
        <f t="shared" ref="F109:R109" si="43">F18/F100</f>
        <v>3.5866010259235033E-2</v>
      </c>
      <c r="G109" s="167">
        <f t="shared" si="43"/>
        <v>3.4035856028465851E-2</v>
      </c>
      <c r="H109" s="167">
        <f t="shared" si="43"/>
        <v>3.3458455919651006E-2</v>
      </c>
      <c r="I109" s="167">
        <f t="shared" si="43"/>
        <v>3.3721101457811813E-2</v>
      </c>
      <c r="J109" s="167">
        <f t="shared" si="43"/>
        <v>3.6761049625641098E-2</v>
      </c>
      <c r="K109" s="167">
        <f t="shared" si="43"/>
        <v>3.5239781073877395E-2</v>
      </c>
      <c r="L109" s="167">
        <f t="shared" si="43"/>
        <v>3.4529447119353789E-2</v>
      </c>
      <c r="M109" s="167">
        <f t="shared" si="43"/>
        <v>3.6812154187858957E-2</v>
      </c>
      <c r="N109" s="167">
        <f t="shared" si="43"/>
        <v>3.7384369202522041E-2</v>
      </c>
      <c r="O109" s="167">
        <f t="shared" si="43"/>
        <v>3.7728202314445326E-2</v>
      </c>
      <c r="P109" s="167">
        <f t="shared" si="43"/>
        <v>3.8291811480848009E-2</v>
      </c>
      <c r="Q109" s="167">
        <f t="shared" si="43"/>
        <v>3.9155564321875357E-2</v>
      </c>
      <c r="R109" s="788">
        <f t="shared" si="43"/>
        <v>4.0049439413287723E-2</v>
      </c>
      <c r="S109" s="771">
        <f>R109</f>
        <v>4.0049439413287723E-2</v>
      </c>
      <c r="T109" s="771">
        <f t="shared" ref="T109:AC111" si="44">S109</f>
        <v>4.0049439413287723E-2</v>
      </c>
      <c r="U109" s="771">
        <f t="shared" si="44"/>
        <v>4.0049439413287723E-2</v>
      </c>
      <c r="V109" s="771">
        <f t="shared" si="44"/>
        <v>4.0049439413287723E-2</v>
      </c>
      <c r="W109" s="771">
        <f t="shared" si="44"/>
        <v>4.0049439413287723E-2</v>
      </c>
      <c r="X109" s="771">
        <f>W109</f>
        <v>4.0049439413287723E-2</v>
      </c>
      <c r="Y109" s="771">
        <f t="shared" si="44"/>
        <v>4.0049439413287723E-2</v>
      </c>
      <c r="Z109" s="771">
        <f t="shared" si="44"/>
        <v>4.0049439413287723E-2</v>
      </c>
      <c r="AA109" s="771">
        <f t="shared" si="44"/>
        <v>4.0049439413287723E-2</v>
      </c>
      <c r="AB109" s="771">
        <f t="shared" si="44"/>
        <v>4.0049439413287723E-2</v>
      </c>
      <c r="AC109" s="791">
        <f t="shared" si="44"/>
        <v>4.0049439413287723E-2</v>
      </c>
      <c r="AD109" s="167"/>
    </row>
    <row r="110" spans="4:30" x14ac:dyDescent="0.3">
      <c r="D110" s="762" t="s">
        <v>547</v>
      </c>
      <c r="F110" s="759">
        <f t="shared" ref="F110:R110" si="45">F19/F105</f>
        <v>2.2073391334309586E-3</v>
      </c>
      <c r="G110" s="167">
        <f t="shared" si="45"/>
        <v>2.1737500936961245E-3</v>
      </c>
      <c r="H110" s="167">
        <f t="shared" si="45"/>
        <v>2.1313412678315184E-3</v>
      </c>
      <c r="I110" s="167">
        <f t="shared" si="45"/>
        <v>2.0908532969947887E-3</v>
      </c>
      <c r="J110" s="167">
        <f t="shared" si="45"/>
        <v>2.1255522540869587E-3</v>
      </c>
      <c r="K110" s="167">
        <f t="shared" si="45"/>
        <v>2.1130200259083863E-3</v>
      </c>
      <c r="L110" s="167">
        <f t="shared" si="45"/>
        <v>2.0937381908059361E-3</v>
      </c>
      <c r="M110" s="167">
        <f t="shared" si="45"/>
        <v>2.1439912622242896E-3</v>
      </c>
      <c r="N110" s="167">
        <f t="shared" si="45"/>
        <v>2.149355684015271E-3</v>
      </c>
      <c r="O110" s="167">
        <f t="shared" si="45"/>
        <v>2.1434287238501692E-3</v>
      </c>
      <c r="P110" s="167">
        <f t="shared" si="45"/>
        <v>2.1037479931351384E-3</v>
      </c>
      <c r="Q110" s="167">
        <f t="shared" si="45"/>
        <v>2.0637509800564154E-3</v>
      </c>
      <c r="R110" s="788">
        <f t="shared" si="45"/>
        <v>2.0084585301976604E-3</v>
      </c>
      <c r="S110" s="771">
        <f>R110</f>
        <v>2.0084585301976604E-3</v>
      </c>
      <c r="T110" s="771">
        <f t="shared" si="44"/>
        <v>2.0084585301976604E-3</v>
      </c>
      <c r="U110" s="771">
        <f t="shared" si="44"/>
        <v>2.0084585301976604E-3</v>
      </c>
      <c r="V110" s="771">
        <f t="shared" si="44"/>
        <v>2.0084585301976604E-3</v>
      </c>
      <c r="W110" s="771">
        <f t="shared" si="44"/>
        <v>2.0084585301976604E-3</v>
      </c>
      <c r="X110" s="771">
        <f>W110</f>
        <v>2.0084585301976604E-3</v>
      </c>
      <c r="Y110" s="771">
        <f t="shared" si="44"/>
        <v>2.0084585301976604E-3</v>
      </c>
      <c r="Z110" s="771">
        <f t="shared" si="44"/>
        <v>2.0084585301976604E-3</v>
      </c>
      <c r="AA110" s="771">
        <f t="shared" si="44"/>
        <v>2.0084585301976604E-3</v>
      </c>
      <c r="AB110" s="771">
        <f t="shared" si="44"/>
        <v>2.0084585301976604E-3</v>
      </c>
      <c r="AC110" s="791">
        <f t="shared" si="44"/>
        <v>2.0084585301976604E-3</v>
      </c>
      <c r="AD110" s="167"/>
    </row>
    <row r="111" spans="4:30" x14ac:dyDescent="0.3">
      <c r="D111" s="762" t="s">
        <v>548</v>
      </c>
      <c r="F111" s="759">
        <f t="shared" ref="F111:R111" si="46">F20/F106</f>
        <v>9.3818040165000657E-2</v>
      </c>
      <c r="G111" s="167">
        <f t="shared" si="46"/>
        <v>9.4435458893974325E-2</v>
      </c>
      <c r="H111" s="167">
        <f t="shared" si="46"/>
        <v>9.406369635387167E-2</v>
      </c>
      <c r="I111" s="167">
        <f t="shared" si="46"/>
        <v>9.635642110657866E-2</v>
      </c>
      <c r="J111" s="167">
        <f t="shared" si="46"/>
        <v>0.10178833999245555</v>
      </c>
      <c r="K111" s="167">
        <f t="shared" si="46"/>
        <v>9.7433852439519242E-2</v>
      </c>
      <c r="L111" s="167">
        <f t="shared" si="46"/>
        <v>9.6795598440653607E-2</v>
      </c>
      <c r="M111" s="167">
        <f t="shared" si="46"/>
        <v>9.4226078611699793E-2</v>
      </c>
      <c r="N111" s="167">
        <f t="shared" si="46"/>
        <v>9.3006498019985076E-2</v>
      </c>
      <c r="O111" s="167">
        <f t="shared" si="46"/>
        <v>9.281611535305577E-2</v>
      </c>
      <c r="P111" s="167">
        <f t="shared" si="46"/>
        <v>9.2876144708290934E-2</v>
      </c>
      <c r="Q111" s="167">
        <f t="shared" si="46"/>
        <v>9.2680907733007009E-2</v>
      </c>
      <c r="R111" s="788">
        <f t="shared" si="46"/>
        <v>9.2333121573610025E-2</v>
      </c>
      <c r="S111" s="771">
        <f>R111</f>
        <v>9.2333121573610025E-2</v>
      </c>
      <c r="T111" s="771">
        <f t="shared" si="44"/>
        <v>9.2333121573610025E-2</v>
      </c>
      <c r="U111" s="771">
        <f t="shared" si="44"/>
        <v>9.2333121573610025E-2</v>
      </c>
      <c r="V111" s="771">
        <f t="shared" si="44"/>
        <v>9.2333121573610025E-2</v>
      </c>
      <c r="W111" s="771">
        <f t="shared" si="44"/>
        <v>9.2333121573610025E-2</v>
      </c>
      <c r="X111" s="771">
        <f>W111</f>
        <v>9.2333121573610025E-2</v>
      </c>
      <c r="Y111" s="771">
        <f t="shared" si="44"/>
        <v>9.2333121573610025E-2</v>
      </c>
      <c r="Z111" s="771">
        <f t="shared" si="44"/>
        <v>9.2333121573610025E-2</v>
      </c>
      <c r="AA111" s="771">
        <f t="shared" si="44"/>
        <v>9.2333121573610025E-2</v>
      </c>
      <c r="AB111" s="771">
        <f t="shared" si="44"/>
        <v>9.2333121573610025E-2</v>
      </c>
      <c r="AC111" s="791">
        <f t="shared" si="44"/>
        <v>9.2333121573610025E-2</v>
      </c>
      <c r="AD111" s="167"/>
    </row>
    <row r="112" spans="4:30" x14ac:dyDescent="0.3">
      <c r="D112" s="763" t="s">
        <v>587</v>
      </c>
      <c r="E112" s="268"/>
      <c r="F112" s="184">
        <f t="shared" ref="F112:Q112" si="47">F21/F107</f>
        <v>3.9179807330068352E-2</v>
      </c>
      <c r="G112" s="185">
        <f t="shared" si="47"/>
        <v>3.9315871564567305E-2</v>
      </c>
      <c r="H112" s="185">
        <f t="shared" si="47"/>
        <v>3.8085218306154661E-2</v>
      </c>
      <c r="I112" s="185">
        <f t="shared" si="47"/>
        <v>3.9339801230477991E-2</v>
      </c>
      <c r="J112" s="185">
        <f t="shared" si="47"/>
        <v>4.0344130874014207E-2</v>
      </c>
      <c r="K112" s="185">
        <f t="shared" si="47"/>
        <v>3.8768298838970212E-2</v>
      </c>
      <c r="L112" s="185">
        <f t="shared" si="47"/>
        <v>4.039989746218918E-2</v>
      </c>
      <c r="M112" s="185">
        <f t="shared" si="47"/>
        <v>4.100719424460432E-2</v>
      </c>
      <c r="N112" s="185">
        <f t="shared" si="47"/>
        <v>3.8957185247986435E-2</v>
      </c>
      <c r="O112" s="185">
        <f t="shared" si="47"/>
        <v>3.9629075182967391E-2</v>
      </c>
      <c r="P112" s="185">
        <f t="shared" si="47"/>
        <v>4.7913639194519415E-2</v>
      </c>
      <c r="Q112" s="185">
        <f t="shared" si="47"/>
        <v>7.4640822919323307E-2</v>
      </c>
      <c r="R112" s="773">
        <v>0.05</v>
      </c>
      <c r="S112" s="772">
        <f>R112</f>
        <v>0.05</v>
      </c>
      <c r="T112" s="772">
        <v>4.4999999999999998E-2</v>
      </c>
      <c r="U112" s="772">
        <f t="shared" ref="U112:AC112" si="48">T112</f>
        <v>4.4999999999999998E-2</v>
      </c>
      <c r="V112" s="772">
        <f t="shared" si="48"/>
        <v>4.4999999999999998E-2</v>
      </c>
      <c r="W112" s="772">
        <f t="shared" si="48"/>
        <v>4.4999999999999998E-2</v>
      </c>
      <c r="X112" s="772">
        <f>W112</f>
        <v>4.4999999999999998E-2</v>
      </c>
      <c r="Y112" s="772">
        <f t="shared" si="48"/>
        <v>4.4999999999999998E-2</v>
      </c>
      <c r="Z112" s="772">
        <f t="shared" si="48"/>
        <v>4.4999999999999998E-2</v>
      </c>
      <c r="AA112" s="772">
        <f t="shared" si="48"/>
        <v>4.4999999999999998E-2</v>
      </c>
      <c r="AB112" s="772">
        <f t="shared" si="48"/>
        <v>4.4999999999999998E-2</v>
      </c>
      <c r="AC112" s="773">
        <f t="shared" si="48"/>
        <v>4.4999999999999998E-2</v>
      </c>
      <c r="AD112" s="167"/>
    </row>
    <row r="114" spans="18:24" ht="18.75" customHeight="1" x14ac:dyDescent="0.3"/>
    <row r="115" spans="18:24" x14ac:dyDescent="0.3">
      <c r="R115" s="157"/>
      <c r="S115" s="157"/>
      <c r="T115" s="157"/>
      <c r="U115" s="157"/>
      <c r="V115" s="157"/>
      <c r="W115" s="157"/>
      <c r="X115" s="157"/>
    </row>
    <row r="117" spans="18:24" ht="14.4" customHeight="1" x14ac:dyDescent="0.3"/>
    <row r="118" spans="18:24" ht="14.4" customHeight="1" x14ac:dyDescent="0.3"/>
    <row r="119" spans="18:24" ht="14.4" customHeight="1" x14ac:dyDescent="0.3"/>
  </sheetData>
  <mergeCells count="29">
    <mergeCell ref="D1:AC1"/>
    <mergeCell ref="Y83:AB83"/>
    <mergeCell ref="Y6:AB6"/>
    <mergeCell ref="D83:E84"/>
    <mergeCell ref="U6:X6"/>
    <mergeCell ref="F83:H83"/>
    <mergeCell ref="F6:H6"/>
    <mergeCell ref="I6:L6"/>
    <mergeCell ref="D5:E7"/>
    <mergeCell ref="M6:P6"/>
    <mergeCell ref="D25:F25"/>
    <mergeCell ref="I83:L83"/>
    <mergeCell ref="D2:AC3"/>
    <mergeCell ref="Q6:R6"/>
    <mergeCell ref="Q83:R83"/>
    <mergeCell ref="F5:R5"/>
    <mergeCell ref="S5:AC5"/>
    <mergeCell ref="D94:E94"/>
    <mergeCell ref="O50:V50"/>
    <mergeCell ref="P51:S51"/>
    <mergeCell ref="U83:X83"/>
    <mergeCell ref="M83:P83"/>
    <mergeCell ref="M92:P92"/>
    <mergeCell ref="F92:H92"/>
    <mergeCell ref="I92:L92"/>
    <mergeCell ref="D92:E93"/>
    <mergeCell ref="U92:X92"/>
    <mergeCell ref="Y92:AB92"/>
    <mergeCell ref="Q92:R92"/>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5546875" defaultRowHeight="14.4" x14ac:dyDescent="0.3"/>
  <cols>
    <col min="3" max="3" width="33.6640625" customWidth="1"/>
  </cols>
  <sheetData>
    <row r="3" spans="1:17" x14ac:dyDescent="0.3">
      <c r="A3" s="676" t="s">
        <v>591</v>
      </c>
      <c r="B3" s="157"/>
    </row>
    <row r="4" spans="1:17" x14ac:dyDescent="0.3">
      <c r="A4" s="828" t="s">
        <v>592</v>
      </c>
      <c r="B4" s="829"/>
      <c r="C4" s="829"/>
    </row>
    <row r="7" spans="1:17" x14ac:dyDescent="0.3">
      <c r="A7" s="1071" t="s">
        <v>593</v>
      </c>
      <c r="B7" s="1072"/>
      <c r="C7" s="1072"/>
      <c r="D7" s="1072"/>
      <c r="E7" s="1072"/>
      <c r="F7" s="1072"/>
      <c r="G7" s="1072"/>
      <c r="H7" s="1072"/>
      <c r="I7" s="1072"/>
      <c r="J7" s="1072"/>
      <c r="K7" s="1072"/>
      <c r="L7" s="1072"/>
      <c r="M7" s="1072"/>
      <c r="N7" s="1072"/>
      <c r="O7" s="1072"/>
      <c r="P7" s="1072"/>
    </row>
    <row r="8" spans="1:17" x14ac:dyDescent="0.3">
      <c r="A8" s="268" t="s">
        <v>594</v>
      </c>
      <c r="B8" s="268"/>
      <c r="C8" s="268"/>
      <c r="D8" s="823"/>
      <c r="E8" s="268"/>
      <c r="F8" s="268"/>
      <c r="G8" s="268"/>
      <c r="H8" s="268"/>
      <c r="I8" s="268"/>
      <c r="J8" s="268"/>
      <c r="K8" s="268"/>
      <c r="L8" s="268"/>
      <c r="M8" s="268"/>
      <c r="N8" s="268"/>
      <c r="O8" s="268"/>
      <c r="P8" s="268"/>
    </row>
    <row r="9" spans="1:17" x14ac:dyDescent="0.3">
      <c r="A9" s="157"/>
      <c r="B9" s="157"/>
      <c r="C9" s="157"/>
      <c r="D9" s="824"/>
      <c r="E9" s="157"/>
      <c r="F9" s="157"/>
      <c r="G9" s="157"/>
      <c r="H9" s="157"/>
      <c r="I9" s="157"/>
      <c r="J9" s="157"/>
      <c r="K9" s="157"/>
      <c r="L9" s="157"/>
      <c r="M9" s="157"/>
      <c r="N9" s="157"/>
      <c r="O9" s="157"/>
      <c r="P9" s="157"/>
    </row>
    <row r="10" spans="1:17" x14ac:dyDescent="0.3">
      <c r="A10" s="157"/>
      <c r="B10" s="157"/>
      <c r="C10" s="157"/>
      <c r="D10" s="824"/>
      <c r="E10" s="157"/>
      <c r="F10" s="157"/>
      <c r="G10" s="157"/>
      <c r="H10" s="157"/>
      <c r="I10" s="157"/>
      <c r="J10" s="157"/>
      <c r="K10" s="157"/>
      <c r="L10" s="157"/>
      <c r="M10" s="157"/>
      <c r="N10" s="157"/>
      <c r="O10" s="1073" t="s">
        <v>360</v>
      </c>
      <c r="P10" s="1073"/>
    </row>
    <row r="11" spans="1:17" x14ac:dyDescent="0.3">
      <c r="A11" s="157"/>
      <c r="B11" s="157"/>
      <c r="C11" s="198"/>
      <c r="D11" s="274"/>
      <c r="E11" s="198"/>
      <c r="F11" s="198"/>
      <c r="G11" s="198"/>
      <c r="H11" s="198"/>
      <c r="I11" s="198"/>
      <c r="J11" s="198"/>
      <c r="K11" s="198"/>
      <c r="L11" s="198"/>
      <c r="M11" s="198"/>
      <c r="N11" s="198"/>
      <c r="O11" s="819" t="s">
        <v>595</v>
      </c>
      <c r="P11" s="819" t="s">
        <v>595</v>
      </c>
    </row>
    <row r="12" spans="1:17" x14ac:dyDescent="0.3">
      <c r="A12" s="268"/>
      <c r="B12" s="268"/>
      <c r="C12" s="268"/>
      <c r="D12" s="823">
        <v>2020</v>
      </c>
      <c r="E12" s="823">
        <v>2021</v>
      </c>
      <c r="F12" s="823">
        <v>2022</v>
      </c>
      <c r="G12" s="823">
        <v>2023</v>
      </c>
      <c r="H12" s="823">
        <v>2024</v>
      </c>
      <c r="I12" s="823">
        <v>2025</v>
      </c>
      <c r="J12" s="823">
        <v>2026</v>
      </c>
      <c r="K12" s="823">
        <v>2027</v>
      </c>
      <c r="L12" s="823">
        <v>2028</v>
      </c>
      <c r="M12" s="823">
        <v>2029</v>
      </c>
      <c r="N12" s="823">
        <v>2030</v>
      </c>
      <c r="O12" s="820">
        <v>2025</v>
      </c>
      <c r="P12" s="820">
        <v>2030</v>
      </c>
    </row>
    <row r="13" spans="1:17" x14ac:dyDescent="0.3">
      <c r="A13" s="198" t="s">
        <v>596</v>
      </c>
      <c r="B13" s="198"/>
      <c r="C13" s="198"/>
      <c r="D13" s="831">
        <v>540.56299999999999</v>
      </c>
      <c r="E13" s="831">
        <v>0</v>
      </c>
      <c r="F13" s="831">
        <v>0</v>
      </c>
      <c r="G13" s="831">
        <v>0</v>
      </c>
      <c r="H13" s="831">
        <v>0</v>
      </c>
      <c r="I13" s="831">
        <v>0</v>
      </c>
      <c r="J13" s="831">
        <v>0</v>
      </c>
      <c r="K13" s="831">
        <v>0</v>
      </c>
      <c r="L13" s="831">
        <v>0</v>
      </c>
      <c r="M13" s="831">
        <v>0</v>
      </c>
      <c r="N13" s="831">
        <v>0</v>
      </c>
      <c r="O13" s="831">
        <v>0</v>
      </c>
      <c r="P13" s="831">
        <v>0</v>
      </c>
      <c r="Q13" t="s">
        <v>50</v>
      </c>
    </row>
    <row r="14" spans="1:17" x14ac:dyDescent="0.3">
      <c r="A14" s="157" t="s">
        <v>597</v>
      </c>
      <c r="B14" s="157"/>
      <c r="C14" s="157"/>
      <c r="D14" s="274"/>
      <c r="E14" s="198"/>
      <c r="F14" s="198"/>
      <c r="G14" s="198"/>
      <c r="H14" s="198"/>
      <c r="I14" s="198"/>
      <c r="J14" s="198"/>
      <c r="K14" s="198"/>
      <c r="L14" s="198"/>
      <c r="M14" s="198"/>
      <c r="N14" s="198"/>
      <c r="O14" s="198"/>
      <c r="P14" s="198"/>
      <c r="Q14" t="s">
        <v>598</v>
      </c>
    </row>
    <row r="15" spans="1:17" x14ac:dyDescent="0.3">
      <c r="A15" s="157"/>
      <c r="B15" s="157" t="s">
        <v>599</v>
      </c>
      <c r="C15" s="157"/>
      <c r="D15" s="274">
        <v>285.56</v>
      </c>
      <c r="E15" s="274">
        <v>5</v>
      </c>
      <c r="F15" s="274">
        <v>0</v>
      </c>
      <c r="G15" s="274">
        <v>0</v>
      </c>
      <c r="H15" s="274">
        <v>0</v>
      </c>
      <c r="I15" s="274">
        <v>0</v>
      </c>
      <c r="J15" s="274">
        <v>0</v>
      </c>
      <c r="K15" s="274">
        <v>0</v>
      </c>
      <c r="L15" s="274">
        <v>0</v>
      </c>
      <c r="M15" s="274">
        <v>0</v>
      </c>
      <c r="N15" s="274">
        <v>0</v>
      </c>
      <c r="O15" s="274">
        <v>5</v>
      </c>
      <c r="P15" s="274">
        <v>5</v>
      </c>
    </row>
    <row r="16" spans="1:17" x14ac:dyDescent="0.3">
      <c r="A16" s="198"/>
      <c r="B16" s="157" t="s">
        <v>600</v>
      </c>
      <c r="C16" s="198"/>
      <c r="D16" s="274">
        <v>67.209999999999994</v>
      </c>
      <c r="E16" s="274">
        <v>13.68</v>
      </c>
      <c r="F16" s="274">
        <v>0</v>
      </c>
      <c r="G16" s="274">
        <v>0</v>
      </c>
      <c r="H16" s="274">
        <v>0</v>
      </c>
      <c r="I16" s="274">
        <v>0</v>
      </c>
      <c r="J16" s="274">
        <v>0</v>
      </c>
      <c r="K16" s="274">
        <v>0</v>
      </c>
      <c r="L16" s="274">
        <v>0</v>
      </c>
      <c r="M16" s="274">
        <v>0</v>
      </c>
      <c r="N16" s="274">
        <v>0</v>
      </c>
      <c r="O16" s="274">
        <v>13.68</v>
      </c>
      <c r="P16" s="274">
        <v>13.68</v>
      </c>
    </row>
    <row r="17" spans="1:17" x14ac:dyDescent="0.3">
      <c r="A17" s="198"/>
      <c r="B17" s="157" t="s">
        <v>601</v>
      </c>
      <c r="C17" s="198"/>
      <c r="D17" s="274">
        <v>11.12</v>
      </c>
      <c r="E17" s="274">
        <v>47.8</v>
      </c>
      <c r="F17" s="274">
        <v>0</v>
      </c>
      <c r="G17" s="274">
        <v>0</v>
      </c>
      <c r="H17" s="274">
        <v>0</v>
      </c>
      <c r="I17" s="274">
        <v>0</v>
      </c>
      <c r="J17" s="274">
        <v>0</v>
      </c>
      <c r="K17" s="274">
        <v>0</v>
      </c>
      <c r="L17" s="274">
        <v>0</v>
      </c>
      <c r="M17" s="274">
        <v>0</v>
      </c>
      <c r="N17" s="274">
        <v>0</v>
      </c>
      <c r="O17" s="274">
        <v>47.8</v>
      </c>
      <c r="P17" s="274">
        <v>47.8</v>
      </c>
    </row>
    <row r="18" spans="1:17" x14ac:dyDescent="0.3">
      <c r="A18" s="198"/>
      <c r="B18" s="157" t="s">
        <v>602</v>
      </c>
      <c r="C18" s="198"/>
      <c r="D18" s="274">
        <v>6.2149999999999999</v>
      </c>
      <c r="E18" s="274">
        <v>5.0049999999999999</v>
      </c>
      <c r="F18" s="274">
        <v>0</v>
      </c>
      <c r="G18" s="274">
        <v>0</v>
      </c>
      <c r="H18" s="274">
        <v>0</v>
      </c>
      <c r="I18" s="274">
        <v>0</v>
      </c>
      <c r="J18" s="274">
        <v>0</v>
      </c>
      <c r="K18" s="274">
        <v>0</v>
      </c>
      <c r="L18" s="274">
        <v>0</v>
      </c>
      <c r="M18" s="274">
        <v>0</v>
      </c>
      <c r="N18" s="274">
        <v>0</v>
      </c>
      <c r="O18" s="274">
        <v>5.0049999999999999</v>
      </c>
      <c r="P18" s="274">
        <v>5.0049999999999999</v>
      </c>
    </row>
    <row r="19" spans="1:17" x14ac:dyDescent="0.3">
      <c r="A19" s="198"/>
      <c r="B19" s="157"/>
      <c r="C19" s="198"/>
      <c r="D19" s="274" t="s">
        <v>603</v>
      </c>
      <c r="E19" s="274" t="s">
        <v>603</v>
      </c>
      <c r="F19" s="274" t="s">
        <v>603</v>
      </c>
      <c r="G19" s="274" t="s">
        <v>603</v>
      </c>
      <c r="H19" s="274" t="s">
        <v>603</v>
      </c>
      <c r="I19" s="274" t="s">
        <v>603</v>
      </c>
      <c r="J19" s="274" t="s">
        <v>603</v>
      </c>
      <c r="K19" s="274" t="s">
        <v>603</v>
      </c>
      <c r="L19" s="274" t="s">
        <v>603</v>
      </c>
      <c r="M19" s="274" t="s">
        <v>603</v>
      </c>
      <c r="N19" s="274" t="s">
        <v>603</v>
      </c>
      <c r="O19" s="274" t="s">
        <v>603</v>
      </c>
      <c r="P19" s="274" t="s">
        <v>603</v>
      </c>
    </row>
    <row r="20" spans="1:17" x14ac:dyDescent="0.3">
      <c r="A20" s="198"/>
      <c r="B20" s="157"/>
      <c r="C20" s="198" t="s">
        <v>604</v>
      </c>
      <c r="D20" s="274">
        <v>370.10500000000002</v>
      </c>
      <c r="E20" s="274">
        <v>71.484999999999999</v>
      </c>
      <c r="F20" s="274">
        <v>0</v>
      </c>
      <c r="G20" s="274">
        <v>0</v>
      </c>
      <c r="H20" s="274">
        <v>0</v>
      </c>
      <c r="I20" s="274">
        <v>0</v>
      </c>
      <c r="J20" s="274">
        <v>0</v>
      </c>
      <c r="K20" s="274">
        <v>0</v>
      </c>
      <c r="L20" s="274">
        <v>0</v>
      </c>
      <c r="M20" s="274">
        <v>0</v>
      </c>
      <c r="N20" s="274">
        <v>0</v>
      </c>
      <c r="O20" s="274">
        <v>71.484999999999999</v>
      </c>
      <c r="P20" s="274">
        <v>71.484999999999999</v>
      </c>
    </row>
    <row r="21" spans="1:17" x14ac:dyDescent="0.3">
      <c r="A21" s="198"/>
      <c r="B21" s="157"/>
      <c r="C21" s="198"/>
      <c r="D21" s="274"/>
      <c r="E21" s="274"/>
      <c r="F21" s="274"/>
      <c r="G21" s="274"/>
      <c r="H21" s="274"/>
      <c r="I21" s="274"/>
      <c r="J21" s="274"/>
      <c r="K21" s="274"/>
      <c r="L21" s="274"/>
      <c r="M21" s="274"/>
      <c r="N21" s="274"/>
      <c r="O21" s="274"/>
      <c r="P21" s="274"/>
    </row>
    <row r="22" spans="1:17" ht="16.95" customHeight="1" x14ac:dyDescent="0.3">
      <c r="A22" s="198" t="s">
        <v>605</v>
      </c>
      <c r="B22" s="157"/>
      <c r="C22" s="198"/>
      <c r="D22" s="274">
        <v>271.98399999999998</v>
      </c>
      <c r="E22" s="274">
        <v>9.327</v>
      </c>
      <c r="F22" s="274">
        <v>0</v>
      </c>
      <c r="G22" s="274">
        <v>0</v>
      </c>
      <c r="H22" s="274">
        <v>0</v>
      </c>
      <c r="I22" s="274">
        <v>0</v>
      </c>
      <c r="J22" s="274">
        <v>0</v>
      </c>
      <c r="K22" s="274">
        <v>0</v>
      </c>
      <c r="L22" s="274">
        <v>0</v>
      </c>
      <c r="M22" s="274">
        <v>0</v>
      </c>
      <c r="N22" s="274">
        <v>0</v>
      </c>
      <c r="O22" s="274">
        <v>9.327</v>
      </c>
      <c r="P22" s="274">
        <v>9.327</v>
      </c>
      <c r="Q22" t="s">
        <v>606</v>
      </c>
    </row>
    <row r="23" spans="1:17" x14ac:dyDescent="0.3">
      <c r="A23" s="198" t="s">
        <v>149</v>
      </c>
      <c r="B23" s="157"/>
      <c r="C23" s="157"/>
      <c r="D23" s="274">
        <v>149.97300000000001</v>
      </c>
      <c r="E23" s="274">
        <v>2.5999999999999999E-2</v>
      </c>
      <c r="F23" s="274">
        <v>0</v>
      </c>
      <c r="G23" s="274">
        <v>0</v>
      </c>
      <c r="H23" s="274">
        <v>0</v>
      </c>
      <c r="I23" s="274">
        <v>0</v>
      </c>
      <c r="J23" s="274">
        <v>0</v>
      </c>
      <c r="K23" s="274">
        <v>0</v>
      </c>
      <c r="L23" s="274">
        <v>0</v>
      </c>
      <c r="M23" s="274">
        <v>0</v>
      </c>
      <c r="N23" s="274">
        <v>0</v>
      </c>
      <c r="O23" s="274">
        <v>2.5999999999999999E-2</v>
      </c>
      <c r="P23" s="274">
        <v>2.5999999999999999E-2</v>
      </c>
      <c r="Q23" t="s">
        <v>51</v>
      </c>
    </row>
    <row r="24" spans="1:17" x14ac:dyDescent="0.3">
      <c r="A24" s="198" t="s">
        <v>607</v>
      </c>
      <c r="B24" s="157"/>
      <c r="C24" s="157"/>
      <c r="D24" s="274">
        <v>135.41999999999999</v>
      </c>
      <c r="E24" s="274">
        <v>72.537999999999997</v>
      </c>
      <c r="F24" s="274">
        <v>10.331</v>
      </c>
      <c r="G24" s="274">
        <v>4.2670000000000003</v>
      </c>
      <c r="H24" s="274">
        <v>1.347</v>
      </c>
      <c r="I24" s="274">
        <v>0.67400000000000004</v>
      </c>
      <c r="J24" s="274">
        <v>0</v>
      </c>
      <c r="K24" s="274">
        <v>0</v>
      </c>
      <c r="L24" s="274">
        <v>0</v>
      </c>
      <c r="M24" s="274">
        <v>0</v>
      </c>
      <c r="N24" s="274">
        <v>0</v>
      </c>
      <c r="O24" s="274">
        <v>89.156999999999996</v>
      </c>
      <c r="P24" s="274">
        <v>89.156999999999996</v>
      </c>
      <c r="Q24" t="s">
        <v>608</v>
      </c>
    </row>
    <row r="25" spans="1:17" x14ac:dyDescent="0.3">
      <c r="A25" s="198" t="s">
        <v>609</v>
      </c>
      <c r="B25" s="157"/>
      <c r="C25" s="157"/>
      <c r="D25" s="274"/>
      <c r="E25" s="274"/>
      <c r="F25" s="274"/>
      <c r="G25" s="274"/>
      <c r="H25" s="274"/>
      <c r="I25" s="274"/>
      <c r="J25" s="274"/>
      <c r="K25" s="274"/>
      <c r="L25" s="274"/>
      <c r="M25" s="274"/>
      <c r="N25" s="274"/>
      <c r="O25" s="274"/>
      <c r="P25" s="274"/>
    </row>
    <row r="26" spans="1:17" x14ac:dyDescent="0.3">
      <c r="A26" s="198" t="s">
        <v>610</v>
      </c>
      <c r="B26" s="157"/>
      <c r="C26" s="157"/>
      <c r="D26" s="274">
        <v>40.831000000000003</v>
      </c>
      <c r="E26" s="274">
        <v>79.391999999999996</v>
      </c>
      <c r="F26" s="274">
        <v>47.442999999999998</v>
      </c>
      <c r="G26" s="274">
        <v>4.7220000000000004</v>
      </c>
      <c r="H26" s="274">
        <v>0</v>
      </c>
      <c r="I26" s="274">
        <v>0</v>
      </c>
      <c r="J26" s="274">
        <v>0</v>
      </c>
      <c r="K26" s="274">
        <v>0</v>
      </c>
      <c r="L26" s="274">
        <v>0</v>
      </c>
      <c r="M26" s="274">
        <v>0</v>
      </c>
      <c r="N26" s="274">
        <v>0</v>
      </c>
      <c r="O26" s="274">
        <v>131.55699999999999</v>
      </c>
      <c r="P26" s="274">
        <v>131.55699999999999</v>
      </c>
      <c r="Q26" t="s">
        <v>133</v>
      </c>
    </row>
    <row r="27" spans="1:17" x14ac:dyDescent="0.3">
      <c r="A27" s="198" t="s">
        <v>611</v>
      </c>
      <c r="B27" s="157"/>
      <c r="C27" s="157"/>
      <c r="D27" s="274">
        <v>58.054000000000002</v>
      </c>
      <c r="E27" s="274">
        <v>14.755000000000001</v>
      </c>
      <c r="F27" s="274">
        <v>3.4750000000000001</v>
      </c>
      <c r="G27" s="274">
        <v>3.9249999999999998</v>
      </c>
      <c r="H27" s="274">
        <v>4.375</v>
      </c>
      <c r="I27" s="274">
        <v>4.375</v>
      </c>
      <c r="J27" s="274">
        <v>4.5</v>
      </c>
      <c r="K27" s="274">
        <v>4.5</v>
      </c>
      <c r="L27" s="274">
        <v>4.5</v>
      </c>
      <c r="M27" s="274">
        <v>4.5</v>
      </c>
      <c r="N27" s="274">
        <v>4.5</v>
      </c>
      <c r="O27" s="274">
        <v>30.905000000000001</v>
      </c>
      <c r="P27" s="274">
        <v>53.405000000000001</v>
      </c>
    </row>
    <row r="28" spans="1:17" x14ac:dyDescent="0.3">
      <c r="A28" s="198" t="s">
        <v>612</v>
      </c>
      <c r="B28" s="157"/>
      <c r="C28" s="157"/>
      <c r="D28" s="274">
        <v>47.372999999999998</v>
      </c>
      <c r="E28" s="274">
        <v>-46.081000000000003</v>
      </c>
      <c r="F28" s="274">
        <v>0</v>
      </c>
      <c r="G28" s="274">
        <v>0</v>
      </c>
      <c r="H28" s="274">
        <v>0</v>
      </c>
      <c r="I28" s="274">
        <v>0</v>
      </c>
      <c r="J28" s="274">
        <v>0</v>
      </c>
      <c r="K28" s="274">
        <v>0</v>
      </c>
      <c r="L28" s="274">
        <v>0</v>
      </c>
      <c r="M28" s="274">
        <v>0</v>
      </c>
      <c r="N28" s="274">
        <v>0</v>
      </c>
      <c r="O28" s="274">
        <v>-46.081000000000003</v>
      </c>
      <c r="P28" s="274">
        <v>-46.081000000000003</v>
      </c>
      <c r="Q28" t="s">
        <v>55</v>
      </c>
    </row>
    <row r="29" spans="1:17" x14ac:dyDescent="0.3">
      <c r="A29" s="198" t="s">
        <v>613</v>
      </c>
      <c r="B29" s="157"/>
      <c r="C29" s="157"/>
      <c r="D29" s="274">
        <v>24.475000000000001</v>
      </c>
      <c r="E29" s="274">
        <v>32.784999999999997</v>
      </c>
      <c r="F29" s="274">
        <v>8.4600000000000009</v>
      </c>
      <c r="G29" s="274">
        <v>0</v>
      </c>
      <c r="H29" s="274">
        <v>0</v>
      </c>
      <c r="I29" s="274">
        <v>0</v>
      </c>
      <c r="J29" s="274">
        <v>0</v>
      </c>
      <c r="K29" s="274">
        <v>0</v>
      </c>
      <c r="L29" s="274">
        <v>0</v>
      </c>
      <c r="M29" s="274">
        <v>0</v>
      </c>
      <c r="N29" s="274">
        <v>0</v>
      </c>
      <c r="O29" s="274">
        <v>41.244999999999997</v>
      </c>
      <c r="P29" s="274">
        <v>41.244999999999997</v>
      </c>
      <c r="Q29" t="s">
        <v>614</v>
      </c>
    </row>
    <row r="30" spans="1:17" x14ac:dyDescent="0.3">
      <c r="A30" s="198" t="s">
        <v>615</v>
      </c>
      <c r="B30" s="157"/>
      <c r="C30" s="157"/>
      <c r="D30" s="274">
        <v>27.5</v>
      </c>
      <c r="E30" s="274">
        <v>0.86</v>
      </c>
      <c r="F30" s="274">
        <v>-0.22</v>
      </c>
      <c r="G30" s="274">
        <v>-0.49</v>
      </c>
      <c r="H30" s="274">
        <v>-0.56000000000000005</v>
      </c>
      <c r="I30" s="274">
        <v>-0.98</v>
      </c>
      <c r="J30" s="274">
        <v>-0.76</v>
      </c>
      <c r="K30" s="274">
        <v>-0.74</v>
      </c>
      <c r="L30" s="274">
        <v>-0.72</v>
      </c>
      <c r="M30" s="274">
        <v>-0.7</v>
      </c>
      <c r="N30" s="274">
        <v>-0.69</v>
      </c>
      <c r="O30" s="274">
        <v>-1.39</v>
      </c>
      <c r="P30" s="274">
        <v>-5</v>
      </c>
      <c r="Q30" t="s">
        <v>52</v>
      </c>
    </row>
    <row r="31" spans="1:17" x14ac:dyDescent="0.3">
      <c r="A31" s="198" t="s">
        <v>150</v>
      </c>
      <c r="B31" s="157"/>
      <c r="C31" s="157"/>
      <c r="D31" s="274">
        <v>11.407999999999999</v>
      </c>
      <c r="E31" s="274">
        <v>10.763</v>
      </c>
      <c r="F31" s="274">
        <v>5.7809999999999997</v>
      </c>
      <c r="G31" s="274">
        <v>0.92300000000000004</v>
      </c>
      <c r="H31" s="274">
        <v>0.52300000000000002</v>
      </c>
      <c r="I31" s="274">
        <v>0.43099999999999999</v>
      </c>
      <c r="J31" s="274">
        <v>0.246</v>
      </c>
      <c r="K31" s="274">
        <v>0</v>
      </c>
      <c r="L31" s="274">
        <v>0</v>
      </c>
      <c r="M31" s="274">
        <v>0</v>
      </c>
      <c r="N31" s="274">
        <v>0</v>
      </c>
      <c r="O31" s="274">
        <v>18.420999999999999</v>
      </c>
      <c r="P31" s="274">
        <v>18.667000000000002</v>
      </c>
      <c r="Q31" t="s">
        <v>616</v>
      </c>
    </row>
    <row r="32" spans="1:17" x14ac:dyDescent="0.3">
      <c r="A32" s="198" t="s">
        <v>617</v>
      </c>
      <c r="B32" s="157"/>
      <c r="C32" s="157"/>
      <c r="D32" s="274">
        <v>99.444000000000003</v>
      </c>
      <c r="E32" s="274">
        <v>61.634</v>
      </c>
      <c r="F32" s="274">
        <v>23.815000000000001</v>
      </c>
      <c r="G32" s="274">
        <v>7.35</v>
      </c>
      <c r="H32" s="274">
        <v>4.4029999999999996</v>
      </c>
      <c r="I32" s="274">
        <v>1.663</v>
      </c>
      <c r="J32" s="274">
        <v>0.74399999999999999</v>
      </c>
      <c r="K32" s="274">
        <v>0.65500000000000003</v>
      </c>
      <c r="L32" s="274">
        <v>0.68799999999999994</v>
      </c>
      <c r="M32" s="274">
        <v>10.603</v>
      </c>
      <c r="N32" s="274">
        <v>-35.328000000000003</v>
      </c>
      <c r="O32" s="274">
        <v>98.864999999999995</v>
      </c>
      <c r="P32" s="274">
        <v>76.227000000000004</v>
      </c>
      <c r="Q32" t="s">
        <v>618</v>
      </c>
    </row>
    <row r="33" spans="1:16" x14ac:dyDescent="0.3">
      <c r="A33" s="198"/>
      <c r="B33" s="157"/>
      <c r="C33" s="157"/>
      <c r="D33" s="274"/>
      <c r="E33" s="274"/>
      <c r="F33" s="274"/>
      <c r="G33" s="274"/>
      <c r="H33" s="274"/>
      <c r="I33" s="274"/>
      <c r="J33" s="274"/>
      <c r="K33" s="274"/>
      <c r="L33" s="274"/>
      <c r="M33" s="274"/>
      <c r="N33" s="274"/>
      <c r="O33" s="274"/>
      <c r="P33" s="274"/>
    </row>
    <row r="34" spans="1:16" x14ac:dyDescent="0.3">
      <c r="A34" s="821"/>
      <c r="B34" s="821"/>
      <c r="C34" s="821" t="s">
        <v>360</v>
      </c>
      <c r="D34" s="822">
        <v>1777.13</v>
      </c>
      <c r="E34" s="822">
        <v>307.48399999999998</v>
      </c>
      <c r="F34" s="822">
        <v>99.084999999999994</v>
      </c>
      <c r="G34" s="822">
        <v>20.696999999999999</v>
      </c>
      <c r="H34" s="822">
        <v>10.087999999999999</v>
      </c>
      <c r="I34" s="822">
        <v>6.1630000000000003</v>
      </c>
      <c r="J34" s="822">
        <v>4.7300000000000004</v>
      </c>
      <c r="K34" s="822">
        <v>4.415</v>
      </c>
      <c r="L34" s="822">
        <v>4.468</v>
      </c>
      <c r="M34" s="822">
        <v>14.403</v>
      </c>
      <c r="N34" s="822">
        <v>-31.518000000000001</v>
      </c>
      <c r="O34" s="822">
        <v>443.517</v>
      </c>
      <c r="P34" s="822">
        <v>440.01499999999999</v>
      </c>
    </row>
    <row r="35" spans="1:16" x14ac:dyDescent="0.3">
      <c r="A35" s="157"/>
      <c r="B35" s="157"/>
      <c r="C35" s="157"/>
      <c r="D35" s="830"/>
      <c r="E35" s="443"/>
      <c r="F35" s="198"/>
      <c r="G35" s="198"/>
      <c r="H35" s="198"/>
      <c r="I35" s="198"/>
      <c r="J35" s="198"/>
      <c r="K35" s="198"/>
      <c r="L35" s="198"/>
      <c r="M35" s="198"/>
      <c r="N35" s="198"/>
      <c r="O35" s="198"/>
      <c r="P35" s="198"/>
    </row>
    <row r="36" spans="1:16" x14ac:dyDescent="0.3">
      <c r="A36" s="818" t="s">
        <v>619</v>
      </c>
      <c r="B36" s="818"/>
      <c r="C36" s="818"/>
      <c r="D36" s="825"/>
      <c r="E36" s="818"/>
      <c r="F36" s="818"/>
      <c r="G36" s="818"/>
      <c r="H36" s="818"/>
      <c r="I36" s="818"/>
      <c r="J36" s="818"/>
      <c r="K36" s="818"/>
      <c r="L36" s="818"/>
      <c r="M36" s="818"/>
      <c r="N36" s="818"/>
      <c r="O36" s="818"/>
      <c r="P36" s="818"/>
    </row>
    <row r="37" spans="1:16" x14ac:dyDescent="0.3">
      <c r="A37" s="818"/>
      <c r="B37" s="818"/>
      <c r="C37" s="818"/>
      <c r="D37" s="825"/>
      <c r="E37" s="818"/>
      <c r="F37" s="818"/>
      <c r="G37" s="818"/>
      <c r="H37" s="818"/>
      <c r="I37" s="818"/>
      <c r="J37" s="818"/>
      <c r="K37" s="818"/>
      <c r="L37" s="818"/>
      <c r="M37" s="818"/>
      <c r="N37" s="818"/>
      <c r="O37" s="818"/>
      <c r="P37" s="818"/>
    </row>
    <row r="38" spans="1:16" x14ac:dyDescent="0.3">
      <c r="A38" s="1076" t="s">
        <v>620</v>
      </c>
      <c r="B38" s="1076"/>
      <c r="C38" s="1076"/>
      <c r="D38" s="1076"/>
      <c r="E38" s="1076"/>
      <c r="F38" s="1076"/>
      <c r="G38" s="1076"/>
      <c r="H38" s="1076"/>
      <c r="I38" s="1076"/>
      <c r="J38" s="1076"/>
      <c r="K38" s="1076"/>
      <c r="L38" s="1076"/>
      <c r="M38" s="1076"/>
      <c r="N38" s="1076"/>
      <c r="O38" s="1076"/>
      <c r="P38" s="1076"/>
    </row>
    <row r="39" spans="1:16" x14ac:dyDescent="0.3">
      <c r="A39" s="1076"/>
      <c r="B39" s="1076"/>
      <c r="C39" s="1076"/>
      <c r="D39" s="1076"/>
      <c r="E39" s="1076"/>
      <c r="F39" s="1076"/>
      <c r="G39" s="1076"/>
      <c r="H39" s="1076"/>
      <c r="I39" s="1076"/>
      <c r="J39" s="1076"/>
      <c r="K39" s="1076"/>
      <c r="L39" s="1076"/>
      <c r="M39" s="1076"/>
      <c r="N39" s="1076"/>
      <c r="O39" s="1076"/>
      <c r="P39" s="1076"/>
    </row>
    <row r="40" spans="1:16" x14ac:dyDescent="0.3">
      <c r="A40" s="1076"/>
      <c r="B40" s="1076"/>
      <c r="C40" s="1076"/>
      <c r="D40" s="1076"/>
      <c r="E40" s="1076"/>
      <c r="F40" s="1076"/>
      <c r="G40" s="1076"/>
      <c r="H40" s="1076"/>
      <c r="I40" s="1076"/>
      <c r="J40" s="1076"/>
      <c r="K40" s="1076"/>
      <c r="L40" s="1076"/>
      <c r="M40" s="1076"/>
      <c r="N40" s="1076"/>
      <c r="O40" s="1076"/>
      <c r="P40" s="1076"/>
    </row>
    <row r="41" spans="1:16" x14ac:dyDescent="0.3">
      <c r="A41" s="1076"/>
      <c r="B41" s="1076"/>
      <c r="C41" s="1076"/>
      <c r="D41" s="1076"/>
      <c r="E41" s="1076"/>
      <c r="F41" s="1076"/>
      <c r="G41" s="1076"/>
      <c r="H41" s="1076"/>
      <c r="I41" s="1076"/>
      <c r="J41" s="1076"/>
      <c r="K41" s="1076"/>
      <c r="L41" s="1076"/>
      <c r="M41" s="1076"/>
      <c r="N41" s="1076"/>
      <c r="O41" s="1076"/>
      <c r="P41" s="1076"/>
    </row>
    <row r="42" spans="1:16" x14ac:dyDescent="0.3">
      <c r="A42" s="1076"/>
      <c r="B42" s="1076"/>
      <c r="C42" s="1076"/>
      <c r="D42" s="1076"/>
      <c r="E42" s="1076"/>
      <c r="F42" s="1076"/>
      <c r="G42" s="1076"/>
      <c r="H42" s="1076"/>
      <c r="I42" s="1076"/>
      <c r="J42" s="1076"/>
      <c r="K42" s="1076"/>
      <c r="L42" s="1076"/>
      <c r="M42" s="1076"/>
      <c r="N42" s="1076"/>
      <c r="O42" s="1076"/>
      <c r="P42" s="1076"/>
    </row>
    <row r="43" spans="1:16" x14ac:dyDescent="0.3">
      <c r="A43" s="199"/>
      <c r="B43" s="199"/>
      <c r="C43" s="199"/>
      <c r="D43" s="199"/>
      <c r="E43" s="199"/>
      <c r="F43" s="199"/>
      <c r="G43" s="199"/>
      <c r="H43" s="199"/>
      <c r="I43" s="199"/>
      <c r="J43" s="199"/>
      <c r="K43" s="199"/>
      <c r="L43" s="199"/>
      <c r="M43" s="199"/>
      <c r="N43" s="199"/>
      <c r="O43" s="199"/>
      <c r="P43" s="199"/>
    </row>
    <row r="44" spans="1:16" x14ac:dyDescent="0.3">
      <c r="A44" s="946" t="s">
        <v>621</v>
      </c>
      <c r="B44" s="946"/>
      <c r="C44" s="946"/>
      <c r="D44" s="946"/>
      <c r="E44" s="946"/>
      <c r="F44" s="946"/>
      <c r="G44" s="946"/>
      <c r="H44" s="946"/>
      <c r="I44" s="946"/>
      <c r="J44" s="946"/>
      <c r="K44" s="946"/>
      <c r="L44" s="946"/>
      <c r="M44" s="946"/>
      <c r="N44" s="946"/>
      <c r="O44" s="946"/>
      <c r="P44" s="946"/>
    </row>
    <row r="45" spans="1:16" x14ac:dyDescent="0.3">
      <c r="A45" s="946"/>
      <c r="B45" s="946"/>
      <c r="C45" s="946"/>
      <c r="D45" s="946"/>
      <c r="E45" s="946"/>
      <c r="F45" s="946"/>
      <c r="G45" s="946"/>
      <c r="H45" s="946"/>
      <c r="I45" s="946"/>
      <c r="J45" s="946"/>
      <c r="K45" s="946"/>
      <c r="L45" s="946"/>
      <c r="M45" s="946"/>
      <c r="N45" s="946"/>
      <c r="O45" s="946"/>
      <c r="P45" s="946"/>
    </row>
    <row r="46" spans="1:16" x14ac:dyDescent="0.3">
      <c r="A46" s="946"/>
      <c r="B46" s="946"/>
      <c r="C46" s="946"/>
      <c r="D46" s="946"/>
      <c r="E46" s="946"/>
      <c r="F46" s="946"/>
      <c r="G46" s="946"/>
      <c r="H46" s="946"/>
      <c r="I46" s="946"/>
      <c r="J46" s="946"/>
      <c r="K46" s="946"/>
      <c r="L46" s="946"/>
      <c r="M46" s="946"/>
      <c r="N46" s="946"/>
      <c r="O46" s="946"/>
      <c r="P46" s="946"/>
    </row>
    <row r="47" spans="1:16" x14ac:dyDescent="0.3">
      <c r="A47" s="818"/>
      <c r="B47" s="818"/>
      <c r="C47" s="818"/>
      <c r="D47" s="825"/>
      <c r="E47" s="818"/>
      <c r="F47" s="818"/>
      <c r="G47" s="818"/>
      <c r="H47" s="818"/>
      <c r="I47" s="818"/>
      <c r="J47" s="818"/>
      <c r="K47" s="818"/>
      <c r="L47" s="818"/>
      <c r="M47" s="818"/>
      <c r="N47" s="818"/>
      <c r="O47" s="818"/>
      <c r="P47" s="818"/>
    </row>
    <row r="48" spans="1:16" x14ac:dyDescent="0.3">
      <c r="A48" s="1074" t="s">
        <v>622</v>
      </c>
      <c r="B48" s="1075"/>
      <c r="C48" s="1075"/>
      <c r="D48" s="1075"/>
      <c r="E48" s="1075"/>
      <c r="F48" s="1075"/>
      <c r="G48" s="1075"/>
      <c r="H48" s="1075"/>
      <c r="I48" s="1075"/>
      <c r="J48" s="1075"/>
      <c r="K48" s="1075"/>
      <c r="L48" s="1075"/>
      <c r="M48" s="1075"/>
      <c r="N48" s="1075"/>
      <c r="O48" s="1075"/>
      <c r="P48" s="1075"/>
    </row>
    <row r="49" spans="1:16" x14ac:dyDescent="0.3">
      <c r="A49" s="1075"/>
      <c r="B49" s="1075"/>
      <c r="C49" s="1075"/>
      <c r="D49" s="1075"/>
      <c r="E49" s="1075"/>
      <c r="F49" s="1075"/>
      <c r="G49" s="1075"/>
      <c r="H49" s="1075"/>
      <c r="I49" s="1075"/>
      <c r="J49" s="1075"/>
      <c r="K49" s="1075"/>
      <c r="L49" s="1075"/>
      <c r="M49" s="1075"/>
      <c r="N49" s="1075"/>
      <c r="O49" s="1075"/>
      <c r="P49" s="1075"/>
    </row>
    <row r="50" spans="1:16" x14ac:dyDescent="0.3">
      <c r="A50" s="818"/>
      <c r="B50" s="818"/>
      <c r="C50" s="818"/>
      <c r="D50" s="825"/>
      <c r="E50" s="818"/>
      <c r="F50" s="818"/>
      <c r="G50" s="818"/>
      <c r="H50" s="818"/>
      <c r="I50" s="818"/>
      <c r="J50" s="818"/>
      <c r="K50" s="818"/>
      <c r="L50" s="818"/>
      <c r="M50" s="818"/>
      <c r="N50" s="818"/>
      <c r="O50" s="818"/>
      <c r="P50" s="818"/>
    </row>
    <row r="51" spans="1:16" x14ac:dyDescent="0.3">
      <c r="A51" s="1070" t="s">
        <v>623</v>
      </c>
      <c r="B51" s="1070"/>
      <c r="C51" s="1070"/>
      <c r="D51" s="1070"/>
      <c r="E51" s="1070"/>
      <c r="F51" s="1070"/>
      <c r="G51" s="1070"/>
      <c r="H51" s="1070"/>
      <c r="I51" s="1070"/>
      <c r="J51" s="1070"/>
      <c r="K51" s="1070"/>
      <c r="L51" s="1070"/>
      <c r="M51" s="1070"/>
      <c r="N51" s="1070"/>
      <c r="O51" s="1070"/>
      <c r="P51" s="1070"/>
    </row>
    <row r="52" spans="1:16" x14ac:dyDescent="0.3">
      <c r="A52" s="1070"/>
      <c r="B52" s="1070"/>
      <c r="C52" s="1070"/>
      <c r="D52" s="1070"/>
      <c r="E52" s="1070"/>
      <c r="F52" s="1070"/>
      <c r="G52" s="1070"/>
      <c r="H52" s="1070"/>
      <c r="I52" s="1070"/>
      <c r="J52" s="1070"/>
      <c r="K52" s="1070"/>
      <c r="L52" s="1070"/>
      <c r="M52" s="1070"/>
      <c r="N52" s="1070"/>
      <c r="O52" s="1070"/>
      <c r="P52" s="1070"/>
    </row>
    <row r="53" spans="1:16" x14ac:dyDescent="0.3">
      <c r="A53" s="1070"/>
      <c r="B53" s="1070"/>
      <c r="C53" s="1070"/>
      <c r="D53" s="1070"/>
      <c r="E53" s="1070"/>
      <c r="F53" s="1070"/>
      <c r="G53" s="1070"/>
      <c r="H53" s="1070"/>
      <c r="I53" s="1070"/>
      <c r="J53" s="1070"/>
      <c r="K53" s="1070"/>
      <c r="L53" s="1070"/>
      <c r="M53" s="1070"/>
      <c r="N53" s="1070"/>
      <c r="O53" s="1070"/>
      <c r="P53" s="1070"/>
    </row>
    <row r="54" spans="1:16" x14ac:dyDescent="0.3">
      <c r="A54" s="826"/>
      <c r="B54" s="826"/>
      <c r="C54" s="826"/>
      <c r="D54" s="827"/>
      <c r="E54" s="826"/>
      <c r="F54" s="826"/>
      <c r="G54" s="826"/>
      <c r="H54" s="826"/>
      <c r="I54" s="826"/>
      <c r="J54" s="826"/>
      <c r="K54" s="826"/>
      <c r="L54" s="826"/>
      <c r="M54" s="826"/>
      <c r="N54" s="826"/>
      <c r="O54" s="826"/>
      <c r="P54" s="82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546875" defaultRowHeight="14.4" x14ac:dyDescent="0.3"/>
  <cols>
    <col min="1" max="1" width="77.6640625" customWidth="1"/>
    <col min="2" max="2" width="21" customWidth="1"/>
    <col min="5" max="5" width="37.44140625" customWidth="1"/>
    <col min="6" max="6" width="16" customWidth="1"/>
  </cols>
  <sheetData>
    <row r="1" spans="1:6" x14ac:dyDescent="0.3">
      <c r="A1" s="157" t="s">
        <v>624</v>
      </c>
    </row>
    <row r="2" spans="1:6" ht="20.399999999999999" customHeight="1" x14ac:dyDescent="0.35">
      <c r="A2" s="836" t="s">
        <v>625</v>
      </c>
      <c r="B2" s="836" t="s">
        <v>626</v>
      </c>
      <c r="C2" s="836" t="s">
        <v>627</v>
      </c>
      <c r="D2" s="836" t="s">
        <v>628</v>
      </c>
    </row>
    <row r="3" spans="1:6" x14ac:dyDescent="0.3">
      <c r="A3" s="837" t="s">
        <v>629</v>
      </c>
      <c r="B3" s="824">
        <f>SUM(B4:B7)</f>
        <v>325</v>
      </c>
      <c r="E3" s="1077" t="s">
        <v>630</v>
      </c>
      <c r="F3" s="1077"/>
    </row>
    <row r="4" spans="1:6" x14ac:dyDescent="0.3">
      <c r="A4" s="792" t="s">
        <v>631</v>
      </c>
      <c r="B4" s="824">
        <v>284</v>
      </c>
      <c r="E4" s="182" t="s">
        <v>51</v>
      </c>
      <c r="F4" s="182" t="s">
        <v>632</v>
      </c>
    </row>
    <row r="5" spans="1:6" x14ac:dyDescent="0.3">
      <c r="A5" s="792" t="s">
        <v>475</v>
      </c>
      <c r="B5" s="824">
        <v>20</v>
      </c>
      <c r="E5" s="157" t="s">
        <v>150</v>
      </c>
      <c r="F5" s="157">
        <f>SUM(B11:B16)</f>
        <v>82</v>
      </c>
    </row>
    <row r="6" spans="1:6" x14ac:dyDescent="0.3">
      <c r="A6" s="792" t="s">
        <v>482</v>
      </c>
      <c r="B6" s="824">
        <v>15</v>
      </c>
      <c r="E6" s="157" t="s">
        <v>49</v>
      </c>
      <c r="F6" s="157">
        <f>B23</f>
        <v>3</v>
      </c>
    </row>
    <row r="7" spans="1:6" x14ac:dyDescent="0.3">
      <c r="A7" s="792" t="s">
        <v>483</v>
      </c>
      <c r="B7" s="824">
        <v>6</v>
      </c>
      <c r="E7" s="157" t="s">
        <v>391</v>
      </c>
      <c r="F7" s="157">
        <f>B27-B28</f>
        <v>29</v>
      </c>
    </row>
    <row r="8" spans="1:6" x14ac:dyDescent="0.3">
      <c r="A8" s="182" t="s">
        <v>633</v>
      </c>
      <c r="B8" s="824">
        <v>121</v>
      </c>
      <c r="E8" s="157" t="s">
        <v>408</v>
      </c>
      <c r="F8" s="157">
        <f>B42</f>
        <v>2</v>
      </c>
    </row>
    <row r="9" spans="1:6" x14ac:dyDescent="0.3">
      <c r="A9" s="838" t="s">
        <v>634</v>
      </c>
      <c r="B9" s="824">
        <v>166</v>
      </c>
      <c r="E9" s="157" t="s">
        <v>635</v>
      </c>
      <c r="F9" s="157">
        <f>B18+B20+B21</f>
        <v>34</v>
      </c>
    </row>
    <row r="10" spans="1:6" x14ac:dyDescent="0.3">
      <c r="A10" s="835" t="s">
        <v>636</v>
      </c>
      <c r="B10" s="824">
        <v>82</v>
      </c>
      <c r="E10" s="182" t="s">
        <v>637</v>
      </c>
      <c r="F10" s="182" t="s">
        <v>638</v>
      </c>
    </row>
    <row r="11" spans="1:6" x14ac:dyDescent="0.3">
      <c r="A11" s="792" t="s">
        <v>639</v>
      </c>
      <c r="B11" s="824">
        <v>54</v>
      </c>
      <c r="E11" s="157" t="s">
        <v>364</v>
      </c>
      <c r="F11" s="157">
        <f>B4</f>
        <v>284</v>
      </c>
    </row>
    <row r="12" spans="1:6" x14ac:dyDescent="0.3">
      <c r="A12" s="792" t="s">
        <v>640</v>
      </c>
      <c r="B12" s="824">
        <v>20</v>
      </c>
      <c r="E12" s="157" t="s">
        <v>641</v>
      </c>
      <c r="F12" s="157">
        <f>B5</f>
        <v>20</v>
      </c>
    </row>
    <row r="13" spans="1:6" x14ac:dyDescent="0.3">
      <c r="A13" s="792" t="s">
        <v>642</v>
      </c>
      <c r="B13" s="824">
        <v>4</v>
      </c>
      <c r="E13" s="157" t="s">
        <v>482</v>
      </c>
      <c r="F13" s="157">
        <f>B6</f>
        <v>15</v>
      </c>
    </row>
    <row r="14" spans="1:6" ht="27.6" customHeight="1" x14ac:dyDescent="0.3">
      <c r="A14" s="792" t="s">
        <v>643</v>
      </c>
      <c r="B14" s="824">
        <v>2</v>
      </c>
      <c r="E14" s="179" t="s">
        <v>483</v>
      </c>
      <c r="F14" s="157">
        <f>B7</f>
        <v>6</v>
      </c>
    </row>
    <row r="15" spans="1:6" ht="27.6" customHeight="1" x14ac:dyDescent="0.3">
      <c r="A15" s="792" t="s">
        <v>644</v>
      </c>
      <c r="B15" s="824">
        <v>1</v>
      </c>
      <c r="E15" s="179" t="s">
        <v>645</v>
      </c>
      <c r="F15" s="157">
        <f>B28</f>
        <v>15</v>
      </c>
    </row>
    <row r="16" spans="1:6" x14ac:dyDescent="0.3">
      <c r="A16" s="792" t="s">
        <v>646</v>
      </c>
      <c r="B16" s="824">
        <v>1</v>
      </c>
      <c r="E16" s="157" t="s">
        <v>647</v>
      </c>
      <c r="F16" s="157">
        <f>B37</f>
        <v>12</v>
      </c>
    </row>
    <row r="17" spans="1:6" x14ac:dyDescent="0.3">
      <c r="A17" s="182" t="s">
        <v>648</v>
      </c>
      <c r="B17" s="824">
        <v>72</v>
      </c>
      <c r="E17" s="157" t="s">
        <v>649</v>
      </c>
      <c r="F17" s="157">
        <f>B38</f>
        <v>10</v>
      </c>
    </row>
    <row r="18" spans="1:6" x14ac:dyDescent="0.3">
      <c r="A18" s="792" t="s">
        <v>650</v>
      </c>
      <c r="B18" s="824">
        <v>22</v>
      </c>
      <c r="C18" s="157" t="s">
        <v>651</v>
      </c>
    </row>
    <row r="19" spans="1:6" x14ac:dyDescent="0.3">
      <c r="A19" s="792" t="s">
        <v>652</v>
      </c>
      <c r="B19" s="824">
        <v>20</v>
      </c>
      <c r="C19" s="157" t="s">
        <v>109</v>
      </c>
    </row>
    <row r="20" spans="1:6" x14ac:dyDescent="0.3">
      <c r="A20" s="792" t="s">
        <v>653</v>
      </c>
      <c r="B20" s="824">
        <v>8</v>
      </c>
      <c r="C20" s="157" t="s">
        <v>651</v>
      </c>
    </row>
    <row r="21" spans="1:6" x14ac:dyDescent="0.3">
      <c r="A21" s="792" t="s">
        <v>654</v>
      </c>
      <c r="B21" s="824">
        <v>4</v>
      </c>
      <c r="C21" s="157" t="s">
        <v>51</v>
      </c>
    </row>
    <row r="22" spans="1:6" x14ac:dyDescent="0.3">
      <c r="A22" s="792" t="s">
        <v>655</v>
      </c>
      <c r="B22" s="824">
        <v>4</v>
      </c>
      <c r="C22" s="157" t="s">
        <v>109</v>
      </c>
    </row>
    <row r="23" spans="1:6" x14ac:dyDescent="0.3">
      <c r="A23" s="792" t="s">
        <v>656</v>
      </c>
      <c r="B23" s="824">
        <v>3</v>
      </c>
      <c r="C23" s="157" t="s">
        <v>657</v>
      </c>
    </row>
    <row r="24" spans="1:6" x14ac:dyDescent="0.3">
      <c r="A24" s="792" t="s">
        <v>658</v>
      </c>
      <c r="B24" s="824">
        <v>3</v>
      </c>
      <c r="C24" s="157" t="s">
        <v>659</v>
      </c>
    </row>
    <row r="25" spans="1:6" x14ac:dyDescent="0.3">
      <c r="A25" s="839" t="s">
        <v>660</v>
      </c>
      <c r="B25" s="824">
        <v>3</v>
      </c>
      <c r="C25" s="157" t="s">
        <v>55</v>
      </c>
    </row>
    <row r="26" spans="1:6" x14ac:dyDescent="0.3">
      <c r="A26" s="792" t="s">
        <v>661</v>
      </c>
      <c r="B26" s="824">
        <v>4</v>
      </c>
      <c r="C26" s="157" t="s">
        <v>662</v>
      </c>
    </row>
    <row r="27" spans="1:6" x14ac:dyDescent="0.3">
      <c r="A27" s="182" t="s">
        <v>391</v>
      </c>
      <c r="B27" s="824">
        <v>44</v>
      </c>
    </row>
    <row r="28" spans="1:6" x14ac:dyDescent="0.3">
      <c r="A28" s="832" t="s">
        <v>645</v>
      </c>
      <c r="B28" s="833">
        <v>15</v>
      </c>
    </row>
    <row r="29" spans="1:6" x14ac:dyDescent="0.3">
      <c r="A29" s="792" t="s">
        <v>663</v>
      </c>
      <c r="B29" s="824">
        <v>14</v>
      </c>
    </row>
    <row r="30" spans="1:6" x14ac:dyDescent="0.3">
      <c r="A30" s="792" t="s">
        <v>664</v>
      </c>
      <c r="B30" s="824">
        <v>10</v>
      </c>
    </row>
    <row r="31" spans="1:6" x14ac:dyDescent="0.3">
      <c r="A31" s="792" t="s">
        <v>665</v>
      </c>
      <c r="B31" s="824">
        <v>2</v>
      </c>
    </row>
    <row r="32" spans="1:6" x14ac:dyDescent="0.3">
      <c r="A32" s="792" t="s">
        <v>666</v>
      </c>
      <c r="B32" s="824">
        <v>2</v>
      </c>
    </row>
    <row r="33" spans="1:6" x14ac:dyDescent="0.3">
      <c r="A33" s="792" t="s">
        <v>667</v>
      </c>
      <c r="B33" s="824">
        <v>1</v>
      </c>
    </row>
    <row r="34" spans="1:6" x14ac:dyDescent="0.3">
      <c r="A34" s="182" t="s">
        <v>668</v>
      </c>
      <c r="B34" s="824">
        <v>88</v>
      </c>
    </row>
    <row r="35" spans="1:6" x14ac:dyDescent="0.3">
      <c r="A35" s="839" t="s">
        <v>669</v>
      </c>
      <c r="B35" s="824">
        <v>26</v>
      </c>
    </row>
    <row r="36" spans="1:6" x14ac:dyDescent="0.3">
      <c r="A36" s="792" t="s">
        <v>670</v>
      </c>
      <c r="B36" s="824">
        <v>25</v>
      </c>
    </row>
    <row r="37" spans="1:6" x14ac:dyDescent="0.3">
      <c r="A37" s="792" t="s">
        <v>647</v>
      </c>
      <c r="B37" s="824">
        <v>12</v>
      </c>
      <c r="C37" s="157" t="s">
        <v>671</v>
      </c>
      <c r="E37" s="157" t="s">
        <v>672</v>
      </c>
      <c r="F37" s="157" t="s">
        <v>673</v>
      </c>
    </row>
    <row r="38" spans="1:6" x14ac:dyDescent="0.3">
      <c r="A38" s="792" t="s">
        <v>649</v>
      </c>
      <c r="B38" s="824">
        <v>10</v>
      </c>
      <c r="C38" s="157" t="s">
        <v>671</v>
      </c>
      <c r="E38" s="157" t="s">
        <v>674</v>
      </c>
      <c r="F38" s="157" t="s">
        <v>675</v>
      </c>
    </row>
    <row r="39" spans="1:6" x14ac:dyDescent="0.3">
      <c r="A39" s="792" t="s">
        <v>676</v>
      </c>
      <c r="B39" s="824">
        <v>7</v>
      </c>
      <c r="C39" s="157" t="s">
        <v>662</v>
      </c>
      <c r="E39" s="157" t="s">
        <v>677</v>
      </c>
      <c r="F39" s="157" t="s">
        <v>678</v>
      </c>
    </row>
    <row r="40" spans="1:6" x14ac:dyDescent="0.3">
      <c r="A40" s="792" t="s">
        <v>679</v>
      </c>
      <c r="B40" s="824">
        <v>5</v>
      </c>
      <c r="C40" s="157" t="s">
        <v>109</v>
      </c>
      <c r="E40" s="157" t="s">
        <v>680</v>
      </c>
    </row>
    <row r="41" spans="1:6" x14ac:dyDescent="0.3">
      <c r="A41" s="792" t="s">
        <v>681</v>
      </c>
      <c r="B41" s="824">
        <v>2</v>
      </c>
      <c r="C41" s="157" t="s">
        <v>662</v>
      </c>
      <c r="E41" s="157" t="s">
        <v>682</v>
      </c>
    </row>
    <row r="42" spans="1:6" x14ac:dyDescent="0.3">
      <c r="A42" s="792" t="s">
        <v>683</v>
      </c>
      <c r="B42" s="824">
        <v>2</v>
      </c>
      <c r="C42" s="157" t="s">
        <v>651</v>
      </c>
      <c r="E42" s="834" t="s">
        <v>684</v>
      </c>
    </row>
    <row r="43" spans="1:6" x14ac:dyDescent="0.3">
      <c r="A43" s="792" t="s">
        <v>685</v>
      </c>
      <c r="B43" s="824">
        <v>0</v>
      </c>
      <c r="E43" s="157" t="s">
        <v>686</v>
      </c>
    </row>
    <row r="44" spans="1:6" x14ac:dyDescent="0.3">
      <c r="A44" s="182" t="s">
        <v>687</v>
      </c>
      <c r="B44" s="824">
        <v>40</v>
      </c>
    </row>
    <row r="45" spans="1:6" x14ac:dyDescent="0.3">
      <c r="A45" s="839" t="s">
        <v>688</v>
      </c>
      <c r="B45" s="840">
        <v>21</v>
      </c>
    </row>
    <row r="46" spans="1:6" x14ac:dyDescent="0.3">
      <c r="A46" s="792" t="s">
        <v>689</v>
      </c>
      <c r="B46" s="824">
        <v>6</v>
      </c>
    </row>
    <row r="47" spans="1:6" x14ac:dyDescent="0.3">
      <c r="A47" s="839" t="s">
        <v>690</v>
      </c>
      <c r="B47" s="840">
        <v>4</v>
      </c>
    </row>
    <row r="48" spans="1:6" x14ac:dyDescent="0.3">
      <c r="A48" s="792" t="s">
        <v>691</v>
      </c>
      <c r="B48" s="824">
        <v>4</v>
      </c>
    </row>
    <row r="49" spans="1:2" x14ac:dyDescent="0.3">
      <c r="A49" s="839" t="s">
        <v>692</v>
      </c>
      <c r="B49" s="840">
        <v>3</v>
      </c>
    </row>
    <row r="50" spans="1:2" x14ac:dyDescent="0.3">
      <c r="A50" s="792" t="s">
        <v>693</v>
      </c>
      <c r="B50" s="8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554687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906</v>
      </c>
      <c r="I1" s="1078"/>
      <c r="J1" s="1078"/>
      <c r="K1" s="1078"/>
    </row>
    <row r="2" spans="1:62" ht="13.2" customHeight="1" x14ac:dyDescent="0.3">
      <c r="A2" s="856"/>
      <c r="O2" s="884" t="s">
        <v>865</v>
      </c>
      <c r="P2" s="1084" t="s">
        <v>694</v>
      </c>
      <c r="Q2" s="1084"/>
      <c r="R2" s="1084"/>
      <c r="S2" s="1084"/>
      <c r="T2" s="841"/>
      <c r="U2" s="841"/>
      <c r="V2" s="841"/>
      <c r="W2" s="841"/>
      <c r="X2" s="841"/>
      <c r="Y2" s="1079" t="s">
        <v>695</v>
      </c>
      <c r="Z2" s="1080"/>
      <c r="AA2" s="1080"/>
      <c r="AB2" s="1080"/>
      <c r="AC2" s="1080"/>
      <c r="AD2" s="1080"/>
      <c r="AE2" s="841"/>
      <c r="AF2" s="841"/>
      <c r="AG2" s="1081" t="s">
        <v>696</v>
      </c>
      <c r="AH2" s="1080"/>
      <c r="AI2" s="1080"/>
      <c r="AJ2" s="1083" t="s">
        <v>697</v>
      </c>
      <c r="AK2" s="1083"/>
      <c r="AL2" s="1083"/>
      <c r="AM2" s="1083"/>
      <c r="AN2" s="1083"/>
      <c r="AO2" s="1083"/>
      <c r="AP2" s="1083"/>
      <c r="AQ2" s="1083"/>
      <c r="AR2" s="1083"/>
      <c r="AS2" s="1083"/>
      <c r="AT2" s="842"/>
      <c r="AU2" s="1082" t="s">
        <v>434</v>
      </c>
      <c r="AV2" s="1082"/>
      <c r="AW2" s="1082"/>
      <c r="AX2" s="1082"/>
      <c r="AY2" s="1082"/>
      <c r="AZ2" s="1082"/>
      <c r="BA2" s="1082"/>
      <c r="BB2" s="868"/>
      <c r="BC2" s="868"/>
      <c r="BD2" s="868"/>
      <c r="BE2" s="868"/>
      <c r="BF2" s="868"/>
      <c r="BG2" s="868"/>
      <c r="BH2" s="868"/>
      <c r="BI2" s="868"/>
      <c r="BJ2" s="874" t="s">
        <v>698</v>
      </c>
    </row>
    <row r="3" spans="1:62" ht="43.2" customHeight="1" x14ac:dyDescent="0.3">
      <c r="A3" s="857"/>
      <c r="B3" s="857"/>
      <c r="C3" s="857"/>
      <c r="D3" s="857"/>
      <c r="E3" s="857"/>
      <c r="F3" s="857"/>
      <c r="G3" s="857"/>
      <c r="H3" s="857"/>
      <c r="I3" s="857"/>
      <c r="J3" s="857"/>
      <c r="K3" s="857"/>
      <c r="L3" s="857"/>
      <c r="M3" s="857"/>
      <c r="N3" s="857"/>
      <c r="O3" s="885" t="s">
        <v>699</v>
      </c>
      <c r="P3" s="867" t="s">
        <v>700</v>
      </c>
      <c r="Q3" s="867" t="s">
        <v>701</v>
      </c>
      <c r="R3" s="867" t="s">
        <v>702</v>
      </c>
      <c r="S3" s="867" t="s">
        <v>703</v>
      </c>
      <c r="T3" s="867" t="s">
        <v>704</v>
      </c>
      <c r="U3" s="867" t="s">
        <v>705</v>
      </c>
      <c r="V3" s="867" t="s">
        <v>706</v>
      </c>
      <c r="W3" s="867" t="s">
        <v>707</v>
      </c>
      <c r="X3" s="867" t="s">
        <v>708</v>
      </c>
      <c r="Y3" s="867" t="s">
        <v>709</v>
      </c>
      <c r="Z3" s="867"/>
      <c r="AA3" s="867"/>
      <c r="AB3" s="867"/>
      <c r="AC3" s="867" t="s">
        <v>710</v>
      </c>
      <c r="AD3" s="867" t="s">
        <v>711</v>
      </c>
      <c r="AE3" s="867" t="s">
        <v>712</v>
      </c>
      <c r="AF3" s="867" t="s">
        <v>713</v>
      </c>
      <c r="AG3" s="867" t="s">
        <v>714</v>
      </c>
      <c r="AH3" s="867" t="s">
        <v>715</v>
      </c>
      <c r="AI3" s="867" t="s">
        <v>716</v>
      </c>
      <c r="AJ3" s="867" t="s">
        <v>717</v>
      </c>
      <c r="AK3" s="867" t="s">
        <v>718</v>
      </c>
      <c r="AL3" s="867" t="s">
        <v>719</v>
      </c>
      <c r="AM3" s="867" t="s">
        <v>720</v>
      </c>
      <c r="AN3" s="867" t="s">
        <v>721</v>
      </c>
      <c r="AO3" s="867" t="s">
        <v>722</v>
      </c>
      <c r="AP3" s="867" t="s">
        <v>723</v>
      </c>
      <c r="AQ3" s="880" t="s">
        <v>724</v>
      </c>
      <c r="AR3" s="867" t="s">
        <v>725</v>
      </c>
      <c r="AS3" s="867" t="s">
        <v>726</v>
      </c>
      <c r="AT3" s="867" t="s">
        <v>727</v>
      </c>
      <c r="AU3" s="867" t="s">
        <v>728</v>
      </c>
      <c r="AV3" s="867" t="s">
        <v>729</v>
      </c>
      <c r="AW3" s="867" t="s">
        <v>730</v>
      </c>
      <c r="AX3" s="867" t="s">
        <v>731</v>
      </c>
      <c r="AY3" s="867" t="s">
        <v>732</v>
      </c>
      <c r="AZ3" s="867" t="s">
        <v>733</v>
      </c>
      <c r="BA3" s="867" t="s">
        <v>710</v>
      </c>
      <c r="BB3" s="875" t="s">
        <v>734</v>
      </c>
      <c r="BC3" s="875" t="s">
        <v>735</v>
      </c>
      <c r="BD3" s="875" t="s">
        <v>736</v>
      </c>
      <c r="BE3" s="875" t="s">
        <v>737</v>
      </c>
      <c r="BF3" s="875" t="s">
        <v>738</v>
      </c>
      <c r="BG3" s="875" t="s">
        <v>739</v>
      </c>
      <c r="BH3" s="875" t="s">
        <v>740</v>
      </c>
      <c r="BI3" s="875" t="s">
        <v>741</v>
      </c>
      <c r="BJ3" s="869" t="s">
        <v>742</v>
      </c>
    </row>
    <row r="4" spans="1:62" ht="63" customHeight="1" x14ac:dyDescent="0.3">
      <c r="A4" s="878" t="s">
        <v>743</v>
      </c>
      <c r="B4" s="856" t="s">
        <v>56</v>
      </c>
      <c r="C4" s="856" t="s">
        <v>744</v>
      </c>
      <c r="D4" s="856" t="s">
        <v>614</v>
      </c>
      <c r="E4" s="856" t="s">
        <v>745</v>
      </c>
      <c r="F4" s="856" t="s">
        <v>746</v>
      </c>
      <c r="G4" s="856" t="s">
        <v>747</v>
      </c>
      <c r="H4" s="856" t="s">
        <v>131</v>
      </c>
      <c r="I4" s="863" t="s">
        <v>396</v>
      </c>
      <c r="J4" s="863" t="s">
        <v>150</v>
      </c>
      <c r="K4" s="863" t="s">
        <v>748</v>
      </c>
      <c r="L4" s="861" t="s">
        <v>159</v>
      </c>
      <c r="M4" s="856" t="s">
        <v>109</v>
      </c>
      <c r="N4" s="856" t="s">
        <v>749</v>
      </c>
      <c r="O4" s="886" t="s">
        <v>750</v>
      </c>
      <c r="P4" s="875" t="s">
        <v>751</v>
      </c>
      <c r="Q4" s="875" t="s">
        <v>752</v>
      </c>
      <c r="R4" s="875" t="s">
        <v>753</v>
      </c>
      <c r="S4" s="875" t="s">
        <v>754</v>
      </c>
      <c r="T4" s="875" t="s">
        <v>755</v>
      </c>
      <c r="U4" s="875" t="s">
        <v>756</v>
      </c>
      <c r="V4" s="875" t="s">
        <v>757</v>
      </c>
      <c r="W4" s="875" t="s">
        <v>758</v>
      </c>
      <c r="X4" s="875" t="s">
        <v>759</v>
      </c>
      <c r="Y4" s="875" t="s">
        <v>760</v>
      </c>
      <c r="Z4" s="875" t="s">
        <v>761</v>
      </c>
      <c r="AA4" s="875" t="s">
        <v>762</v>
      </c>
      <c r="AB4" s="875" t="s">
        <v>763</v>
      </c>
      <c r="AC4" s="875" t="s">
        <v>764</v>
      </c>
      <c r="AD4" s="875" t="s">
        <v>765</v>
      </c>
      <c r="AE4" s="875" t="s">
        <v>766</v>
      </c>
      <c r="AF4" s="875" t="s">
        <v>767</v>
      </c>
      <c r="AG4" s="875" t="s">
        <v>210</v>
      </c>
      <c r="AH4" s="875" t="s">
        <v>211</v>
      </c>
      <c r="AI4" s="875" t="s">
        <v>768</v>
      </c>
      <c r="AJ4" s="875" t="s">
        <v>769</v>
      </c>
      <c r="AK4" s="875" t="s">
        <v>770</v>
      </c>
      <c r="AL4" s="875" t="s">
        <v>771</v>
      </c>
      <c r="AM4" s="875" t="s">
        <v>772</v>
      </c>
      <c r="AN4" s="875" t="s">
        <v>773</v>
      </c>
      <c r="AO4" s="875" t="s">
        <v>774</v>
      </c>
      <c r="AP4" s="875" t="s">
        <v>775</v>
      </c>
      <c r="AQ4" s="876" t="s">
        <v>776</v>
      </c>
      <c r="AR4" s="875" t="s">
        <v>777</v>
      </c>
      <c r="AS4" s="875" t="s">
        <v>778</v>
      </c>
      <c r="AT4" s="875" t="s">
        <v>779</v>
      </c>
      <c r="AU4" s="875" t="s">
        <v>780</v>
      </c>
      <c r="AV4" s="875" t="s">
        <v>781</v>
      </c>
      <c r="AW4" s="875" t="s">
        <v>782</v>
      </c>
      <c r="AX4" s="875" t="s">
        <v>783</v>
      </c>
      <c r="AY4" s="875" t="s">
        <v>784</v>
      </c>
      <c r="AZ4" s="875" t="s">
        <v>785</v>
      </c>
      <c r="BA4" s="875"/>
      <c r="BB4" s="875" t="s">
        <v>487</v>
      </c>
      <c r="BC4" s="875" t="s">
        <v>786</v>
      </c>
      <c r="BD4" s="875" t="s">
        <v>787</v>
      </c>
      <c r="BE4" s="875" t="s">
        <v>788</v>
      </c>
      <c r="BF4" s="875" t="s">
        <v>789</v>
      </c>
      <c r="BG4" s="875" t="s">
        <v>790</v>
      </c>
      <c r="BH4" s="875" t="s">
        <v>791</v>
      </c>
      <c r="BI4" s="875" t="s">
        <v>792</v>
      </c>
      <c r="BJ4" s="877" t="s">
        <v>793</v>
      </c>
    </row>
    <row r="5" spans="1:62" x14ac:dyDescent="0.3">
      <c r="A5" s="858">
        <v>2021</v>
      </c>
      <c r="B5" s="860">
        <f>Q5</f>
        <v>394.202</v>
      </c>
      <c r="C5" s="860">
        <f>SUM(Y5:AB5)</f>
        <v>195.7</v>
      </c>
      <c r="D5" s="860">
        <f>T5</f>
        <v>18.823</v>
      </c>
      <c r="E5" s="860">
        <f>SUM(P5:S5)-B5</f>
        <v>0.77600000000001046</v>
      </c>
      <c r="F5" s="860">
        <f>SUM(T5:AF5)-C5-L5-D5 - 28</f>
        <v>19.722000000000016</v>
      </c>
      <c r="G5" s="860">
        <f>SUM(BB5:BI5)-BC5</f>
        <v>81.642999999999986</v>
      </c>
      <c r="H5" s="860">
        <f>SUM(AG5:AI5)</f>
        <v>7.798</v>
      </c>
      <c r="I5" s="860">
        <f>AJ5</f>
        <v>283.95749999999998</v>
      </c>
      <c r="J5" s="860">
        <f>AL5</f>
        <v>12.347</v>
      </c>
      <c r="K5" s="860">
        <f>SUM(AM5:AT5)</f>
        <v>29.628</v>
      </c>
      <c r="L5" s="864">
        <f>103/4</f>
        <v>25.75</v>
      </c>
      <c r="M5" s="860">
        <f t="shared" ref="M5:M16" si="0">SUM(AU5:BA5)</f>
        <v>31.939</v>
      </c>
      <c r="N5" s="860">
        <f>AK5</f>
        <v>3.4</v>
      </c>
      <c r="O5" s="887">
        <v>50</v>
      </c>
      <c r="P5" s="882">
        <v>0.55000000000000004</v>
      </c>
      <c r="Q5" s="883">
        <v>394.202</v>
      </c>
      <c r="R5" s="889">
        <v>0.14599999999999999</v>
      </c>
      <c r="S5" s="889">
        <v>0.08</v>
      </c>
      <c r="T5" s="889">
        <v>18.823</v>
      </c>
      <c r="U5" s="883">
        <v>19</v>
      </c>
      <c r="V5" s="889">
        <v>11.481999999999999</v>
      </c>
      <c r="W5" s="853">
        <v>1.5580000000000001</v>
      </c>
      <c r="X5" s="853">
        <v>0.74</v>
      </c>
      <c r="Y5" s="883">
        <v>0.2</v>
      </c>
      <c r="Z5" s="883">
        <v>43.1</v>
      </c>
      <c r="AA5" s="883">
        <v>33.9</v>
      </c>
      <c r="AB5" s="883">
        <v>118.5</v>
      </c>
      <c r="AC5" s="883">
        <v>28</v>
      </c>
      <c r="AD5" s="853">
        <v>-2.0379999999999998</v>
      </c>
      <c r="AE5" s="883">
        <v>14.31</v>
      </c>
      <c r="AF5" s="889">
        <v>0.42</v>
      </c>
      <c r="AG5" s="889">
        <v>7.7279999999999998</v>
      </c>
      <c r="AH5" s="883">
        <v>7.0000000000000007E-2</v>
      </c>
      <c r="AI5" s="883">
        <v>0</v>
      </c>
      <c r="AJ5" s="883">
        <v>283.95749999999998</v>
      </c>
      <c r="AK5" s="881">
        <v>3.4</v>
      </c>
      <c r="AL5" s="881">
        <v>12.347</v>
      </c>
      <c r="AM5" s="890">
        <v>0.28599999999999998</v>
      </c>
      <c r="AN5" s="881">
        <v>2</v>
      </c>
      <c r="AO5" s="883">
        <v>0.81</v>
      </c>
      <c r="AP5" s="881">
        <v>0.52100000000000002</v>
      </c>
      <c r="AQ5" s="843">
        <v>10</v>
      </c>
      <c r="AR5" s="881">
        <v>2.7</v>
      </c>
      <c r="AS5" s="881">
        <v>0.751</v>
      </c>
      <c r="AT5" s="883">
        <v>12.56</v>
      </c>
      <c r="AU5" s="883">
        <v>0</v>
      </c>
      <c r="AV5" s="881">
        <v>1.415</v>
      </c>
      <c r="AW5" s="881">
        <v>10.51</v>
      </c>
      <c r="AX5" s="881">
        <v>2.6</v>
      </c>
      <c r="AY5" s="883">
        <v>-0.33</v>
      </c>
      <c r="AZ5" s="881">
        <v>17.744</v>
      </c>
      <c r="BA5" s="883">
        <v>0</v>
      </c>
      <c r="BB5" s="881">
        <v>4.0999999999999996</v>
      </c>
      <c r="BC5" s="881">
        <v>7.25</v>
      </c>
      <c r="BD5" s="881">
        <v>48.4</v>
      </c>
      <c r="BE5" s="889">
        <v>0.83</v>
      </c>
      <c r="BF5" s="853">
        <v>4.5110000000000001</v>
      </c>
      <c r="BG5" s="883">
        <v>3.0739999999999998</v>
      </c>
      <c r="BH5" s="844">
        <v>-0.28399999999999997</v>
      </c>
      <c r="BI5" s="881">
        <v>21.012</v>
      </c>
      <c r="BJ5" s="870">
        <v>1.1599999999999999</v>
      </c>
    </row>
    <row r="6" spans="1:62" x14ac:dyDescent="0.3">
      <c r="A6" s="858">
        <v>2022</v>
      </c>
      <c r="B6" s="860">
        <f t="shared" ref="B6:B15" si="1">Q6</f>
        <v>17.465</v>
      </c>
      <c r="C6" s="860">
        <f t="shared" ref="C6:C15" si="2">SUM(Y6:AB6)</f>
        <v>10.1</v>
      </c>
      <c r="D6" s="860">
        <f t="shared" ref="D6:D15" si="3">T6</f>
        <v>2.5950000000000002</v>
      </c>
      <c r="E6" s="860">
        <f t="shared" ref="E6:E15" si="4">SUM(P6:S6)-B6</f>
        <v>19.719000000000005</v>
      </c>
      <c r="F6" s="860">
        <f>SUM(T6:AF6)-C6-L6-D6</f>
        <v>52.756999999999998</v>
      </c>
      <c r="G6" s="860">
        <f t="shared" ref="G6:G16" si="5">SUM(BB6:BI6)-BC6</f>
        <v>110.24799999999999</v>
      </c>
      <c r="H6" s="860">
        <f t="shared" ref="H6:H15" si="6">SUM(AG6:AI6)</f>
        <v>7.9489999999999998</v>
      </c>
      <c r="I6" s="860">
        <f t="shared" ref="I6:I15" si="7">AJ6</f>
        <v>77.092500000000001</v>
      </c>
      <c r="J6" s="860">
        <f t="shared" ref="J6:J15" si="8">AL6</f>
        <v>46.79</v>
      </c>
      <c r="K6" s="860">
        <f t="shared" ref="K6:K16" si="9">SUM(AM6:AT6)</f>
        <v>35.671000000000006</v>
      </c>
      <c r="L6" s="864">
        <v>0</v>
      </c>
      <c r="M6" s="860">
        <f t="shared" si="0"/>
        <v>56.412999999999997</v>
      </c>
      <c r="N6" s="860">
        <f t="shared" ref="N6:N15" si="10">AK6</f>
        <v>5.0999999999999996</v>
      </c>
      <c r="O6" s="887">
        <v>55</v>
      </c>
      <c r="P6" s="882">
        <v>15.61</v>
      </c>
      <c r="Q6" s="883">
        <v>17.465</v>
      </c>
      <c r="R6" s="889">
        <v>0.317</v>
      </c>
      <c r="S6" s="889">
        <v>3.7919999999999998</v>
      </c>
      <c r="T6" s="883">
        <v>2.5950000000000002</v>
      </c>
      <c r="U6" s="881">
        <v>14.5</v>
      </c>
      <c r="V6" s="883">
        <v>25.070999999999998</v>
      </c>
      <c r="W6" s="853">
        <v>1.952</v>
      </c>
      <c r="X6" s="853">
        <v>0.61399999999999999</v>
      </c>
      <c r="Y6" s="881">
        <v>0</v>
      </c>
      <c r="Z6" s="881">
        <v>2.2999999999999998</v>
      </c>
      <c r="AA6" s="881">
        <v>1.6</v>
      </c>
      <c r="AB6" s="881">
        <v>6.2</v>
      </c>
      <c r="AC6" s="883">
        <v>0</v>
      </c>
      <c r="AD6" s="883">
        <v>1.31</v>
      </c>
      <c r="AE6" s="883">
        <v>8.61</v>
      </c>
      <c r="AF6" s="883">
        <v>0.7</v>
      </c>
      <c r="AG6" s="889">
        <v>7.782</v>
      </c>
      <c r="AH6" s="883">
        <v>0.12</v>
      </c>
      <c r="AI6" s="883">
        <v>4.7E-2</v>
      </c>
      <c r="AJ6" s="883">
        <v>77.092500000000001</v>
      </c>
      <c r="AK6" s="881">
        <v>5.0999999999999996</v>
      </c>
      <c r="AL6" s="881">
        <v>46.79</v>
      </c>
      <c r="AM6" s="844">
        <v>0.30499999999999999</v>
      </c>
      <c r="AN6" s="881">
        <v>4.3</v>
      </c>
      <c r="AO6" s="853">
        <v>1.1000000000000001</v>
      </c>
      <c r="AP6" s="881">
        <v>1.575</v>
      </c>
      <c r="AQ6" s="843">
        <v>10</v>
      </c>
      <c r="AR6" s="881">
        <v>4.5</v>
      </c>
      <c r="AS6" s="881">
        <v>1.9810000000000001</v>
      </c>
      <c r="AT6" s="883">
        <v>11.91</v>
      </c>
      <c r="AU6" s="883">
        <v>0</v>
      </c>
      <c r="AV6" s="881">
        <v>3.927</v>
      </c>
      <c r="AW6" s="881">
        <v>4.2880000000000003</v>
      </c>
      <c r="AX6" s="881">
        <v>3.7</v>
      </c>
      <c r="AY6" s="883">
        <v>-1.34</v>
      </c>
      <c r="AZ6" s="881">
        <v>45.838000000000001</v>
      </c>
      <c r="BA6" s="883">
        <v>0</v>
      </c>
      <c r="BB6" s="881">
        <v>11.3</v>
      </c>
      <c r="BC6" s="881">
        <v>0</v>
      </c>
      <c r="BD6" s="881">
        <v>1.1000000000000001</v>
      </c>
      <c r="BE6" s="889">
        <v>1.75</v>
      </c>
      <c r="BF6" s="853">
        <v>1.7330000000000001</v>
      </c>
      <c r="BG6" s="853">
        <v>7.1440000000000001</v>
      </c>
      <c r="BH6" s="845">
        <v>81.608999999999995</v>
      </c>
      <c r="BI6" s="881">
        <v>5.6120000000000001</v>
      </c>
      <c r="BJ6" s="870">
        <v>4.2</v>
      </c>
    </row>
    <row r="7" spans="1:62" x14ac:dyDescent="0.3">
      <c r="A7" s="858">
        <v>2023</v>
      </c>
      <c r="B7" s="860">
        <f t="shared" si="1"/>
        <v>0.48599999999999999</v>
      </c>
      <c r="C7" s="860">
        <f t="shared" si="2"/>
        <v>0</v>
      </c>
      <c r="D7" s="860">
        <f t="shared" si="3"/>
        <v>0.93700000000000006</v>
      </c>
      <c r="E7" s="860">
        <f t="shared" si="4"/>
        <v>1.4159999999999999</v>
      </c>
      <c r="F7" s="860">
        <f t="shared" ref="F7:F15" si="11">SUM(T7:AF7)-C7-L7-D7</f>
        <v>12</v>
      </c>
      <c r="G7" s="860">
        <f t="shared" si="5"/>
        <v>12.726000000000001</v>
      </c>
      <c r="H7" s="860">
        <f t="shared" si="6"/>
        <v>4.7519999999999998</v>
      </c>
      <c r="I7" s="860">
        <f t="shared" si="7"/>
        <v>1</v>
      </c>
      <c r="J7" s="860">
        <f t="shared" si="8"/>
        <v>38.595999999999997</v>
      </c>
      <c r="K7" s="860">
        <f t="shared" si="9"/>
        <v>24.216000000000001</v>
      </c>
      <c r="L7" s="864">
        <v>0</v>
      </c>
      <c r="M7" s="860">
        <f t="shared" si="0"/>
        <v>15.652999999999999</v>
      </c>
      <c r="N7" s="860">
        <f t="shared" si="10"/>
        <v>0</v>
      </c>
      <c r="O7" s="887">
        <v>0.7</v>
      </c>
      <c r="P7" s="882">
        <v>0.96</v>
      </c>
      <c r="Q7" s="883">
        <v>0.48599999999999999</v>
      </c>
      <c r="R7" s="889">
        <v>0.45600000000000002</v>
      </c>
      <c r="S7" s="883">
        <v>0</v>
      </c>
      <c r="T7" s="846">
        <v>0.93700000000000006</v>
      </c>
      <c r="U7" s="881">
        <v>3</v>
      </c>
      <c r="V7" s="889">
        <v>7.891</v>
      </c>
      <c r="W7" s="853">
        <v>0.61699999999999999</v>
      </c>
      <c r="X7" s="853">
        <v>8.4000000000000005E-2</v>
      </c>
      <c r="Y7" s="881">
        <v>0</v>
      </c>
      <c r="Z7" s="881">
        <v>0</v>
      </c>
      <c r="AA7" s="881">
        <v>0</v>
      </c>
      <c r="AB7" s="881">
        <v>0</v>
      </c>
      <c r="AC7" s="883">
        <v>0</v>
      </c>
      <c r="AD7" s="883">
        <v>0.318</v>
      </c>
      <c r="AE7" s="889">
        <v>-0.11000000000000001</v>
      </c>
      <c r="AF7" s="883">
        <v>0.2</v>
      </c>
      <c r="AG7" s="889">
        <v>4.6749999999999998</v>
      </c>
      <c r="AH7" s="883">
        <v>0.06</v>
      </c>
      <c r="AI7" s="883">
        <v>1.7000000000000001E-2</v>
      </c>
      <c r="AJ7" s="883">
        <v>1</v>
      </c>
      <c r="AK7" s="881">
        <v>0</v>
      </c>
      <c r="AL7" s="881">
        <v>38.595999999999997</v>
      </c>
      <c r="AM7" s="883">
        <v>0.14899999999999999</v>
      </c>
      <c r="AN7" s="881">
        <v>1.2</v>
      </c>
      <c r="AO7" s="853">
        <v>0.53</v>
      </c>
      <c r="AP7" s="881">
        <v>0.38100000000000001</v>
      </c>
      <c r="AQ7" s="843">
        <v>8</v>
      </c>
      <c r="AR7" s="881">
        <v>4.5</v>
      </c>
      <c r="AS7" s="881">
        <v>0.76600000000000001</v>
      </c>
      <c r="AT7" s="883">
        <v>8.69</v>
      </c>
      <c r="AU7" s="883">
        <v>0</v>
      </c>
      <c r="AV7" s="881">
        <v>1.93</v>
      </c>
      <c r="AW7" s="881">
        <v>1.4379999999999999</v>
      </c>
      <c r="AX7" s="881">
        <v>2.6</v>
      </c>
      <c r="AY7" s="853">
        <v>-2.48</v>
      </c>
      <c r="AZ7" s="881">
        <v>12.164999999999999</v>
      </c>
      <c r="BA7" s="853">
        <v>0</v>
      </c>
      <c r="BB7" s="881">
        <v>8.4</v>
      </c>
      <c r="BC7" s="881">
        <v>0</v>
      </c>
      <c r="BD7" s="881">
        <v>0.3</v>
      </c>
      <c r="BE7" s="889">
        <v>1.8</v>
      </c>
      <c r="BF7" s="853">
        <v>0</v>
      </c>
      <c r="BG7" s="853">
        <v>0</v>
      </c>
      <c r="BH7" s="844">
        <v>1.3759999999999999</v>
      </c>
      <c r="BI7" s="881">
        <v>0.85</v>
      </c>
      <c r="BJ7" s="870">
        <v>2.7</v>
      </c>
    </row>
    <row r="8" spans="1:62" x14ac:dyDescent="0.3">
      <c r="A8" s="858">
        <v>2024</v>
      </c>
      <c r="B8" s="860">
        <f t="shared" si="1"/>
        <v>0</v>
      </c>
      <c r="C8" s="860">
        <f t="shared" si="2"/>
        <v>0</v>
      </c>
      <c r="D8" s="860">
        <f t="shared" si="3"/>
        <v>0.16</v>
      </c>
      <c r="E8" s="860">
        <f t="shared" si="4"/>
        <v>1.4790000000000001</v>
      </c>
      <c r="F8" s="860">
        <f t="shared" si="11"/>
        <v>4.2219999999999995</v>
      </c>
      <c r="G8" s="860">
        <f t="shared" si="5"/>
        <v>1.365</v>
      </c>
      <c r="H8" s="860">
        <f t="shared" si="6"/>
        <v>4.637999999999999</v>
      </c>
      <c r="I8" s="860">
        <f t="shared" si="7"/>
        <v>0</v>
      </c>
      <c r="J8" s="860">
        <f t="shared" si="8"/>
        <v>31.911000000000001</v>
      </c>
      <c r="K8" s="860">
        <f t="shared" si="9"/>
        <v>9.6430000000000007</v>
      </c>
      <c r="L8" s="864">
        <v>0</v>
      </c>
      <c r="M8" s="860">
        <f t="shared" si="0"/>
        <v>3.9320000000000004</v>
      </c>
      <c r="N8" s="860">
        <f t="shared" si="10"/>
        <v>0</v>
      </c>
      <c r="O8" s="887">
        <v>0.7</v>
      </c>
      <c r="P8" s="882">
        <v>0.96</v>
      </c>
      <c r="Q8" s="881">
        <v>0</v>
      </c>
      <c r="R8" s="889">
        <v>0.51900000000000002</v>
      </c>
      <c r="S8" s="883">
        <v>0</v>
      </c>
      <c r="T8" s="847">
        <v>0.16</v>
      </c>
      <c r="U8" s="881">
        <v>2.8</v>
      </c>
      <c r="V8" s="883">
        <v>0.504</v>
      </c>
      <c r="W8" s="853">
        <v>0.47199999999999998</v>
      </c>
      <c r="X8" s="853">
        <v>2E-3</v>
      </c>
      <c r="Y8" s="881">
        <v>0</v>
      </c>
      <c r="Z8" s="881">
        <v>0</v>
      </c>
      <c r="AA8" s="881">
        <v>0</v>
      </c>
      <c r="AB8" s="881">
        <v>0</v>
      </c>
      <c r="AC8" s="883">
        <v>0</v>
      </c>
      <c r="AD8" s="883">
        <v>0.34399999999999997</v>
      </c>
      <c r="AE8" s="889">
        <v>0</v>
      </c>
      <c r="AF8" s="889">
        <v>0.1</v>
      </c>
      <c r="AG8" s="889">
        <v>4.5739999999999998</v>
      </c>
      <c r="AH8" s="883">
        <v>0.06</v>
      </c>
      <c r="AI8" s="883">
        <v>4.0000000000000001E-3</v>
      </c>
      <c r="AJ8" s="883">
        <v>0</v>
      </c>
      <c r="AK8" s="881">
        <v>0</v>
      </c>
      <c r="AL8" s="881">
        <v>31.911000000000001</v>
      </c>
      <c r="AM8" s="883">
        <v>4.1000000000000002E-2</v>
      </c>
      <c r="AN8" s="881">
        <v>0.4</v>
      </c>
      <c r="AO8" s="853">
        <v>0.41</v>
      </c>
      <c r="AP8" s="881">
        <v>0.13100000000000001</v>
      </c>
      <c r="AQ8" s="843">
        <v>0</v>
      </c>
      <c r="AR8" s="881">
        <v>3</v>
      </c>
      <c r="AS8" s="881">
        <v>0.30099999999999999</v>
      </c>
      <c r="AT8" s="853">
        <v>5.36</v>
      </c>
      <c r="AU8" s="883">
        <v>0</v>
      </c>
      <c r="AV8" s="881">
        <v>0.79600000000000004</v>
      </c>
      <c r="AW8" s="881">
        <v>0.27500000000000002</v>
      </c>
      <c r="AX8" s="881">
        <v>1</v>
      </c>
      <c r="AY8" s="853">
        <v>-2.6</v>
      </c>
      <c r="AZ8" s="881">
        <v>4.4610000000000003</v>
      </c>
      <c r="BA8" s="853">
        <v>0</v>
      </c>
      <c r="BB8" s="881">
        <v>0.2</v>
      </c>
      <c r="BC8" s="881">
        <v>0</v>
      </c>
      <c r="BD8" s="881">
        <v>0</v>
      </c>
      <c r="BE8" s="889">
        <v>1.95</v>
      </c>
      <c r="BF8" s="853">
        <v>0</v>
      </c>
      <c r="BG8" s="853">
        <v>0</v>
      </c>
      <c r="BH8" s="844">
        <v>-0.875</v>
      </c>
      <c r="BI8" s="881">
        <v>0.09</v>
      </c>
      <c r="BJ8" s="871">
        <v>0.87</v>
      </c>
    </row>
    <row r="9" spans="1:62" x14ac:dyDescent="0.3">
      <c r="A9" s="858">
        <v>2025</v>
      </c>
      <c r="B9" s="860">
        <f t="shared" si="1"/>
        <v>0</v>
      </c>
      <c r="C9" s="860">
        <f t="shared" si="2"/>
        <v>0</v>
      </c>
      <c r="D9" s="860">
        <f t="shared" si="3"/>
        <v>3.3000000000000002E-2</v>
      </c>
      <c r="E9" s="860">
        <f t="shared" si="4"/>
        <v>1.63</v>
      </c>
      <c r="F9" s="860">
        <f t="shared" si="11"/>
        <v>2.3719999999999999</v>
      </c>
      <c r="G9" s="860">
        <f t="shared" si="5"/>
        <v>-0.90100000000000025</v>
      </c>
      <c r="H9" s="860">
        <f t="shared" si="6"/>
        <v>1.8800000000000001</v>
      </c>
      <c r="I9" s="860">
        <f t="shared" si="7"/>
        <v>0</v>
      </c>
      <c r="J9" s="860">
        <f t="shared" si="8"/>
        <v>23.099</v>
      </c>
      <c r="K9" s="860">
        <f t="shared" si="9"/>
        <v>4.5789999999999997</v>
      </c>
      <c r="L9" s="864">
        <v>0</v>
      </c>
      <c r="M9" s="860">
        <f t="shared" si="0"/>
        <v>-0.74299999999999988</v>
      </c>
      <c r="N9" s="860">
        <f t="shared" si="10"/>
        <v>0</v>
      </c>
      <c r="O9" s="887">
        <v>0.7</v>
      </c>
      <c r="P9" s="882">
        <v>1.06</v>
      </c>
      <c r="Q9" s="881">
        <v>0</v>
      </c>
      <c r="R9" s="889">
        <v>0.56999999999999995</v>
      </c>
      <c r="S9" s="883">
        <v>0</v>
      </c>
      <c r="T9" s="848">
        <v>3.3000000000000002E-2</v>
      </c>
      <c r="U9" s="881">
        <v>2</v>
      </c>
      <c r="V9" s="848">
        <v>0</v>
      </c>
      <c r="W9" s="853">
        <v>0.21299999999999999</v>
      </c>
      <c r="X9" s="853">
        <v>2E-3</v>
      </c>
      <c r="Y9" s="881">
        <v>0</v>
      </c>
      <c r="Z9" s="881">
        <v>0</v>
      </c>
      <c r="AA9" s="881">
        <v>0</v>
      </c>
      <c r="AB9" s="881">
        <v>0</v>
      </c>
      <c r="AC9" s="883">
        <v>0</v>
      </c>
      <c r="AD9" s="883">
        <v>0.157</v>
      </c>
      <c r="AE9" s="889">
        <v>0</v>
      </c>
      <c r="AF9" s="889">
        <v>0</v>
      </c>
      <c r="AG9" s="883">
        <v>1.81</v>
      </c>
      <c r="AH9" s="883">
        <v>7.0000000000000007E-2</v>
      </c>
      <c r="AI9" s="883">
        <v>0</v>
      </c>
      <c r="AJ9" s="881">
        <v>0</v>
      </c>
      <c r="AK9" s="881">
        <v>0</v>
      </c>
      <c r="AL9" s="881">
        <v>23.099</v>
      </c>
      <c r="AM9" s="883">
        <v>1.2999999999999999E-2</v>
      </c>
      <c r="AN9" s="881">
        <v>0.3</v>
      </c>
      <c r="AO9" s="879">
        <v>0.15</v>
      </c>
      <c r="AP9" s="881">
        <v>0.112</v>
      </c>
      <c r="AQ9" s="843">
        <v>0</v>
      </c>
      <c r="AR9" s="881">
        <v>0.2</v>
      </c>
      <c r="AS9" s="881">
        <v>7.3999999999999996E-2</v>
      </c>
      <c r="AT9" s="853">
        <v>3.73</v>
      </c>
      <c r="AU9" s="883">
        <v>0</v>
      </c>
      <c r="AV9" s="881">
        <v>5.3999999999999999E-2</v>
      </c>
      <c r="AW9" s="881">
        <v>0.13100000000000001</v>
      </c>
      <c r="AX9" s="881">
        <v>0</v>
      </c>
      <c r="AY9" s="853">
        <v>-2.71</v>
      </c>
      <c r="AZ9" s="881">
        <v>1.782</v>
      </c>
      <c r="BA9" s="853">
        <v>0</v>
      </c>
      <c r="BB9" s="881">
        <v>0</v>
      </c>
      <c r="BC9" s="881">
        <v>0</v>
      </c>
      <c r="BD9" s="881">
        <v>0</v>
      </c>
      <c r="BE9" s="889">
        <v>1.43</v>
      </c>
      <c r="BF9" s="853">
        <v>0</v>
      </c>
      <c r="BG9" s="853">
        <v>0</v>
      </c>
      <c r="BH9" s="844">
        <v>-2.3410000000000002</v>
      </c>
      <c r="BI9" s="881">
        <v>0.01</v>
      </c>
      <c r="BJ9" s="871">
        <v>0.33</v>
      </c>
    </row>
    <row r="10" spans="1:62" x14ac:dyDescent="0.3">
      <c r="A10" s="858">
        <v>2026</v>
      </c>
      <c r="B10" s="860">
        <f t="shared" si="1"/>
        <v>0</v>
      </c>
      <c r="C10" s="860">
        <f t="shared" si="2"/>
        <v>0</v>
      </c>
      <c r="D10" s="860">
        <f t="shared" si="3"/>
        <v>3.2000000000000001E-2</v>
      </c>
      <c r="E10" s="860">
        <f t="shared" si="4"/>
        <v>1.671</v>
      </c>
      <c r="F10" s="860">
        <f t="shared" si="11"/>
        <v>0.49</v>
      </c>
      <c r="G10" s="860">
        <f t="shared" si="5"/>
        <v>-2.1500000000000004</v>
      </c>
      <c r="H10" s="860">
        <f t="shared" si="6"/>
        <v>1.446</v>
      </c>
      <c r="I10" s="860">
        <f t="shared" si="7"/>
        <v>0</v>
      </c>
      <c r="J10" s="860">
        <f t="shared" si="8"/>
        <v>10.766999999999999</v>
      </c>
      <c r="K10" s="860">
        <f t="shared" si="9"/>
        <v>2.9130000000000003</v>
      </c>
      <c r="L10" s="864"/>
      <c r="M10" s="860">
        <f t="shared" si="0"/>
        <v>-21.606000000000002</v>
      </c>
      <c r="N10" s="860">
        <f t="shared" si="10"/>
        <v>0</v>
      </c>
      <c r="O10" s="887">
        <v>0.7</v>
      </c>
      <c r="P10" s="882">
        <v>1.07</v>
      </c>
      <c r="Q10" s="881">
        <v>0</v>
      </c>
      <c r="R10" s="889">
        <v>0.60099999999999998</v>
      </c>
      <c r="S10" s="883">
        <v>0</v>
      </c>
      <c r="T10" s="844">
        <v>3.2000000000000001E-2</v>
      </c>
      <c r="U10" s="881">
        <v>0.3</v>
      </c>
      <c r="V10" s="889">
        <v>0</v>
      </c>
      <c r="W10" s="853">
        <v>0.188</v>
      </c>
      <c r="X10" s="853">
        <v>2E-3</v>
      </c>
      <c r="Y10" s="881">
        <v>0</v>
      </c>
      <c r="Z10" s="881">
        <v>0</v>
      </c>
      <c r="AA10" s="881">
        <v>0</v>
      </c>
      <c r="AB10" s="881">
        <v>0</v>
      </c>
      <c r="AC10" s="883">
        <v>0</v>
      </c>
      <c r="AD10" s="883">
        <v>0</v>
      </c>
      <c r="AE10" s="883">
        <v>0</v>
      </c>
      <c r="AF10" s="889">
        <v>0</v>
      </c>
      <c r="AG10" s="883">
        <v>1.3759999999999999</v>
      </c>
      <c r="AH10" s="883">
        <v>7.0000000000000007E-2</v>
      </c>
      <c r="AI10" s="883">
        <v>0</v>
      </c>
      <c r="AJ10" s="849">
        <v>0</v>
      </c>
      <c r="AK10" s="881">
        <v>0</v>
      </c>
      <c r="AL10" s="881">
        <v>10.766999999999999</v>
      </c>
      <c r="AM10" s="883">
        <v>3.0000000000000001E-3</v>
      </c>
      <c r="AN10" s="881">
        <v>0.2</v>
      </c>
      <c r="AO10" s="879">
        <v>0.1</v>
      </c>
      <c r="AP10" s="881">
        <v>0.05</v>
      </c>
      <c r="AQ10" s="843">
        <v>0</v>
      </c>
      <c r="AR10" s="881">
        <v>0</v>
      </c>
      <c r="AS10" s="881">
        <v>0</v>
      </c>
      <c r="AT10" s="853">
        <v>2.56</v>
      </c>
      <c r="AU10" s="883">
        <v>0</v>
      </c>
      <c r="AV10" s="881">
        <v>3.7999999999999999E-2</v>
      </c>
      <c r="AW10" s="881">
        <v>2.5999999999999999E-2</v>
      </c>
      <c r="AX10" s="881">
        <v>0</v>
      </c>
      <c r="AY10" s="853">
        <v>-2.6700000000000004</v>
      </c>
      <c r="AZ10" s="881">
        <v>0</v>
      </c>
      <c r="BA10" s="853">
        <v>-19</v>
      </c>
      <c r="BB10" s="881">
        <v>0</v>
      </c>
      <c r="BC10" s="881">
        <v>0</v>
      </c>
      <c r="BD10" s="881">
        <v>0</v>
      </c>
      <c r="BE10" s="853">
        <v>0.88</v>
      </c>
      <c r="BF10" s="853">
        <v>0</v>
      </c>
      <c r="BG10" s="853">
        <v>0</v>
      </c>
      <c r="BH10" s="883">
        <v>-2.8200000000000003</v>
      </c>
      <c r="BI10" s="881">
        <v>-0.21</v>
      </c>
      <c r="BJ10" s="871">
        <v>0.17</v>
      </c>
    </row>
    <row r="11" spans="1:62" x14ac:dyDescent="0.3">
      <c r="A11" s="858">
        <v>2027</v>
      </c>
      <c r="B11" s="860">
        <f t="shared" si="1"/>
        <v>0</v>
      </c>
      <c r="C11" s="860">
        <f t="shared" si="2"/>
        <v>0</v>
      </c>
      <c r="D11" s="860">
        <f t="shared" si="3"/>
        <v>3.2000000000000001E-2</v>
      </c>
      <c r="E11" s="860">
        <f t="shared" si="4"/>
        <v>1.7130000000000001</v>
      </c>
      <c r="F11" s="860">
        <f t="shared" si="11"/>
        <v>0</v>
      </c>
      <c r="G11" s="860">
        <f t="shared" si="5"/>
        <v>-4.8169999999999993</v>
      </c>
      <c r="H11" s="860">
        <f t="shared" si="6"/>
        <v>0.65699999999999992</v>
      </c>
      <c r="I11" s="860">
        <f t="shared" si="7"/>
        <v>0</v>
      </c>
      <c r="J11" s="860">
        <f t="shared" si="8"/>
        <v>4.0789999999999997</v>
      </c>
      <c r="K11" s="860">
        <f t="shared" si="9"/>
        <v>2.46</v>
      </c>
      <c r="L11" s="864"/>
      <c r="M11" s="860">
        <f t="shared" si="0"/>
        <v>-14.713000000000001</v>
      </c>
      <c r="N11" s="860">
        <f t="shared" si="10"/>
        <v>0</v>
      </c>
      <c r="O11" s="887">
        <v>0.3</v>
      </c>
      <c r="P11" s="882">
        <v>1.08</v>
      </c>
      <c r="Q11" s="881">
        <v>0</v>
      </c>
      <c r="R11" s="889">
        <v>0.63300000000000001</v>
      </c>
      <c r="S11" s="847">
        <v>0</v>
      </c>
      <c r="T11" s="881">
        <v>3.2000000000000001E-2</v>
      </c>
      <c r="U11" s="881">
        <v>0</v>
      </c>
      <c r="V11" s="883">
        <v>0</v>
      </c>
      <c r="W11" s="853">
        <v>0</v>
      </c>
      <c r="X11" s="853">
        <v>0</v>
      </c>
      <c r="Y11" s="881">
        <v>0</v>
      </c>
      <c r="Z11" s="881">
        <v>0</v>
      </c>
      <c r="AA11" s="881">
        <v>0</v>
      </c>
      <c r="AB11" s="881">
        <v>0</v>
      </c>
      <c r="AC11" s="883">
        <v>0</v>
      </c>
      <c r="AD11" s="889">
        <v>0</v>
      </c>
      <c r="AE11" s="883">
        <v>0</v>
      </c>
      <c r="AF11" s="889">
        <v>0</v>
      </c>
      <c r="AG11" s="883">
        <v>0.57699999999999996</v>
      </c>
      <c r="AH11" s="883">
        <v>0.08</v>
      </c>
      <c r="AI11" s="883">
        <v>0</v>
      </c>
      <c r="AJ11" s="883">
        <v>0</v>
      </c>
      <c r="AK11" s="881">
        <v>0</v>
      </c>
      <c r="AL11" s="881">
        <v>4.0789999999999997</v>
      </c>
      <c r="AM11" s="881">
        <v>0</v>
      </c>
      <c r="AN11" s="881">
        <v>0.1</v>
      </c>
      <c r="AO11" s="879">
        <v>0.1</v>
      </c>
      <c r="AP11" s="881">
        <v>0.03</v>
      </c>
      <c r="AQ11" s="843">
        <v>0</v>
      </c>
      <c r="AR11" s="881">
        <v>0</v>
      </c>
      <c r="AS11" s="881">
        <v>0</v>
      </c>
      <c r="AT11" s="879">
        <v>2.23</v>
      </c>
      <c r="AU11" s="883">
        <v>0</v>
      </c>
      <c r="AV11" s="881">
        <v>1.7000000000000001E-2</v>
      </c>
      <c r="AW11" s="881">
        <v>0</v>
      </c>
      <c r="AX11" s="881">
        <v>0</v>
      </c>
      <c r="AY11" s="853">
        <v>-2.73</v>
      </c>
      <c r="AZ11" s="881">
        <v>0</v>
      </c>
      <c r="BA11" s="853">
        <v>-12</v>
      </c>
      <c r="BB11" s="881">
        <v>0</v>
      </c>
      <c r="BC11" s="881">
        <v>0</v>
      </c>
      <c r="BD11" s="881">
        <v>0</v>
      </c>
      <c r="BE11" s="853">
        <v>0.28000000000000003</v>
      </c>
      <c r="BF11" s="853">
        <v>0</v>
      </c>
      <c r="BG11" s="853">
        <v>0</v>
      </c>
      <c r="BH11" s="848">
        <v>-5.0069999999999997</v>
      </c>
      <c r="BI11" s="881">
        <v>-0.09</v>
      </c>
      <c r="BJ11" s="872">
        <v>0.06</v>
      </c>
    </row>
    <row r="12" spans="1:62" x14ac:dyDescent="0.3">
      <c r="A12" s="858">
        <v>2028</v>
      </c>
      <c r="B12" s="860">
        <f t="shared" si="1"/>
        <v>0</v>
      </c>
      <c r="C12" s="860">
        <f t="shared" si="2"/>
        <v>0</v>
      </c>
      <c r="D12" s="860">
        <f t="shared" si="3"/>
        <v>3.3000000000000002E-2</v>
      </c>
      <c r="E12" s="860">
        <f t="shared" si="4"/>
        <v>1.7130000000000001</v>
      </c>
      <c r="F12" s="860">
        <f t="shared" si="11"/>
        <v>0</v>
      </c>
      <c r="G12" s="860">
        <f t="shared" si="5"/>
        <v>-5.0590000000000002</v>
      </c>
      <c r="H12" s="860">
        <f t="shared" si="6"/>
        <v>-1.071</v>
      </c>
      <c r="I12" s="860">
        <f t="shared" si="7"/>
        <v>0</v>
      </c>
      <c r="J12" s="860">
        <f t="shared" si="8"/>
        <v>1.635</v>
      </c>
      <c r="K12" s="860">
        <f t="shared" si="9"/>
        <v>1.81</v>
      </c>
      <c r="L12" s="864"/>
      <c r="M12" s="860">
        <f t="shared" si="0"/>
        <v>-2.7690000000000001</v>
      </c>
      <c r="N12" s="860">
        <f t="shared" si="10"/>
        <v>0</v>
      </c>
      <c r="O12" s="887">
        <v>0.3</v>
      </c>
      <c r="P12" s="882">
        <v>1.08</v>
      </c>
      <c r="Q12" s="881">
        <v>0</v>
      </c>
      <c r="R12" s="889">
        <v>0.63300000000000001</v>
      </c>
      <c r="S12" s="847">
        <v>0</v>
      </c>
      <c r="T12" s="850">
        <v>3.3000000000000002E-2</v>
      </c>
      <c r="U12" s="881">
        <v>0</v>
      </c>
      <c r="V12" s="883">
        <v>0</v>
      </c>
      <c r="W12" s="853">
        <v>0</v>
      </c>
      <c r="X12" s="853">
        <v>0</v>
      </c>
      <c r="Y12" s="881">
        <v>0</v>
      </c>
      <c r="Z12" s="881">
        <v>0</v>
      </c>
      <c r="AA12" s="881">
        <v>0</v>
      </c>
      <c r="AB12" s="881">
        <v>0</v>
      </c>
      <c r="AC12" s="883">
        <v>0</v>
      </c>
      <c r="AD12" s="883">
        <v>0</v>
      </c>
      <c r="AE12" s="883">
        <v>0</v>
      </c>
      <c r="AF12" s="883">
        <v>0</v>
      </c>
      <c r="AG12" s="883">
        <v>-1.151</v>
      </c>
      <c r="AH12" s="883">
        <v>0.08</v>
      </c>
      <c r="AI12" s="883">
        <v>0</v>
      </c>
      <c r="AJ12" s="883">
        <v>0</v>
      </c>
      <c r="AK12" s="881">
        <v>0</v>
      </c>
      <c r="AL12" s="881">
        <v>1.635</v>
      </c>
      <c r="AM12" s="881">
        <v>0</v>
      </c>
      <c r="AN12" s="881">
        <v>0.1</v>
      </c>
      <c r="AO12" s="853">
        <v>0</v>
      </c>
      <c r="AP12" s="881">
        <v>0</v>
      </c>
      <c r="AQ12" s="843">
        <v>0</v>
      </c>
      <c r="AR12" s="881">
        <v>0</v>
      </c>
      <c r="AS12" s="881">
        <v>0</v>
      </c>
      <c r="AT12" s="879">
        <v>1.71</v>
      </c>
      <c r="AU12" s="883">
        <v>0</v>
      </c>
      <c r="AV12" s="881">
        <v>1E-3</v>
      </c>
      <c r="AW12" s="881">
        <v>0</v>
      </c>
      <c r="AX12" s="881">
        <v>0</v>
      </c>
      <c r="AY12" s="853">
        <v>-2.77</v>
      </c>
      <c r="AZ12" s="881">
        <v>0</v>
      </c>
      <c r="BA12" s="853">
        <v>0</v>
      </c>
      <c r="BB12" s="881">
        <v>0</v>
      </c>
      <c r="BC12" s="881">
        <v>0</v>
      </c>
      <c r="BD12" s="881">
        <v>0</v>
      </c>
      <c r="BE12" s="853">
        <v>0.1</v>
      </c>
      <c r="BF12" s="853">
        <v>0</v>
      </c>
      <c r="BG12" s="853">
        <v>0</v>
      </c>
      <c r="BH12" s="848">
        <v>-5.069</v>
      </c>
      <c r="BI12" s="881">
        <v>-0.09</v>
      </c>
      <c r="BJ12" s="872">
        <v>0.03</v>
      </c>
    </row>
    <row r="13" spans="1:62" x14ac:dyDescent="0.3">
      <c r="A13" s="858">
        <v>2029</v>
      </c>
      <c r="B13" s="860">
        <f t="shared" si="1"/>
        <v>0</v>
      </c>
      <c r="C13" s="860">
        <f t="shared" si="2"/>
        <v>0</v>
      </c>
      <c r="D13" s="860">
        <f t="shared" si="3"/>
        <v>3.3000000000000002E-2</v>
      </c>
      <c r="E13" s="860">
        <f t="shared" si="4"/>
        <v>1.7130000000000001</v>
      </c>
      <c r="F13" s="860">
        <f t="shared" si="11"/>
        <v>0</v>
      </c>
      <c r="G13" s="860">
        <f t="shared" si="5"/>
        <v>-5.218</v>
      </c>
      <c r="H13" s="860">
        <f t="shared" si="6"/>
        <v>-1.964</v>
      </c>
      <c r="I13" s="860">
        <f t="shared" si="7"/>
        <v>0</v>
      </c>
      <c r="J13" s="860">
        <f t="shared" si="8"/>
        <v>-1.7000000000000001E-2</v>
      </c>
      <c r="K13" s="860">
        <f t="shared" si="9"/>
        <v>1</v>
      </c>
      <c r="L13" s="864"/>
      <c r="M13" s="860">
        <f t="shared" si="0"/>
        <v>-2.75</v>
      </c>
      <c r="N13" s="860">
        <f t="shared" si="10"/>
        <v>0</v>
      </c>
      <c r="O13" s="887">
        <v>0.3</v>
      </c>
      <c r="P13" s="882">
        <v>1.08</v>
      </c>
      <c r="Q13" s="881">
        <v>0</v>
      </c>
      <c r="R13" s="889">
        <v>0.63300000000000001</v>
      </c>
      <c r="S13" s="847">
        <v>0</v>
      </c>
      <c r="T13" s="883">
        <v>3.3000000000000002E-2</v>
      </c>
      <c r="U13" s="881">
        <v>0</v>
      </c>
      <c r="V13" s="883">
        <v>0</v>
      </c>
      <c r="W13" s="853">
        <v>0</v>
      </c>
      <c r="X13" s="853">
        <v>0</v>
      </c>
      <c r="Y13" s="881">
        <v>0</v>
      </c>
      <c r="Z13" s="881">
        <v>0</v>
      </c>
      <c r="AA13" s="881">
        <v>0</v>
      </c>
      <c r="AB13" s="881">
        <v>0</v>
      </c>
      <c r="AC13" s="883">
        <v>0</v>
      </c>
      <c r="AD13" s="883">
        <v>0</v>
      </c>
      <c r="AE13" s="883">
        <v>0</v>
      </c>
      <c r="AF13" s="883">
        <v>0</v>
      </c>
      <c r="AG13" s="881">
        <v>-2.044</v>
      </c>
      <c r="AH13" s="883">
        <v>0.08</v>
      </c>
      <c r="AI13" s="883">
        <v>0</v>
      </c>
      <c r="AJ13" s="851">
        <v>0</v>
      </c>
      <c r="AK13" s="881">
        <v>0</v>
      </c>
      <c r="AL13" s="881">
        <v>-1.7000000000000001E-2</v>
      </c>
      <c r="AM13" s="881">
        <v>0</v>
      </c>
      <c r="AN13" s="881">
        <v>0</v>
      </c>
      <c r="AO13" s="853">
        <v>0</v>
      </c>
      <c r="AP13" s="881">
        <v>0</v>
      </c>
      <c r="AQ13" s="843">
        <v>0</v>
      </c>
      <c r="AR13" s="881">
        <v>0</v>
      </c>
      <c r="AS13" s="881">
        <v>0</v>
      </c>
      <c r="AT13" s="879">
        <v>1</v>
      </c>
      <c r="AU13" s="883">
        <v>0</v>
      </c>
      <c r="AV13" s="881">
        <v>0</v>
      </c>
      <c r="AW13" s="881">
        <v>0</v>
      </c>
      <c r="AX13" s="881">
        <v>0</v>
      </c>
      <c r="AY13" s="853">
        <v>-2.75</v>
      </c>
      <c r="AZ13" s="881">
        <v>0</v>
      </c>
      <c r="BA13" s="853">
        <v>0</v>
      </c>
      <c r="BB13" s="881">
        <v>0</v>
      </c>
      <c r="BC13" s="881">
        <v>0</v>
      </c>
      <c r="BD13" s="881">
        <v>0</v>
      </c>
      <c r="BE13" s="853">
        <v>0</v>
      </c>
      <c r="BF13" s="852">
        <v>0</v>
      </c>
      <c r="BG13" s="853">
        <v>0</v>
      </c>
      <c r="BH13" s="848">
        <v>-5.1180000000000003</v>
      </c>
      <c r="BI13" s="881">
        <v>-0.1</v>
      </c>
      <c r="BJ13" s="872">
        <v>0.01</v>
      </c>
    </row>
    <row r="14" spans="1:62" x14ac:dyDescent="0.3">
      <c r="A14" s="858">
        <v>2030</v>
      </c>
      <c r="B14" s="860">
        <f t="shared" si="1"/>
        <v>0</v>
      </c>
      <c r="C14" s="860">
        <f t="shared" si="2"/>
        <v>0</v>
      </c>
      <c r="D14" s="860">
        <f t="shared" si="3"/>
        <v>3.3000000000000002E-2</v>
      </c>
      <c r="E14" s="860">
        <f t="shared" si="4"/>
        <v>1.8130000000000002</v>
      </c>
      <c r="F14" s="860">
        <f t="shared" si="11"/>
        <v>0</v>
      </c>
      <c r="G14" s="860">
        <f t="shared" si="5"/>
        <v>-5.9420000000000002</v>
      </c>
      <c r="H14" s="860">
        <f t="shared" si="6"/>
        <v>-2.0210000000000004</v>
      </c>
      <c r="I14" s="860">
        <f t="shared" si="7"/>
        <v>0</v>
      </c>
      <c r="J14" s="860">
        <f t="shared" si="8"/>
        <v>-1.9E-2</v>
      </c>
      <c r="K14" s="860">
        <f t="shared" si="9"/>
        <v>0.8</v>
      </c>
      <c r="L14" s="864"/>
      <c r="M14" s="860">
        <f t="shared" si="0"/>
        <v>-8.1189999999999998</v>
      </c>
      <c r="N14" s="860">
        <f t="shared" si="10"/>
        <v>0</v>
      </c>
      <c r="O14" s="887">
        <v>0.3</v>
      </c>
      <c r="P14" s="882">
        <v>1.1800000000000002</v>
      </c>
      <c r="Q14" s="881">
        <v>0</v>
      </c>
      <c r="R14" s="889">
        <v>0.63300000000000001</v>
      </c>
      <c r="S14" s="847">
        <v>0</v>
      </c>
      <c r="T14" s="883">
        <v>3.3000000000000002E-2</v>
      </c>
      <c r="U14" s="881">
        <v>0</v>
      </c>
      <c r="V14" s="883">
        <v>0</v>
      </c>
      <c r="W14" s="853">
        <v>0</v>
      </c>
      <c r="X14" s="853">
        <v>0</v>
      </c>
      <c r="Y14" s="881">
        <v>0</v>
      </c>
      <c r="Z14" s="881">
        <v>0</v>
      </c>
      <c r="AA14" s="881">
        <v>0</v>
      </c>
      <c r="AB14" s="881">
        <v>0</v>
      </c>
      <c r="AC14" s="883">
        <v>0</v>
      </c>
      <c r="AD14" s="889">
        <v>0</v>
      </c>
      <c r="AE14" s="881">
        <v>0</v>
      </c>
      <c r="AF14" s="883">
        <v>0</v>
      </c>
      <c r="AG14" s="883">
        <v>-2.1110000000000002</v>
      </c>
      <c r="AH14" s="883">
        <v>0.09</v>
      </c>
      <c r="AI14" s="883">
        <v>0</v>
      </c>
      <c r="AJ14" s="854">
        <v>0</v>
      </c>
      <c r="AK14" s="881">
        <v>0</v>
      </c>
      <c r="AL14" s="881">
        <v>-1.9E-2</v>
      </c>
      <c r="AM14" s="881">
        <v>0</v>
      </c>
      <c r="AN14" s="881">
        <v>0</v>
      </c>
      <c r="AO14" s="853">
        <v>0</v>
      </c>
      <c r="AP14" s="881">
        <v>0</v>
      </c>
      <c r="AQ14" s="843">
        <v>0</v>
      </c>
      <c r="AR14" s="881">
        <v>0</v>
      </c>
      <c r="AS14" s="881">
        <v>0</v>
      </c>
      <c r="AT14" s="853">
        <v>0.8</v>
      </c>
      <c r="AU14" s="883">
        <v>-5.4089999999999998</v>
      </c>
      <c r="AV14" s="881">
        <v>0</v>
      </c>
      <c r="AW14" s="881">
        <v>0</v>
      </c>
      <c r="AX14" s="881">
        <v>0</v>
      </c>
      <c r="AY14" s="853">
        <v>-2.71</v>
      </c>
      <c r="AZ14" s="881">
        <v>0</v>
      </c>
      <c r="BA14" s="853">
        <v>0</v>
      </c>
      <c r="BB14" s="881">
        <v>0</v>
      </c>
      <c r="BC14" s="881">
        <v>0</v>
      </c>
      <c r="BD14" s="881">
        <v>0</v>
      </c>
      <c r="BE14" s="881">
        <v>0</v>
      </c>
      <c r="BF14" s="853">
        <v>0</v>
      </c>
      <c r="BG14" s="853">
        <v>0</v>
      </c>
      <c r="BH14" s="883">
        <v>-5.8319999999999999</v>
      </c>
      <c r="BI14" s="881">
        <v>-0.11</v>
      </c>
      <c r="BJ14" s="871">
        <v>0.01</v>
      </c>
    </row>
    <row r="15" spans="1:62" ht="17.25" customHeight="1" x14ac:dyDescent="0.3">
      <c r="A15" s="858">
        <v>2031</v>
      </c>
      <c r="B15" s="860">
        <f t="shared" si="1"/>
        <v>0</v>
      </c>
      <c r="C15" s="860">
        <f t="shared" si="2"/>
        <v>0</v>
      </c>
      <c r="D15" s="860">
        <f t="shared" si="3"/>
        <v>0</v>
      </c>
      <c r="E15" s="860">
        <f t="shared" si="4"/>
        <v>1.8230000000000002</v>
      </c>
      <c r="F15" s="860">
        <f t="shared" si="11"/>
        <v>0</v>
      </c>
      <c r="G15" s="860">
        <f t="shared" si="5"/>
        <v>-7.7250000000000005</v>
      </c>
      <c r="H15" s="860">
        <f t="shared" si="6"/>
        <v>-2.4630000000000001</v>
      </c>
      <c r="I15" s="860">
        <f t="shared" si="7"/>
        <v>0</v>
      </c>
      <c r="J15" s="860">
        <f t="shared" si="8"/>
        <v>-1.9E-2</v>
      </c>
      <c r="K15" s="860">
        <f t="shared" si="9"/>
        <v>0</v>
      </c>
      <c r="L15" s="864"/>
      <c r="M15" s="860">
        <f t="shared" si="0"/>
        <v>-3.0390000000000001</v>
      </c>
      <c r="N15" s="860">
        <f t="shared" si="10"/>
        <v>0</v>
      </c>
      <c r="O15" s="887">
        <v>0.3</v>
      </c>
      <c r="P15" s="882">
        <v>1.1900000000000002</v>
      </c>
      <c r="Q15" s="881">
        <v>0</v>
      </c>
      <c r="R15" s="889">
        <v>0.63300000000000001</v>
      </c>
      <c r="S15" s="847">
        <v>0</v>
      </c>
      <c r="T15" s="853">
        <v>0</v>
      </c>
      <c r="U15" s="881">
        <v>0</v>
      </c>
      <c r="V15" s="881">
        <v>0</v>
      </c>
      <c r="W15" s="853">
        <v>0</v>
      </c>
      <c r="X15" s="853">
        <v>0</v>
      </c>
      <c r="Y15" s="881">
        <v>0</v>
      </c>
      <c r="Z15" s="881">
        <v>0</v>
      </c>
      <c r="AA15" s="881">
        <v>0</v>
      </c>
      <c r="AB15" s="881">
        <v>0</v>
      </c>
      <c r="AC15" s="883">
        <v>0</v>
      </c>
      <c r="AD15" s="881">
        <v>0</v>
      </c>
      <c r="AE15" s="883">
        <v>0</v>
      </c>
      <c r="AF15" s="883">
        <v>0</v>
      </c>
      <c r="AG15" s="883">
        <v>-2.5529999999999999</v>
      </c>
      <c r="AH15" s="883">
        <v>0.09</v>
      </c>
      <c r="AI15" s="883">
        <v>0</v>
      </c>
      <c r="AJ15" s="855">
        <v>0</v>
      </c>
      <c r="AK15" s="881">
        <v>0</v>
      </c>
      <c r="AL15" s="881">
        <v>-1.9E-2</v>
      </c>
      <c r="AM15" s="881">
        <v>0</v>
      </c>
      <c r="AN15" s="881">
        <v>0</v>
      </c>
      <c r="AO15" s="853">
        <v>0</v>
      </c>
      <c r="AP15" s="881">
        <v>0</v>
      </c>
      <c r="AQ15" s="843">
        <v>0</v>
      </c>
      <c r="AR15" s="881">
        <v>0</v>
      </c>
      <c r="AS15" s="881">
        <v>0</v>
      </c>
      <c r="AT15" s="853">
        <v>0</v>
      </c>
      <c r="AU15" s="883">
        <v>-0.26900000000000002</v>
      </c>
      <c r="AV15" s="881">
        <v>0</v>
      </c>
      <c r="AW15" s="881">
        <v>0</v>
      </c>
      <c r="AX15" s="881">
        <v>0</v>
      </c>
      <c r="AY15" s="853">
        <v>-2.77</v>
      </c>
      <c r="AZ15" s="881">
        <v>0</v>
      </c>
      <c r="BA15" s="853">
        <v>0</v>
      </c>
      <c r="BB15" s="881">
        <v>0</v>
      </c>
      <c r="BC15" s="881">
        <v>0</v>
      </c>
      <c r="BD15" s="881">
        <v>0</v>
      </c>
      <c r="BE15" s="881">
        <v>0</v>
      </c>
      <c r="BF15" s="853">
        <v>0</v>
      </c>
      <c r="BG15" s="853">
        <v>0</v>
      </c>
      <c r="BH15" s="883">
        <v>-5.4350000000000005</v>
      </c>
      <c r="BI15" s="881">
        <v>-2.29</v>
      </c>
      <c r="BJ15" s="871">
        <v>0</v>
      </c>
    </row>
    <row r="16" spans="1:62" x14ac:dyDescent="0.3">
      <c r="A16" s="859" t="s">
        <v>360</v>
      </c>
      <c r="B16" s="859">
        <f>SUM(B5:B15)</f>
        <v>412.15299999999996</v>
      </c>
      <c r="C16" s="859">
        <f>SUM(C5:C15)</f>
        <v>205.79999999999998</v>
      </c>
      <c r="D16" s="859">
        <f>SUM(D5:D15)</f>
        <v>22.711000000000006</v>
      </c>
      <c r="E16" s="859">
        <f t="shared" ref="E16:H16" si="12">SUM(E5:E15)</f>
        <v>35.466000000000015</v>
      </c>
      <c r="F16" s="859">
        <f t="shared" si="12"/>
        <v>91.563000000000002</v>
      </c>
      <c r="G16" s="860">
        <f t="shared" si="5"/>
        <v>174.17</v>
      </c>
      <c r="H16" s="859">
        <f t="shared" si="12"/>
        <v>21.600999999999996</v>
      </c>
      <c r="I16" s="864">
        <f t="shared" ref="I16" si="13">SUM(I5:I15)</f>
        <v>362.04999999999995</v>
      </c>
      <c r="J16" s="864">
        <f t="shared" ref="J16" si="14">SUM(J5:J15)</f>
        <v>169.16899999999998</v>
      </c>
      <c r="K16" s="860">
        <f t="shared" si="9"/>
        <v>112.72</v>
      </c>
      <c r="L16" s="864">
        <f>SUM(L5:L15)</f>
        <v>25.75</v>
      </c>
      <c r="M16" s="860">
        <f t="shared" si="0"/>
        <v>85.197999999999993</v>
      </c>
      <c r="N16" s="860">
        <f>AK16</f>
        <v>8.5</v>
      </c>
      <c r="O16" s="888">
        <f t="shared" ref="O16:BI16" si="15">SUM(O5:O15)</f>
        <v>109.3</v>
      </c>
      <c r="P16" s="881">
        <f t="shared" si="15"/>
        <v>25.819999999999997</v>
      </c>
      <c r="Q16" s="881">
        <f t="shared" si="15"/>
        <v>412.15299999999996</v>
      </c>
      <c r="R16" s="881">
        <f t="shared" si="15"/>
        <v>5.774</v>
      </c>
      <c r="S16" s="881">
        <f t="shared" si="15"/>
        <v>3.8719999999999999</v>
      </c>
      <c r="T16" s="881">
        <f t="shared" si="15"/>
        <v>22.711000000000006</v>
      </c>
      <c r="U16" s="881">
        <f t="shared" si="15"/>
        <v>41.599999999999994</v>
      </c>
      <c r="V16" s="881">
        <f t="shared" si="15"/>
        <v>44.947999999999993</v>
      </c>
      <c r="W16" s="881">
        <f t="shared" si="15"/>
        <v>5</v>
      </c>
      <c r="X16" s="881">
        <f t="shared" si="15"/>
        <v>1.4440000000000002</v>
      </c>
      <c r="Y16" s="881">
        <f t="shared" si="15"/>
        <v>0.2</v>
      </c>
      <c r="Z16" s="881">
        <f t="shared" si="15"/>
        <v>45.4</v>
      </c>
      <c r="AA16" s="881">
        <f t="shared" si="15"/>
        <v>35.5</v>
      </c>
      <c r="AB16" s="881">
        <f t="shared" si="15"/>
        <v>124.7</v>
      </c>
      <c r="AC16" s="881">
        <f t="shared" si="15"/>
        <v>28</v>
      </c>
      <c r="AD16" s="881">
        <f t="shared" si="15"/>
        <v>9.100000000000022E-2</v>
      </c>
      <c r="AE16" s="881">
        <f t="shared" si="15"/>
        <v>22.810000000000002</v>
      </c>
      <c r="AF16" s="881">
        <f t="shared" si="15"/>
        <v>1.42</v>
      </c>
      <c r="AG16" s="881">
        <f t="shared" si="15"/>
        <v>20.662999999999997</v>
      </c>
      <c r="AH16" s="881">
        <f t="shared" si="15"/>
        <v>0.86999999999999988</v>
      </c>
      <c r="AI16" s="881">
        <f t="shared" si="15"/>
        <v>6.8000000000000005E-2</v>
      </c>
      <c r="AJ16" s="881">
        <f t="shared" si="15"/>
        <v>362.04999999999995</v>
      </c>
      <c r="AK16" s="881">
        <f t="shared" ref="AK16:AO16" si="16">SUM(AK5:AK15)</f>
        <v>8.5</v>
      </c>
      <c r="AL16" s="881">
        <f t="shared" si="16"/>
        <v>169.16899999999998</v>
      </c>
      <c r="AM16" s="862">
        <f t="shared" si="16"/>
        <v>0.79700000000000004</v>
      </c>
      <c r="AN16" s="881">
        <f t="shared" si="16"/>
        <v>8.6</v>
      </c>
      <c r="AO16" s="881">
        <f t="shared" si="16"/>
        <v>3.2000000000000006</v>
      </c>
      <c r="AP16" s="881">
        <f t="shared" si="15"/>
        <v>2.8000000000000003</v>
      </c>
      <c r="AQ16" s="865">
        <f>SUM(AQ5:AQ15)</f>
        <v>28</v>
      </c>
      <c r="AR16" s="881">
        <f>SUM(AR5:AR15)</f>
        <v>14.899999999999999</v>
      </c>
      <c r="AS16" s="881">
        <f>SUM(AS5:AS15)</f>
        <v>3.8730000000000002</v>
      </c>
      <c r="AT16" s="881">
        <f t="shared" ref="AT16" si="17">SUM(AT5:AT15)</f>
        <v>50.54999999999999</v>
      </c>
      <c r="AU16" s="881">
        <f t="shared" si="15"/>
        <v>-5.6779999999999999</v>
      </c>
      <c r="AV16" s="881">
        <f t="shared" si="15"/>
        <v>8.177999999999999</v>
      </c>
      <c r="AW16" s="881">
        <f t="shared" si="15"/>
        <v>16.667999999999999</v>
      </c>
      <c r="AX16" s="881">
        <f t="shared" si="15"/>
        <v>9.9</v>
      </c>
      <c r="AY16" s="881">
        <f t="shared" si="15"/>
        <v>-25.860000000000003</v>
      </c>
      <c r="AZ16" s="881">
        <f t="shared" si="15"/>
        <v>81.99</v>
      </c>
      <c r="BA16" s="881">
        <v>0</v>
      </c>
      <c r="BB16" s="881">
        <f t="shared" si="15"/>
        <v>24</v>
      </c>
      <c r="BC16" s="881">
        <f t="shared" si="15"/>
        <v>7.25</v>
      </c>
      <c r="BD16" s="881">
        <f t="shared" si="15"/>
        <v>49.8</v>
      </c>
      <c r="BE16" s="881">
        <f t="shared" si="15"/>
        <v>9.02</v>
      </c>
      <c r="BF16" s="881">
        <f t="shared" si="15"/>
        <v>6.2439999999999998</v>
      </c>
      <c r="BG16" s="881">
        <f t="shared" si="15"/>
        <v>10.218</v>
      </c>
      <c r="BH16" s="881">
        <f t="shared" si="15"/>
        <v>50.203999999999979</v>
      </c>
      <c r="BI16" s="881">
        <f t="shared" si="15"/>
        <v>24.684000000000005</v>
      </c>
      <c r="BJ16" s="873">
        <f>SUM(BJ5:BJ15)</f>
        <v>9.5399999999999991</v>
      </c>
    </row>
    <row r="17" spans="2:61" x14ac:dyDescent="0.3">
      <c r="R17" s="889"/>
      <c r="S17" s="889"/>
      <c r="W17" s="889"/>
      <c r="X17" s="889"/>
      <c r="AE17" s="889"/>
      <c r="AF17" s="889"/>
      <c r="AV17" s="889"/>
      <c r="AW17" s="889"/>
      <c r="AX17" s="889"/>
      <c r="AY17" s="889"/>
      <c r="AZ17" s="889"/>
      <c r="BA17" s="889"/>
      <c r="BC17" s="889"/>
      <c r="BE17" s="889"/>
      <c r="BF17" s="889"/>
      <c r="BG17" s="889"/>
    </row>
    <row r="18" spans="2:61" x14ac:dyDescent="0.3">
      <c r="R18" s="889"/>
      <c r="S18" s="889"/>
      <c r="W18" s="889"/>
      <c r="X18" s="889"/>
      <c r="AE18" s="889"/>
      <c r="AF18" s="889"/>
      <c r="AV18" s="889"/>
      <c r="AW18" s="889"/>
      <c r="AX18" s="889"/>
      <c r="AY18" s="889"/>
      <c r="AZ18" s="889"/>
      <c r="BA18" s="889"/>
      <c r="BC18" s="889" t="s">
        <v>794</v>
      </c>
      <c r="BD18" s="889" t="s">
        <v>794</v>
      </c>
      <c r="BE18" s="889"/>
      <c r="BF18" s="889" t="s">
        <v>794</v>
      </c>
      <c r="BG18" s="889" t="s">
        <v>794</v>
      </c>
      <c r="BI18" s="889" t="s">
        <v>794</v>
      </c>
    </row>
    <row r="19" spans="2:61" x14ac:dyDescent="0.3">
      <c r="B19" s="866"/>
      <c r="C19" s="866"/>
      <c r="D19" s="866"/>
      <c r="E19" s="866"/>
      <c r="F19" s="866"/>
      <c r="H19" s="866"/>
      <c r="I19" s="866"/>
      <c r="J19" s="866"/>
      <c r="K19" s="866"/>
      <c r="M19" s="866"/>
      <c r="N19" s="866"/>
      <c r="R19" s="889"/>
      <c r="S19" s="889"/>
      <c r="W19" s="889"/>
      <c r="X19" s="889"/>
      <c r="AE19" s="889"/>
      <c r="AF19" s="889"/>
      <c r="AV19" s="889"/>
      <c r="AW19" s="889"/>
      <c r="AX19" s="889"/>
      <c r="AY19" s="889"/>
      <c r="AZ19" s="889"/>
      <c r="BA19" s="889"/>
      <c r="BC19" s="889"/>
      <c r="BD19" t="s">
        <v>795</v>
      </c>
      <c r="BE19" s="889"/>
      <c r="BF19" s="889"/>
      <c r="BG19" s="889"/>
    </row>
    <row r="20" spans="2:61" x14ac:dyDescent="0.3">
      <c r="R20" s="889"/>
      <c r="S20" s="889"/>
      <c r="W20" s="889"/>
      <c r="X20" s="889"/>
      <c r="AE20" s="889"/>
      <c r="AF20" s="889"/>
      <c r="AV20" s="889"/>
      <c r="AW20" s="889"/>
      <c r="AX20" s="889"/>
      <c r="AY20" s="889"/>
      <c r="AZ20" s="889"/>
      <c r="BA20" s="889"/>
      <c r="BC20" s="889"/>
      <c r="BE20" s="889"/>
      <c r="BF20" s="889"/>
      <c r="BG20" s="889"/>
    </row>
    <row r="21" spans="2:61" x14ac:dyDescent="0.3">
      <c r="R21" s="889"/>
      <c r="S21" s="889"/>
      <c r="W21" s="889"/>
      <c r="X21" s="889"/>
      <c r="AE21" s="889"/>
      <c r="AF21" s="889"/>
      <c r="AV21" s="889"/>
      <c r="AW21" s="889"/>
      <c r="AX21" s="889"/>
      <c r="AY21" s="889"/>
      <c r="AZ21" s="889"/>
      <c r="BA21" s="889"/>
      <c r="BC21" s="889"/>
      <c r="BE21" s="889"/>
      <c r="BF21" s="889"/>
      <c r="BG21" s="889"/>
    </row>
    <row r="22" spans="2:61" x14ac:dyDescent="0.3">
      <c r="B22" s="866"/>
      <c r="R22" s="889"/>
      <c r="S22" s="889"/>
      <c r="W22" s="889"/>
      <c r="X22" s="889"/>
      <c r="AE22" s="889"/>
      <c r="AF22" s="889"/>
      <c r="AV22" s="889"/>
      <c r="AW22" s="889"/>
      <c r="AX22" s="889"/>
      <c r="AY22" s="889"/>
      <c r="AZ22" s="889"/>
      <c r="BA22" s="889"/>
      <c r="BC22" s="889"/>
      <c r="BE22" s="889"/>
      <c r="BF22" s="889"/>
      <c r="BG22" s="889"/>
    </row>
    <row r="23" spans="2:61" x14ac:dyDescent="0.3">
      <c r="B23" s="866"/>
      <c r="R23" s="889"/>
      <c r="S23" s="889"/>
      <c r="W23" s="889"/>
      <c r="X23" s="889"/>
      <c r="AE23" s="889"/>
      <c r="AF23" s="889"/>
      <c r="AV23" s="889"/>
      <c r="AW23" s="889"/>
      <c r="AX23" s="889"/>
      <c r="AY23" s="889"/>
      <c r="AZ23" s="889"/>
      <c r="BA23" s="889"/>
      <c r="BC23" s="889"/>
      <c r="BE23" s="889"/>
      <c r="BF23" s="889"/>
      <c r="BG23" s="889"/>
    </row>
    <row r="24" spans="2:61" x14ac:dyDescent="0.3">
      <c r="B24" s="866"/>
      <c r="R24" s="889"/>
      <c r="S24" s="889"/>
      <c r="W24" s="889"/>
      <c r="X24" s="889"/>
      <c r="AE24" s="889"/>
      <c r="AF24" s="889"/>
      <c r="AV24" s="889"/>
      <c r="AW24" s="889"/>
      <c r="AX24" s="889"/>
      <c r="AY24" s="889"/>
      <c r="AZ24" s="889"/>
      <c r="BA24" s="889"/>
      <c r="BC24" s="889"/>
      <c r="BE24" s="889"/>
      <c r="BF24" s="889"/>
      <c r="BG24" s="889"/>
    </row>
    <row r="25" spans="2:61" x14ac:dyDescent="0.3">
      <c r="B25" s="866"/>
      <c r="R25" s="889"/>
      <c r="S25" s="889"/>
      <c r="W25" s="889"/>
      <c r="X25" s="889"/>
      <c r="AE25" s="889"/>
      <c r="AF25" s="889"/>
      <c r="AV25" s="889"/>
      <c r="AW25" s="889"/>
      <c r="AX25" s="889"/>
      <c r="AY25" s="889"/>
      <c r="AZ25" s="889"/>
      <c r="BA25" s="889"/>
      <c r="BC25" s="889"/>
      <c r="BE25" s="889"/>
      <c r="BF25" s="889"/>
      <c r="BG25" s="889"/>
    </row>
    <row r="26" spans="2:61" x14ac:dyDescent="0.3">
      <c r="B26" s="866"/>
      <c r="R26" s="889"/>
      <c r="S26" s="889"/>
      <c r="W26" s="889"/>
      <c r="X26" s="889"/>
      <c r="AE26" s="889"/>
      <c r="AF26" s="889"/>
      <c r="AV26" s="889"/>
      <c r="AW26" s="889"/>
      <c r="AX26" s="889"/>
      <c r="AY26" s="889"/>
      <c r="AZ26" s="889"/>
      <c r="BA26" s="889"/>
      <c r="BC26" s="889"/>
      <c r="BE26" s="889"/>
      <c r="BF26" s="889"/>
      <c r="BG26" s="889"/>
    </row>
    <row r="27" spans="2:61" x14ac:dyDescent="0.3">
      <c r="B27" s="866"/>
      <c r="R27" s="889"/>
      <c r="S27" s="889"/>
      <c r="W27" s="889"/>
      <c r="X27" s="889"/>
      <c r="AE27" s="889"/>
      <c r="AF27" s="889"/>
      <c r="AV27" s="889"/>
      <c r="AW27" s="889"/>
      <c r="AX27" s="889"/>
      <c r="AY27" s="889"/>
      <c r="AZ27" s="889"/>
      <c r="BA27" s="889"/>
      <c r="BC27" s="889"/>
      <c r="BE27" s="889"/>
      <c r="BF27" s="889"/>
      <c r="BG27" s="889"/>
    </row>
    <row r="28" spans="2:61" x14ac:dyDescent="0.3">
      <c r="B28" s="866"/>
      <c r="R28" s="889"/>
      <c r="S28" s="889"/>
      <c r="W28" s="889"/>
      <c r="X28" s="889"/>
      <c r="AE28" s="889"/>
      <c r="AF28" s="889"/>
      <c r="AV28" s="889"/>
      <c r="AW28" s="889"/>
      <c r="AX28" s="889"/>
      <c r="AY28" s="889"/>
      <c r="AZ28" s="889"/>
      <c r="BA28" s="889"/>
      <c r="BC28" s="889"/>
      <c r="BE28" s="889"/>
      <c r="BF28" s="889"/>
      <c r="BG28" s="889"/>
    </row>
    <row r="29" spans="2:61" x14ac:dyDescent="0.3">
      <c r="R29" s="889"/>
      <c r="S29" s="889"/>
      <c r="W29" s="889"/>
      <c r="X29" s="889"/>
      <c r="AE29" s="889"/>
      <c r="AF29" s="889"/>
      <c r="AV29" s="889"/>
      <c r="AW29" s="889"/>
      <c r="AX29" s="889"/>
      <c r="AY29" s="889"/>
      <c r="AZ29" s="889"/>
      <c r="BA29" s="889"/>
      <c r="BC29" s="889"/>
      <c r="BE29" s="889"/>
      <c r="BF29" s="889"/>
      <c r="BG29" s="889"/>
    </row>
    <row r="30" spans="2:61" x14ac:dyDescent="0.3">
      <c r="R30" s="889"/>
      <c r="S30" s="889"/>
      <c r="W30" s="889"/>
      <c r="X30" s="889"/>
      <c r="AE30" s="889"/>
      <c r="AF30" s="889"/>
      <c r="AV30" s="889"/>
      <c r="AW30" s="889"/>
      <c r="AX30" s="889"/>
      <c r="AY30" s="889"/>
      <c r="AZ30" s="889"/>
      <c r="BA30" s="889"/>
      <c r="BC30" s="889"/>
      <c r="BE30" s="889"/>
      <c r="BF30" s="889"/>
      <c r="BG30" s="889"/>
    </row>
    <row r="31" spans="2:61" x14ac:dyDescent="0.3">
      <c r="R31" s="889"/>
      <c r="S31" s="889"/>
      <c r="W31" s="889"/>
      <c r="X31" s="889"/>
      <c r="AE31" s="889"/>
      <c r="AF31" s="889"/>
      <c r="AV31" s="889"/>
      <c r="AW31" s="889"/>
      <c r="AX31" s="889"/>
      <c r="AY31" s="889"/>
      <c r="AZ31" s="889"/>
      <c r="BA31" s="889"/>
      <c r="BC31" s="889"/>
      <c r="BE31" s="889"/>
      <c r="BF31" s="889"/>
      <c r="BG31" s="889"/>
    </row>
    <row r="32" spans="2:61" x14ac:dyDescent="0.3">
      <c r="R32" s="889"/>
      <c r="S32" s="889"/>
      <c r="W32" s="889"/>
      <c r="X32" s="889"/>
      <c r="AE32" s="889"/>
      <c r="AF32" s="889"/>
      <c r="AV32" s="889"/>
      <c r="AW32" s="889"/>
      <c r="AX32" s="889"/>
      <c r="AY32" s="889"/>
      <c r="AZ32" s="889"/>
      <c r="BA32" s="889"/>
      <c r="BC32" s="889"/>
      <c r="BE32" s="889"/>
      <c r="BF32" s="889"/>
      <c r="BG32" s="889"/>
    </row>
    <row r="33" spans="18:59" x14ac:dyDescent="0.3">
      <c r="R33" s="889"/>
      <c r="S33" s="889"/>
      <c r="W33" s="889"/>
      <c r="X33" s="889"/>
      <c r="AE33" s="889"/>
      <c r="AF33" s="889"/>
      <c r="AV33" s="889"/>
      <c r="AW33" s="889"/>
      <c r="AX33" s="889"/>
      <c r="AY33" s="889"/>
      <c r="AZ33" s="889"/>
      <c r="BA33" s="889"/>
      <c r="BC33" s="889"/>
      <c r="BE33" s="889"/>
      <c r="BF33" s="889"/>
      <c r="BG33" s="889"/>
    </row>
    <row r="34" spans="18:59" x14ac:dyDescent="0.3">
      <c r="R34" s="889"/>
      <c r="S34" s="889"/>
      <c r="W34" s="889"/>
      <c r="X34" s="889"/>
      <c r="AE34" s="889"/>
      <c r="AF34" s="889"/>
      <c r="AV34" s="889"/>
      <c r="AW34" s="889"/>
      <c r="AX34" s="889"/>
      <c r="AY34" s="889"/>
      <c r="AZ34" s="889"/>
      <c r="BA34" s="889"/>
      <c r="BC34" s="889"/>
      <c r="BE34" s="889"/>
      <c r="BF34" s="889"/>
      <c r="BG34" s="889"/>
    </row>
    <row r="35" spans="18:59" x14ac:dyDescent="0.3">
      <c r="R35" s="889"/>
      <c r="S35" s="889"/>
      <c r="W35" s="889"/>
      <c r="X35" s="889"/>
      <c r="AE35" s="889"/>
      <c r="AF35" s="889"/>
      <c r="AV35" s="889"/>
      <c r="AW35" s="889"/>
      <c r="AX35" s="889"/>
      <c r="AY35" s="889"/>
      <c r="AZ35" s="889"/>
      <c r="BA35" s="889"/>
      <c r="BC35" s="889"/>
      <c r="BE35" s="889"/>
      <c r="BF35" s="889"/>
      <c r="BG35" s="889"/>
    </row>
    <row r="36" spans="18:59" x14ac:dyDescent="0.3">
      <c r="R36" s="889"/>
      <c r="S36" s="889"/>
      <c r="W36" s="889"/>
      <c r="X36" s="889"/>
      <c r="AE36" s="889"/>
      <c r="AF36" s="889"/>
      <c r="AV36" s="889"/>
      <c r="AW36" s="889"/>
      <c r="AX36" s="889"/>
      <c r="AY36" s="889"/>
      <c r="AZ36" s="889"/>
      <c r="BA36" s="889"/>
      <c r="BC36" s="889"/>
      <c r="BE36" s="889"/>
      <c r="BF36" s="889"/>
      <c r="BG36" s="889"/>
    </row>
    <row r="37" spans="18:59" x14ac:dyDescent="0.3">
      <c r="R37" s="889"/>
      <c r="S37" s="889"/>
      <c r="W37" s="889"/>
      <c r="X37" s="889"/>
      <c r="AE37" s="889"/>
      <c r="AF37" s="889"/>
      <c r="AV37" s="889"/>
      <c r="AW37" s="889"/>
      <c r="AX37" s="889"/>
      <c r="AY37" s="889"/>
      <c r="AZ37" s="889"/>
      <c r="BA37" s="889"/>
      <c r="BC37" s="889"/>
      <c r="BE37" s="889"/>
      <c r="BF37" s="889"/>
      <c r="BG37" s="889"/>
    </row>
    <row r="38" spans="18:59" x14ac:dyDescent="0.3">
      <c r="R38" s="889"/>
      <c r="S38" s="889"/>
      <c r="W38" s="889"/>
      <c r="X38" s="889"/>
      <c r="AE38" s="889"/>
      <c r="AF38" s="889"/>
      <c r="AV38" s="889"/>
      <c r="AW38" s="889"/>
      <c r="AX38" s="889"/>
      <c r="AY38" s="889"/>
      <c r="AZ38" s="889"/>
      <c r="BA38" s="889"/>
      <c r="BC38" s="889"/>
      <c r="BE38" s="889"/>
      <c r="BF38" s="889"/>
      <c r="BG38" s="889"/>
    </row>
    <row r="39" spans="18:59" x14ac:dyDescent="0.3">
      <c r="R39" s="889"/>
      <c r="S39" s="889"/>
      <c r="W39" s="889"/>
      <c r="X39" s="889"/>
      <c r="AE39" s="889"/>
      <c r="AF39" s="889"/>
      <c r="AV39" s="889"/>
      <c r="AW39" s="889"/>
      <c r="AX39" s="889"/>
      <c r="AY39" s="889"/>
      <c r="AZ39" s="889"/>
      <c r="BA39" s="889"/>
      <c r="BC39" s="889"/>
      <c r="BE39" s="889"/>
      <c r="BF39" s="889"/>
      <c r="BG39" s="889"/>
    </row>
    <row r="40" spans="18:59" x14ac:dyDescent="0.3">
      <c r="R40" s="889"/>
      <c r="S40" s="889"/>
      <c r="W40" s="889"/>
      <c r="X40" s="889"/>
      <c r="AE40" s="889"/>
      <c r="AF40" s="889"/>
      <c r="AV40" s="889"/>
      <c r="AW40" s="889"/>
      <c r="AX40" s="889"/>
      <c r="AY40" s="889"/>
      <c r="AZ40" s="889"/>
      <c r="BA40" s="889"/>
      <c r="BC40" s="889"/>
      <c r="BE40" s="889"/>
      <c r="BF40" s="889"/>
      <c r="BG40" s="889"/>
    </row>
    <row r="41" spans="18:59" x14ac:dyDescent="0.3">
      <c r="R41" s="889"/>
      <c r="S41" s="889"/>
      <c r="W41" s="889"/>
      <c r="X41" s="889"/>
      <c r="AE41" s="889"/>
      <c r="AF41" s="889"/>
      <c r="AV41" s="889"/>
      <c r="AW41" s="889"/>
      <c r="AX41" s="889"/>
      <c r="AY41" s="889"/>
      <c r="AZ41" s="889"/>
      <c r="BA41" s="889"/>
      <c r="BC41" s="889"/>
      <c r="BE41" s="889"/>
      <c r="BF41" s="889"/>
      <c r="BG41" s="889"/>
    </row>
    <row r="42" spans="18:59" x14ac:dyDescent="0.3">
      <c r="R42" s="889"/>
      <c r="S42" s="889"/>
      <c r="W42" s="889"/>
      <c r="X42" s="889"/>
      <c r="AE42" s="889"/>
      <c r="AF42" s="889"/>
      <c r="AV42" s="889"/>
      <c r="AW42" s="889"/>
      <c r="AX42" s="889"/>
      <c r="AY42" s="889"/>
      <c r="AZ42" s="889"/>
      <c r="BA42" s="889"/>
      <c r="BC42" s="889"/>
      <c r="BE42" s="889"/>
      <c r="BF42" s="889"/>
      <c r="BG42" s="889"/>
    </row>
    <row r="43" spans="18:59" x14ac:dyDescent="0.3">
      <c r="R43" s="889"/>
      <c r="S43" s="889"/>
      <c r="W43" s="889"/>
      <c r="X43" s="889"/>
      <c r="AE43" s="889"/>
      <c r="AF43" s="889"/>
      <c r="AV43" s="889"/>
      <c r="AW43" s="889"/>
      <c r="AX43" s="889"/>
      <c r="AY43" s="889"/>
      <c r="AZ43" s="889"/>
      <c r="BA43" s="889"/>
      <c r="BC43" s="889"/>
      <c r="BE43" s="889"/>
      <c r="BF43" s="889"/>
      <c r="BG43" s="889"/>
    </row>
    <row r="44" spans="18:59" x14ac:dyDescent="0.3">
      <c r="R44" s="889"/>
      <c r="S44" s="889"/>
      <c r="W44" s="889"/>
      <c r="X44" s="889"/>
      <c r="AE44" s="889"/>
      <c r="AF44" s="889"/>
      <c r="AV44" s="889"/>
      <c r="AW44" s="889"/>
      <c r="AX44" s="889"/>
      <c r="AY44" s="889"/>
      <c r="AZ44" s="889"/>
      <c r="BA44" s="889"/>
      <c r="BC44" s="889"/>
      <c r="BE44" s="889"/>
      <c r="BF44" s="889"/>
      <c r="BG44" s="889"/>
    </row>
    <row r="45" spans="18:59" x14ac:dyDescent="0.3">
      <c r="R45" s="889"/>
      <c r="S45" s="889"/>
      <c r="W45" s="889"/>
      <c r="X45" s="889"/>
      <c r="AE45" s="889"/>
      <c r="AF45" s="889"/>
      <c r="AV45" s="889"/>
      <c r="AW45" s="889"/>
      <c r="AX45" s="889"/>
      <c r="AY45" s="889"/>
      <c r="AZ45" s="889"/>
      <c r="BA45" s="889"/>
      <c r="BC45" s="889"/>
      <c r="BE45" s="889"/>
      <c r="BF45" s="889"/>
      <c r="BG45" s="889"/>
    </row>
    <row r="46" spans="18:59" x14ac:dyDescent="0.3">
      <c r="R46" s="889"/>
      <c r="S46" s="889"/>
      <c r="W46" s="889"/>
      <c r="X46" s="889"/>
      <c r="AE46" s="889"/>
      <c r="AF46" s="889"/>
      <c r="AV46" s="889"/>
      <c r="AW46" s="889"/>
      <c r="AX46" s="889"/>
      <c r="AY46" s="889"/>
      <c r="AZ46" s="889"/>
      <c r="BA46" s="889"/>
      <c r="BC46" s="889"/>
      <c r="BE46" s="889"/>
      <c r="BF46" s="889"/>
      <c r="BG46" s="889"/>
    </row>
    <row r="47" spans="18:59" x14ac:dyDescent="0.3">
      <c r="R47" s="889"/>
      <c r="S47" s="889"/>
      <c r="W47" s="889"/>
      <c r="X47" s="889"/>
      <c r="AE47" s="889"/>
      <c r="AF47" s="889"/>
      <c r="AV47" s="889"/>
      <c r="AW47" s="889"/>
      <c r="AX47" s="889"/>
      <c r="AY47" s="889"/>
      <c r="AZ47" s="889"/>
      <c r="BA47" s="889"/>
      <c r="BC47" s="889"/>
      <c r="BE47" s="889"/>
      <c r="BF47" s="889"/>
      <c r="BG47" s="889"/>
    </row>
    <row r="48" spans="18:59" x14ac:dyDescent="0.3">
      <c r="R48" s="889"/>
      <c r="S48" s="889"/>
      <c r="W48" s="889"/>
      <c r="X48" s="889"/>
      <c r="AE48" s="889"/>
      <c r="AF48" s="889"/>
      <c r="AV48" s="889"/>
      <c r="AW48" s="889"/>
      <c r="AX48" s="889"/>
      <c r="AY48" s="889"/>
      <c r="AZ48" s="889"/>
      <c r="BA48" s="889"/>
      <c r="BC48" s="889"/>
      <c r="BE48" s="889"/>
      <c r="BF48" s="889"/>
      <c r="BG48" s="889"/>
    </row>
    <row r="49" spans="18:59" x14ac:dyDescent="0.3">
      <c r="R49" s="889"/>
      <c r="S49" s="889"/>
      <c r="W49" s="889"/>
      <c r="X49" s="889"/>
      <c r="AE49" s="889"/>
      <c r="AF49" s="889"/>
      <c r="AV49" s="889"/>
      <c r="AW49" s="889"/>
      <c r="AX49" s="889"/>
      <c r="AY49" s="889"/>
      <c r="AZ49" s="889"/>
      <c r="BA49" s="889"/>
      <c r="BC49" s="889"/>
      <c r="BE49" s="889"/>
      <c r="BF49" s="889"/>
      <c r="BG49" s="889"/>
    </row>
    <row r="50" spans="18:59" x14ac:dyDescent="0.3">
      <c r="R50" s="889"/>
      <c r="S50" s="889"/>
      <c r="W50" s="889"/>
      <c r="X50" s="889"/>
      <c r="AE50" s="889"/>
      <c r="AF50" s="889"/>
      <c r="AV50" s="889"/>
      <c r="AW50" s="889"/>
      <c r="AX50" s="889"/>
      <c r="AY50" s="889"/>
      <c r="AZ50" s="889"/>
      <c r="BA50" s="889"/>
      <c r="BC50" s="889"/>
      <c r="BE50" s="889"/>
      <c r="BF50" s="889"/>
      <c r="BG50" s="889"/>
    </row>
    <row r="51" spans="18:59" x14ac:dyDescent="0.3">
      <c r="R51" s="889"/>
      <c r="S51" s="889"/>
      <c r="W51" s="889"/>
      <c r="X51" s="889"/>
      <c r="AE51" s="889"/>
      <c r="AF51" s="889"/>
      <c r="AV51" s="889"/>
      <c r="AW51" s="889"/>
      <c r="AX51" s="889"/>
      <c r="AY51" s="889"/>
      <c r="AZ51" s="889"/>
      <c r="BA51" s="889"/>
      <c r="BC51" s="889"/>
      <c r="BE51" s="889"/>
      <c r="BF51" s="889"/>
      <c r="BG51" s="889"/>
    </row>
    <row r="52" spans="18:59" x14ac:dyDescent="0.3">
      <c r="R52" s="889"/>
      <c r="S52" s="889"/>
      <c r="W52" s="889"/>
      <c r="X52" s="889"/>
      <c r="AE52" s="889"/>
      <c r="AF52" s="889"/>
      <c r="AV52" s="889"/>
      <c r="AW52" s="889"/>
      <c r="AX52" s="889"/>
      <c r="AY52" s="889"/>
      <c r="AZ52" s="889"/>
      <c r="BA52" s="889"/>
      <c r="BC52" s="889"/>
      <c r="BE52" s="889"/>
      <c r="BF52" s="889"/>
      <c r="BG52" s="889"/>
    </row>
    <row r="53" spans="18:59" x14ac:dyDescent="0.3">
      <c r="R53" s="889"/>
      <c r="S53" s="889"/>
      <c r="W53" s="889"/>
      <c r="X53" s="889"/>
      <c r="AE53" s="889"/>
      <c r="AF53" s="889"/>
      <c r="AV53" s="889"/>
      <c r="AW53" s="889"/>
      <c r="AX53" s="889"/>
      <c r="AY53" s="889"/>
      <c r="AZ53" s="889"/>
      <c r="BA53" s="889"/>
      <c r="BC53" s="889"/>
      <c r="BE53" s="889"/>
      <c r="BF53" s="889"/>
      <c r="BG53" s="889"/>
    </row>
    <row r="54" spans="18:59" x14ac:dyDescent="0.3">
      <c r="R54" s="889"/>
      <c r="S54" s="889"/>
      <c r="W54" s="889"/>
      <c r="X54" s="889"/>
      <c r="AE54" s="889"/>
      <c r="AF54" s="889"/>
      <c r="AV54" s="889"/>
      <c r="AW54" s="889"/>
      <c r="AX54" s="889"/>
      <c r="AY54" s="889"/>
      <c r="AZ54" s="889"/>
      <c r="BA54" s="889"/>
      <c r="BC54" s="889"/>
      <c r="BE54" s="889"/>
      <c r="BF54" s="889"/>
      <c r="BG54" s="889"/>
    </row>
    <row r="55" spans="18:59" x14ac:dyDescent="0.3">
      <c r="R55" s="889"/>
      <c r="S55" s="889"/>
      <c r="W55" s="889"/>
      <c r="X55" s="889"/>
      <c r="AE55" s="889"/>
      <c r="AF55" s="889"/>
      <c r="AV55" s="889"/>
      <c r="AW55" s="889"/>
      <c r="AX55" s="889"/>
      <c r="AY55" s="889"/>
      <c r="AZ55" s="889"/>
      <c r="BA55" s="889"/>
      <c r="BC55" s="889"/>
      <c r="BE55" s="889"/>
      <c r="BF55" s="889"/>
      <c r="BG55" s="889"/>
    </row>
    <row r="56" spans="18:59" x14ac:dyDescent="0.3">
      <c r="R56" s="889"/>
      <c r="S56" s="889"/>
      <c r="W56" s="889"/>
      <c r="X56" s="889"/>
      <c r="AE56" s="889"/>
      <c r="AF56" s="889"/>
      <c r="AV56" s="889"/>
      <c r="AW56" s="889"/>
      <c r="AX56" s="889"/>
      <c r="AY56" s="889"/>
      <c r="AZ56" s="889"/>
      <c r="BA56" s="889"/>
      <c r="BC56" s="889"/>
      <c r="BE56" s="889"/>
      <c r="BF56" s="889"/>
      <c r="BG56" s="889"/>
    </row>
    <row r="57" spans="18:59" x14ac:dyDescent="0.3">
      <c r="R57" s="889"/>
      <c r="S57" s="889"/>
      <c r="W57" s="889"/>
      <c r="X57" s="889"/>
      <c r="AE57" s="889"/>
      <c r="AF57" s="889"/>
      <c r="AV57" s="889"/>
      <c r="AW57" s="889"/>
      <c r="AX57" s="889"/>
      <c r="AY57" s="889"/>
      <c r="AZ57" s="889"/>
      <c r="BA57" s="889"/>
      <c r="BC57" s="889"/>
      <c r="BE57" s="889"/>
      <c r="BF57" s="889"/>
      <c r="BG57" s="889"/>
    </row>
    <row r="58" spans="18:59" x14ac:dyDescent="0.3">
      <c r="R58" s="889"/>
      <c r="S58" s="889"/>
      <c r="W58" s="889"/>
      <c r="X58" s="889"/>
      <c r="AE58" s="889"/>
      <c r="AF58" s="889"/>
      <c r="AV58" s="889"/>
      <c r="AW58" s="889"/>
      <c r="AX58" s="889"/>
      <c r="AY58" s="889"/>
      <c r="AZ58" s="889"/>
      <c r="BA58" s="889"/>
      <c r="BC58" s="889"/>
      <c r="BE58" s="889"/>
      <c r="BF58" s="889"/>
      <c r="BG58" s="889"/>
    </row>
    <row r="59" spans="18:59" x14ac:dyDescent="0.3">
      <c r="R59" s="889"/>
      <c r="S59" s="889"/>
      <c r="W59" s="889"/>
      <c r="X59" s="889"/>
      <c r="AE59" s="889"/>
      <c r="AF59" s="889"/>
      <c r="AV59" s="889"/>
      <c r="AW59" s="889"/>
      <c r="AX59" s="889"/>
      <c r="AY59" s="889"/>
      <c r="AZ59" s="889"/>
      <c r="BA59" s="889"/>
      <c r="BC59" s="889"/>
      <c r="BE59" s="889"/>
      <c r="BF59" s="889"/>
      <c r="BG59" s="889"/>
    </row>
    <row r="60" spans="18:59" x14ac:dyDescent="0.3">
      <c r="R60" s="889"/>
      <c r="S60" s="889"/>
      <c r="W60" s="889"/>
      <c r="X60" s="889"/>
      <c r="AE60" s="889"/>
      <c r="AF60" s="889"/>
      <c r="AV60" s="889"/>
      <c r="AW60" s="889"/>
      <c r="AX60" s="889"/>
      <c r="AY60" s="889"/>
      <c r="AZ60" s="889"/>
      <c r="BA60" s="889"/>
      <c r="BC60" s="889"/>
      <c r="BE60" s="889"/>
      <c r="BF60" s="889"/>
      <c r="BG60" s="889"/>
    </row>
    <row r="61" spans="18:59" x14ac:dyDescent="0.3">
      <c r="R61" s="889"/>
      <c r="S61" s="889"/>
      <c r="W61" s="889"/>
      <c r="X61" s="889"/>
      <c r="AE61" s="889"/>
      <c r="AF61" s="889"/>
      <c r="AV61" s="889"/>
      <c r="AW61" s="889"/>
      <c r="AX61" s="889"/>
      <c r="AY61" s="889"/>
      <c r="AZ61" s="889"/>
      <c r="BA61" s="889"/>
      <c r="BC61" s="889"/>
      <c r="BE61" s="889"/>
      <c r="BF61" s="889"/>
      <c r="BG61" s="889"/>
    </row>
    <row r="62" spans="18:59" x14ac:dyDescent="0.3">
      <c r="R62" s="889"/>
      <c r="S62" s="889"/>
      <c r="W62" s="889"/>
      <c r="X62" s="889"/>
      <c r="AE62" s="889"/>
      <c r="AF62" s="889"/>
      <c r="AV62" s="889"/>
      <c r="AW62" s="889"/>
      <c r="AX62" s="889"/>
      <c r="AY62" s="889"/>
      <c r="AZ62" s="889"/>
      <c r="BA62" s="889"/>
      <c r="BC62" s="889"/>
      <c r="BE62" s="889"/>
      <c r="BF62" s="889"/>
      <c r="BG62" s="889"/>
    </row>
    <row r="63" spans="18:59" x14ac:dyDescent="0.3">
      <c r="R63" s="889"/>
      <c r="S63" s="889"/>
      <c r="W63" s="889"/>
      <c r="X63" s="889"/>
      <c r="AE63" s="889"/>
      <c r="AF63" s="889"/>
      <c r="AV63" s="889"/>
      <c r="AW63" s="889"/>
      <c r="AX63" s="889"/>
      <c r="AY63" s="889"/>
      <c r="AZ63" s="889"/>
      <c r="BA63" s="889"/>
      <c r="BC63" s="889"/>
      <c r="BE63" s="889"/>
      <c r="BF63" s="889"/>
      <c r="BG63" s="889"/>
    </row>
    <row r="64" spans="18:59" x14ac:dyDescent="0.3">
      <c r="R64" s="889"/>
      <c r="S64" s="889"/>
      <c r="W64" s="889"/>
      <c r="X64" s="889"/>
      <c r="AE64" s="889"/>
      <c r="AF64" s="889"/>
      <c r="AV64" s="889"/>
      <c r="AW64" s="889"/>
      <c r="AX64" s="889"/>
      <c r="AY64" s="889"/>
      <c r="AZ64" s="889"/>
      <c r="BA64" s="889"/>
      <c r="BC64" s="889"/>
      <c r="BE64" s="889"/>
      <c r="BF64" s="889"/>
      <c r="BG64" s="889"/>
    </row>
    <row r="65" spans="18:59" x14ac:dyDescent="0.3">
      <c r="R65" s="889"/>
      <c r="S65" s="889"/>
      <c r="W65" s="889"/>
      <c r="X65" s="889"/>
      <c r="AE65" s="889"/>
      <c r="AF65" s="889"/>
      <c r="AV65" s="889"/>
      <c r="AW65" s="889"/>
      <c r="AX65" s="889"/>
      <c r="AY65" s="889"/>
      <c r="AZ65" s="889"/>
      <c r="BA65" s="889"/>
      <c r="BC65" s="889"/>
      <c r="BE65" s="889"/>
      <c r="BF65" s="889"/>
      <c r="BG65" s="889"/>
    </row>
    <row r="66" spans="18:59" x14ac:dyDescent="0.3">
      <c r="R66" s="889"/>
      <c r="S66" s="889"/>
      <c r="W66" s="889"/>
      <c r="X66" s="889"/>
      <c r="AE66" s="889"/>
      <c r="AF66" s="889"/>
      <c r="AV66" s="889"/>
      <c r="AW66" s="889"/>
      <c r="AX66" s="889"/>
      <c r="AY66" s="889"/>
      <c r="AZ66" s="889"/>
      <c r="BA66" s="889"/>
      <c r="BC66" s="889"/>
      <c r="BE66" s="889"/>
      <c r="BF66" s="889"/>
      <c r="BG66" s="889"/>
    </row>
    <row r="67" spans="18:59" x14ac:dyDescent="0.3">
      <c r="R67" s="889"/>
      <c r="S67" s="889"/>
      <c r="W67" s="889"/>
      <c r="X67" s="889"/>
      <c r="AE67" s="889"/>
      <c r="AF67" s="889"/>
      <c r="AV67" s="889"/>
      <c r="AW67" s="889"/>
      <c r="AX67" s="889"/>
      <c r="AY67" s="889"/>
      <c r="AZ67" s="889"/>
      <c r="BA67" s="889"/>
      <c r="BC67" s="889"/>
      <c r="BE67" s="889"/>
      <c r="BF67" s="889"/>
      <c r="BG67" s="889"/>
    </row>
    <row r="68" spans="18:59" x14ac:dyDescent="0.3">
      <c r="R68" s="889"/>
      <c r="S68" s="889"/>
      <c r="W68" s="889"/>
      <c r="X68" s="889"/>
      <c r="AE68" s="889"/>
      <c r="AF68" s="889"/>
      <c r="AV68" s="889"/>
      <c r="AW68" s="889"/>
      <c r="AX68" s="889"/>
      <c r="AY68" s="889"/>
      <c r="AZ68" s="889"/>
      <c r="BA68" s="889"/>
      <c r="BC68" s="889"/>
      <c r="BE68" s="889"/>
      <c r="BF68" s="889"/>
      <c r="BG68" s="889"/>
    </row>
    <row r="69" spans="18:59" x14ac:dyDescent="0.3">
      <c r="R69" s="889"/>
      <c r="S69" s="889"/>
      <c r="W69" s="889"/>
      <c r="X69" s="889"/>
      <c r="AE69" s="889"/>
      <c r="AF69" s="889"/>
      <c r="AV69" s="889"/>
      <c r="AW69" s="889"/>
      <c r="AX69" s="889"/>
      <c r="AY69" s="889"/>
      <c r="AZ69" s="889"/>
      <c r="BA69" s="889"/>
      <c r="BC69" s="889"/>
      <c r="BE69" s="889"/>
      <c r="BF69" s="889"/>
      <c r="BG69" s="889"/>
    </row>
    <row r="70" spans="18:59" x14ac:dyDescent="0.3">
      <c r="R70" s="889"/>
      <c r="S70" s="889"/>
      <c r="W70" s="889"/>
      <c r="X70" s="889"/>
      <c r="AE70" s="889"/>
      <c r="AF70" s="889"/>
      <c r="AV70" s="889"/>
      <c r="AW70" s="889"/>
      <c r="AX70" s="889"/>
      <c r="AY70" s="889"/>
      <c r="AZ70" s="889"/>
      <c r="BA70" s="889"/>
      <c r="BC70" s="889"/>
      <c r="BE70" s="889"/>
      <c r="BF70" s="889"/>
      <c r="BG70" s="889"/>
    </row>
    <row r="71" spans="18:59" x14ac:dyDescent="0.3">
      <c r="R71" s="889"/>
      <c r="S71" s="889"/>
      <c r="W71" s="889"/>
      <c r="X71" s="889"/>
      <c r="AE71" s="889"/>
      <c r="AF71" s="889"/>
      <c r="AV71" s="889"/>
      <c r="AW71" s="889"/>
      <c r="AX71" s="889"/>
      <c r="AY71" s="889"/>
      <c r="AZ71" s="889"/>
      <c r="BA71" s="889"/>
      <c r="BC71" s="889"/>
      <c r="BE71" s="889"/>
      <c r="BF71" s="889"/>
      <c r="BG71" s="889"/>
    </row>
    <row r="72" spans="18:59" x14ac:dyDescent="0.3">
      <c r="R72" s="889"/>
      <c r="S72" s="889"/>
      <c r="W72" s="889"/>
      <c r="X72" s="889"/>
      <c r="AE72" s="889"/>
      <c r="AF72" s="889"/>
      <c r="AV72" s="889"/>
      <c r="AW72" s="889"/>
      <c r="AX72" s="889"/>
      <c r="AY72" s="889"/>
      <c r="AZ72" s="889"/>
      <c r="BA72" s="889"/>
      <c r="BC72" s="889"/>
      <c r="BE72" s="889"/>
      <c r="BF72" s="889"/>
      <c r="BG72" s="889"/>
    </row>
    <row r="73" spans="18:59" x14ac:dyDescent="0.3">
      <c r="R73" s="889"/>
      <c r="S73" s="889"/>
      <c r="W73" s="889"/>
      <c r="X73" s="889"/>
      <c r="AE73" s="889"/>
      <c r="AF73" s="889"/>
      <c r="AV73" s="889"/>
      <c r="AW73" s="889"/>
      <c r="AX73" s="889"/>
      <c r="AY73" s="889"/>
      <c r="AZ73" s="889"/>
      <c r="BA73" s="889"/>
      <c r="BC73" s="889"/>
      <c r="BE73" s="889"/>
      <c r="BF73" s="889"/>
      <c r="BG73" s="889"/>
    </row>
    <row r="74" spans="18:59" x14ac:dyDescent="0.3">
      <c r="R74" s="889"/>
      <c r="S74" s="889"/>
      <c r="W74" s="889"/>
      <c r="X74" s="889"/>
      <c r="AE74" s="889"/>
      <c r="AF74" s="889"/>
      <c r="AV74" s="889"/>
      <c r="AW74" s="889"/>
      <c r="AX74" s="889"/>
      <c r="AY74" s="889"/>
      <c r="AZ74" s="889"/>
      <c r="BA74" s="889"/>
      <c r="BC74" s="889"/>
      <c r="BE74" s="889"/>
      <c r="BF74" s="889"/>
      <c r="BG74" s="889"/>
    </row>
    <row r="75" spans="18:59" x14ac:dyDescent="0.3">
      <c r="R75" s="889"/>
      <c r="S75" s="889"/>
      <c r="W75" s="889"/>
      <c r="X75" s="889"/>
      <c r="AE75" s="889"/>
      <c r="AF75" s="889"/>
      <c r="AV75" s="889"/>
      <c r="AW75" s="889"/>
      <c r="AX75" s="889"/>
      <c r="AY75" s="889"/>
      <c r="AZ75" s="889"/>
      <c r="BA75" s="889"/>
      <c r="BC75" s="889"/>
      <c r="BE75" s="889"/>
      <c r="BF75" s="889"/>
      <c r="BG75" s="889"/>
    </row>
    <row r="76" spans="18:59" x14ac:dyDescent="0.3">
      <c r="R76" s="889"/>
      <c r="S76" s="889"/>
      <c r="W76" s="889"/>
      <c r="X76" s="889"/>
      <c r="AE76" s="889"/>
      <c r="AF76" s="889"/>
      <c r="AV76" s="889"/>
      <c r="AW76" s="889"/>
      <c r="AX76" s="889"/>
      <c r="AY76" s="889"/>
      <c r="AZ76" s="889"/>
      <c r="BA76" s="889"/>
      <c r="BC76" s="889"/>
      <c r="BE76" s="889"/>
      <c r="BF76" s="889"/>
      <c r="BG76" s="889"/>
    </row>
    <row r="77" spans="18:59" x14ac:dyDescent="0.3">
      <c r="R77" s="889"/>
      <c r="S77" s="889"/>
      <c r="W77" s="889"/>
      <c r="X77" s="889"/>
      <c r="AE77" s="889"/>
      <c r="AF77" s="889"/>
      <c r="AV77" s="889"/>
      <c r="AW77" s="889"/>
      <c r="AX77" s="889"/>
      <c r="AY77" s="889"/>
      <c r="AZ77" s="889"/>
      <c r="BA77" s="889"/>
      <c r="BC77" s="889"/>
      <c r="BE77" s="889"/>
      <c r="BF77" s="889"/>
      <c r="BG77" s="889"/>
    </row>
    <row r="78" spans="18:59" x14ac:dyDescent="0.3">
      <c r="R78" s="889"/>
      <c r="S78" s="889"/>
      <c r="W78" s="889"/>
      <c r="X78" s="889"/>
      <c r="AE78" s="889"/>
      <c r="AF78" s="889"/>
      <c r="AV78" s="889"/>
      <c r="AW78" s="889"/>
      <c r="AX78" s="889"/>
      <c r="AY78" s="889"/>
      <c r="AZ78" s="889"/>
      <c r="BA78" s="889"/>
      <c r="BC78" s="889"/>
      <c r="BE78" s="889"/>
      <c r="BF78" s="889"/>
      <c r="BG78" s="889"/>
    </row>
    <row r="79" spans="18:59" x14ac:dyDescent="0.3">
      <c r="R79" s="889"/>
      <c r="S79" s="889"/>
      <c r="W79" s="889"/>
      <c r="X79" s="889"/>
      <c r="AE79" s="889"/>
      <c r="AF79" s="889"/>
      <c r="AV79" s="889"/>
      <c r="AW79" s="889"/>
      <c r="AX79" s="889"/>
      <c r="AY79" s="889"/>
      <c r="AZ79" s="889"/>
      <c r="BA79" s="889"/>
      <c r="BC79" s="889"/>
      <c r="BE79" s="889"/>
      <c r="BF79" s="889"/>
      <c r="BG79" s="889"/>
    </row>
    <row r="80" spans="18:59" x14ac:dyDescent="0.3">
      <c r="R80" s="889"/>
      <c r="S80" s="889"/>
      <c r="W80" s="889"/>
      <c r="X80" s="889"/>
      <c r="AE80" s="889"/>
      <c r="AF80" s="889"/>
      <c r="AV80" s="889"/>
      <c r="AW80" s="889"/>
      <c r="AX80" s="889"/>
      <c r="AY80" s="889"/>
      <c r="AZ80" s="889"/>
      <c r="BA80" s="889"/>
      <c r="BC80" s="889"/>
      <c r="BE80" s="889"/>
      <c r="BF80" s="889"/>
      <c r="BG80" s="889"/>
    </row>
    <row r="81" spans="18:59" x14ac:dyDescent="0.3">
      <c r="R81" s="889"/>
      <c r="S81" s="889"/>
      <c r="W81" s="889"/>
      <c r="X81" s="889"/>
      <c r="AE81" s="889"/>
      <c r="AF81" s="889"/>
      <c r="AV81" s="889"/>
      <c r="AW81" s="889"/>
      <c r="AX81" s="889"/>
      <c r="AY81" s="889"/>
      <c r="AZ81" s="889"/>
      <c r="BA81" s="889"/>
      <c r="BC81" s="889"/>
      <c r="BE81" s="889"/>
      <c r="BF81" s="889"/>
      <c r="BG81" s="889"/>
    </row>
    <row r="82" spans="18:59" x14ac:dyDescent="0.3">
      <c r="R82" s="889"/>
      <c r="S82" s="889"/>
      <c r="W82" s="889"/>
      <c r="X82" s="889"/>
      <c r="AE82" s="889"/>
      <c r="AF82" s="889"/>
      <c r="AV82" s="889"/>
      <c r="AW82" s="889"/>
      <c r="AX82" s="889"/>
      <c r="AY82" s="889"/>
      <c r="AZ82" s="889"/>
      <c r="BA82" s="889"/>
      <c r="BC82" s="889"/>
      <c r="BE82" s="889"/>
      <c r="BF82" s="889"/>
      <c r="BG82" s="889"/>
    </row>
    <row r="83" spans="18:59" x14ac:dyDescent="0.3">
      <c r="R83" s="889"/>
      <c r="S83" s="889"/>
      <c r="W83" s="889"/>
      <c r="X83" s="889"/>
      <c r="AE83" s="889"/>
      <c r="AF83" s="889"/>
      <c r="AV83" s="889"/>
      <c r="AW83" s="889"/>
      <c r="AX83" s="889"/>
      <c r="AY83" s="889"/>
      <c r="AZ83" s="889"/>
      <c r="BA83" s="889"/>
      <c r="BC83" s="889"/>
      <c r="BE83" s="889"/>
      <c r="BF83" s="889"/>
      <c r="BG83" s="889"/>
    </row>
    <row r="84" spans="18:59" x14ac:dyDescent="0.3">
      <c r="R84" s="889"/>
      <c r="S84" s="889"/>
      <c r="W84" s="889"/>
      <c r="X84" s="889"/>
      <c r="AE84" s="889"/>
      <c r="AF84" s="889"/>
      <c r="AV84" s="889"/>
      <c r="AW84" s="889"/>
      <c r="AX84" s="889"/>
      <c r="AY84" s="889"/>
      <c r="AZ84" s="889"/>
      <c r="BA84" s="889"/>
      <c r="BC84" s="889"/>
      <c r="BE84" s="889"/>
      <c r="BF84" s="889"/>
      <c r="BG84" s="889"/>
    </row>
    <row r="85" spans="18:59" x14ac:dyDescent="0.3">
      <c r="R85" s="889"/>
      <c r="S85" s="889"/>
      <c r="W85" s="889"/>
      <c r="X85" s="889"/>
      <c r="AE85" s="889"/>
      <c r="AF85" s="889"/>
      <c r="AV85" s="889"/>
      <c r="AW85" s="889"/>
      <c r="AX85" s="889"/>
      <c r="AY85" s="889"/>
      <c r="AZ85" s="889"/>
      <c r="BA85" s="889"/>
      <c r="BC85" s="889"/>
      <c r="BE85" s="889"/>
      <c r="BF85" s="889"/>
      <c r="BG85" s="889"/>
    </row>
    <row r="86" spans="18:59" x14ac:dyDescent="0.3">
      <c r="R86" s="889"/>
      <c r="S86" s="889"/>
      <c r="W86" s="889"/>
      <c r="X86" s="889"/>
      <c r="AE86" s="889"/>
      <c r="AF86" s="889"/>
      <c r="AV86" s="889"/>
      <c r="AW86" s="889"/>
      <c r="AX86" s="889"/>
      <c r="AY86" s="889"/>
      <c r="AZ86" s="889"/>
      <c r="BA86" s="889"/>
      <c r="BC86" s="889"/>
      <c r="BE86" s="889"/>
      <c r="BF86" s="889"/>
      <c r="BG86" s="889"/>
    </row>
    <row r="87" spans="18:59" x14ac:dyDescent="0.3">
      <c r="R87" s="889"/>
      <c r="S87" s="889"/>
      <c r="W87" s="889"/>
      <c r="X87" s="889"/>
      <c r="AE87" s="889"/>
      <c r="AF87" s="889"/>
      <c r="AV87" s="889"/>
      <c r="AW87" s="889"/>
      <c r="AX87" s="889"/>
      <c r="AY87" s="889"/>
      <c r="AZ87" s="889"/>
      <c r="BA87" s="889"/>
      <c r="BC87" s="889"/>
      <c r="BE87" s="889"/>
      <c r="BF87" s="889"/>
      <c r="BG87" s="889"/>
    </row>
    <row r="88" spans="18:59" x14ac:dyDescent="0.3">
      <c r="R88" s="889"/>
      <c r="S88" s="889"/>
      <c r="W88" s="889"/>
      <c r="X88" s="889"/>
      <c r="AE88" s="889"/>
      <c r="AF88" s="889"/>
      <c r="AV88" s="889"/>
      <c r="AW88" s="889"/>
      <c r="AX88" s="889"/>
      <c r="AY88" s="889"/>
      <c r="AZ88" s="889"/>
      <c r="BA88" s="889"/>
      <c r="BC88" s="889"/>
      <c r="BE88" s="889"/>
      <c r="BF88" s="889"/>
      <c r="BG88" s="889"/>
    </row>
    <row r="89" spans="18:59" x14ac:dyDescent="0.3">
      <c r="R89" s="889"/>
      <c r="S89" s="889"/>
      <c r="W89" s="889"/>
      <c r="X89" s="889"/>
      <c r="AE89" s="889"/>
      <c r="AF89" s="889"/>
      <c r="AV89" s="889"/>
      <c r="AW89" s="889"/>
      <c r="AX89" s="889"/>
      <c r="AY89" s="889"/>
      <c r="AZ89" s="889"/>
      <c r="BA89" s="889"/>
      <c r="BC89" s="889"/>
      <c r="BE89" s="889"/>
      <c r="BF89" s="889"/>
      <c r="BG89" s="889"/>
    </row>
    <row r="90" spans="18:59" x14ac:dyDescent="0.3">
      <c r="R90" s="889"/>
      <c r="S90" s="889"/>
      <c r="W90" s="889"/>
      <c r="X90" s="889"/>
      <c r="AE90" s="889"/>
      <c r="AF90" s="889"/>
      <c r="AV90" s="889"/>
      <c r="AW90" s="889"/>
      <c r="AX90" s="889"/>
      <c r="AY90" s="889"/>
      <c r="AZ90" s="889"/>
      <c r="BA90" s="889"/>
      <c r="BC90" s="889"/>
      <c r="BE90" s="889"/>
      <c r="BF90" s="889"/>
      <c r="BG90" s="889"/>
    </row>
    <row r="91" spans="18:59" x14ac:dyDescent="0.3">
      <c r="R91" s="889"/>
      <c r="S91" s="889"/>
      <c r="W91" s="889"/>
      <c r="X91" s="889"/>
      <c r="AE91" s="889"/>
      <c r="AF91" s="889"/>
      <c r="AV91" s="889"/>
      <c r="AW91" s="889"/>
      <c r="AX91" s="889"/>
      <c r="AY91" s="889"/>
      <c r="AZ91" s="889"/>
      <c r="BA91" s="889"/>
      <c r="BC91" s="889"/>
      <c r="BE91" s="889"/>
      <c r="BF91" s="889"/>
      <c r="BG91" s="889"/>
    </row>
    <row r="92" spans="18:59" x14ac:dyDescent="0.3">
      <c r="R92" s="889"/>
      <c r="S92" s="889"/>
      <c r="W92" s="889"/>
      <c r="X92" s="889"/>
      <c r="AE92" s="889"/>
      <c r="AF92" s="889"/>
      <c r="AV92" s="889"/>
      <c r="AW92" s="889"/>
      <c r="AX92" s="889"/>
      <c r="AY92" s="889"/>
      <c r="AZ92" s="889"/>
      <c r="BA92" s="889"/>
      <c r="BC92" s="889"/>
      <c r="BE92" s="889"/>
      <c r="BF92" s="889"/>
      <c r="BG92" s="889"/>
    </row>
    <row r="93" spans="18:59" x14ac:dyDescent="0.3">
      <c r="R93" s="889"/>
      <c r="S93" s="889"/>
      <c r="W93" s="889"/>
      <c r="X93" s="889"/>
      <c r="AE93" s="889"/>
      <c r="AF93" s="889"/>
      <c r="AV93" s="889"/>
      <c r="AW93" s="889"/>
      <c r="AX93" s="889"/>
      <c r="AY93" s="889"/>
      <c r="AZ93" s="889"/>
      <c r="BA93" s="889"/>
      <c r="BC93" s="889"/>
      <c r="BE93" s="889"/>
      <c r="BF93" s="889"/>
      <c r="BG93" s="889"/>
    </row>
    <row r="94" spans="18:59" x14ac:dyDescent="0.3">
      <c r="R94" s="889"/>
      <c r="S94" s="889"/>
      <c r="W94" s="889"/>
      <c r="X94" s="889"/>
      <c r="AE94" s="889"/>
      <c r="AF94" s="889"/>
      <c r="AV94" s="889"/>
      <c r="AW94" s="889"/>
      <c r="AX94" s="889"/>
      <c r="AY94" s="889"/>
      <c r="AZ94" s="889"/>
      <c r="BA94" s="889"/>
      <c r="BC94" s="889"/>
      <c r="BE94" s="889"/>
      <c r="BF94" s="889"/>
      <c r="BG94" s="889"/>
    </row>
    <row r="95" spans="18:59" x14ac:dyDescent="0.3">
      <c r="R95" s="889"/>
      <c r="S95" s="889"/>
      <c r="W95" s="889"/>
      <c r="X95" s="889"/>
      <c r="AE95" s="889"/>
      <c r="AF95" s="889"/>
      <c r="AV95" s="889"/>
      <c r="AW95" s="889"/>
      <c r="AX95" s="889"/>
      <c r="AY95" s="889"/>
      <c r="AZ95" s="889"/>
      <c r="BA95" s="889"/>
      <c r="BC95" s="889"/>
      <c r="BE95" s="889"/>
      <c r="BF95" s="889"/>
      <c r="BG95" s="889"/>
    </row>
    <row r="96" spans="18:59" x14ac:dyDescent="0.3">
      <c r="R96" s="889"/>
      <c r="S96" s="889"/>
      <c r="W96" s="889"/>
      <c r="X96" s="889"/>
      <c r="AE96" s="889"/>
      <c r="AF96" s="889"/>
      <c r="AV96" s="889"/>
      <c r="AW96" s="889"/>
      <c r="AX96" s="889"/>
      <c r="AY96" s="889"/>
      <c r="AZ96" s="889"/>
      <c r="BA96" s="889"/>
      <c r="BC96" s="889"/>
      <c r="BE96" s="889"/>
      <c r="BF96" s="889"/>
      <c r="BG96" s="889"/>
    </row>
    <row r="97" spans="18:59" x14ac:dyDescent="0.3">
      <c r="R97" s="889"/>
      <c r="S97" s="889"/>
      <c r="W97" s="889"/>
      <c r="X97" s="889"/>
      <c r="AE97" s="889"/>
      <c r="AF97" s="889"/>
      <c r="AV97" s="889"/>
      <c r="AW97" s="889"/>
      <c r="AX97" s="889"/>
      <c r="AY97" s="889"/>
      <c r="AZ97" s="889"/>
      <c r="BA97" s="889"/>
      <c r="BC97" s="889"/>
      <c r="BE97" s="889"/>
      <c r="BF97" s="889"/>
      <c r="BG97" s="889"/>
    </row>
    <row r="98" spans="18:59" x14ac:dyDescent="0.3">
      <c r="R98" s="889"/>
      <c r="S98" s="889"/>
      <c r="W98" s="889"/>
      <c r="X98" s="889"/>
      <c r="AE98" s="889"/>
      <c r="AF98" s="889"/>
      <c r="AV98" s="889"/>
      <c r="AW98" s="889"/>
      <c r="AX98" s="889"/>
      <c r="AY98" s="889"/>
      <c r="AZ98" s="889"/>
      <c r="BA98" s="889"/>
      <c r="BC98" s="889"/>
      <c r="BE98" s="889"/>
      <c r="BF98" s="889"/>
      <c r="BG98" s="889"/>
    </row>
    <row r="99" spans="18:59" x14ac:dyDescent="0.3">
      <c r="R99" s="889"/>
      <c r="S99" s="889"/>
      <c r="W99" s="889"/>
      <c r="X99" s="889"/>
      <c r="AE99" s="889"/>
      <c r="AF99" s="889"/>
      <c r="AV99" s="889"/>
      <c r="AW99" s="889"/>
      <c r="AX99" s="889"/>
      <c r="AY99" s="889"/>
      <c r="AZ99" s="889"/>
      <c r="BA99" s="889"/>
      <c r="BC99" s="889"/>
      <c r="BE99" s="889"/>
      <c r="BF99" s="889"/>
      <c r="BG99" s="889"/>
    </row>
    <row r="100" spans="18:59" x14ac:dyDescent="0.3">
      <c r="R100" s="889"/>
      <c r="S100" s="889"/>
      <c r="W100" s="889"/>
      <c r="X100" s="889"/>
      <c r="AE100" s="889"/>
      <c r="AF100" s="889"/>
      <c r="AV100" s="889"/>
      <c r="AW100" s="889"/>
      <c r="AX100" s="889"/>
      <c r="AY100" s="889"/>
      <c r="AZ100" s="889"/>
      <c r="BA100" s="889"/>
      <c r="BC100" s="889"/>
      <c r="BE100" s="889"/>
      <c r="BF100" s="889"/>
      <c r="BG100" s="889"/>
    </row>
    <row r="101" spans="18:59" x14ac:dyDescent="0.3">
      <c r="R101" s="889"/>
      <c r="S101" s="889"/>
      <c r="W101" s="889"/>
      <c r="X101" s="889"/>
      <c r="AE101" s="889"/>
      <c r="AF101" s="889"/>
      <c r="AV101" s="889"/>
      <c r="AW101" s="889"/>
      <c r="AX101" s="889"/>
      <c r="AY101" s="889"/>
      <c r="AZ101" s="889"/>
      <c r="BA101" s="889"/>
      <c r="BC101" s="889"/>
      <c r="BE101" s="889"/>
      <c r="BF101" s="889"/>
      <c r="BG101" s="889"/>
    </row>
    <row r="102" spans="18:59" x14ac:dyDescent="0.3">
      <c r="R102" s="889"/>
      <c r="S102" s="889"/>
      <c r="W102" s="889"/>
      <c r="X102" s="889"/>
      <c r="AE102" s="889"/>
      <c r="AF102" s="889"/>
      <c r="AV102" s="889"/>
      <c r="AW102" s="889"/>
      <c r="AX102" s="889"/>
      <c r="AY102" s="889"/>
      <c r="AZ102" s="889"/>
      <c r="BA102" s="889"/>
      <c r="BC102" s="889"/>
      <c r="BE102" s="889"/>
      <c r="BF102" s="889"/>
      <c r="BG102" s="889"/>
    </row>
    <row r="103" spans="18:59" x14ac:dyDescent="0.3">
      <c r="R103" s="889"/>
      <c r="S103" s="889"/>
      <c r="W103" s="889"/>
      <c r="X103" s="889"/>
      <c r="AE103" s="889"/>
      <c r="AF103" s="889"/>
      <c r="AV103" s="889"/>
      <c r="AW103" s="889"/>
      <c r="AX103" s="889"/>
      <c r="AY103" s="889"/>
      <c r="AZ103" s="889"/>
      <c r="BA103" s="889"/>
      <c r="BC103" s="889"/>
      <c r="BE103" s="889"/>
      <c r="BF103" s="889"/>
      <c r="BG103" s="889"/>
    </row>
    <row r="104" spans="18:59" x14ac:dyDescent="0.3">
      <c r="R104" s="889"/>
      <c r="S104" s="889"/>
      <c r="W104" s="889"/>
      <c r="X104" s="889"/>
      <c r="AE104" s="889"/>
      <c r="AF104" s="889"/>
      <c r="AV104" s="889"/>
      <c r="AW104" s="889"/>
      <c r="AX104" s="889"/>
      <c r="AY104" s="889"/>
      <c r="AZ104" s="889"/>
      <c r="BA104" s="889"/>
      <c r="BC104" s="889"/>
      <c r="BE104" s="889"/>
      <c r="BF104" s="889"/>
      <c r="BG104" s="889"/>
    </row>
    <row r="105" spans="18:59" x14ac:dyDescent="0.3">
      <c r="R105" s="889"/>
      <c r="S105" s="889"/>
      <c r="W105" s="889"/>
      <c r="X105" s="889"/>
      <c r="AE105" s="889"/>
      <c r="AF105" s="889"/>
      <c r="AV105" s="889"/>
      <c r="AW105" s="889"/>
      <c r="AX105" s="889"/>
      <c r="AY105" s="889"/>
      <c r="AZ105" s="889"/>
      <c r="BA105" s="889"/>
      <c r="BC105" s="889"/>
      <c r="BE105" s="889"/>
      <c r="BF105" s="889"/>
      <c r="BG105" s="889"/>
    </row>
    <row r="106" spans="18:59" x14ac:dyDescent="0.3">
      <c r="R106" s="889"/>
      <c r="S106" s="889"/>
      <c r="W106" s="889"/>
      <c r="X106" s="889"/>
      <c r="AE106" s="889"/>
      <c r="AF106" s="889"/>
      <c r="AV106" s="889"/>
      <c r="AW106" s="889"/>
      <c r="AX106" s="889"/>
      <c r="AY106" s="889"/>
      <c r="AZ106" s="889"/>
      <c r="BA106" s="889"/>
      <c r="BC106" s="889"/>
      <c r="BE106" s="889"/>
      <c r="BF106" s="889"/>
      <c r="BG106" s="889"/>
    </row>
    <row r="107" spans="18:59" x14ac:dyDescent="0.3">
      <c r="R107" s="889"/>
      <c r="S107" s="889"/>
      <c r="W107" s="889"/>
      <c r="X107" s="889"/>
      <c r="AE107" s="889"/>
      <c r="AF107" s="889"/>
      <c r="AV107" s="889"/>
      <c r="AW107" s="889"/>
      <c r="AX107" s="889"/>
      <c r="AY107" s="889"/>
      <c r="AZ107" s="889"/>
      <c r="BA107" s="889"/>
      <c r="BC107" s="889"/>
      <c r="BE107" s="889"/>
      <c r="BF107" s="889"/>
      <c r="BG107" s="889"/>
    </row>
    <row r="108" spans="18:59" x14ac:dyDescent="0.3">
      <c r="R108" s="889"/>
      <c r="S108" s="889"/>
      <c r="W108" s="889"/>
      <c r="X108" s="889"/>
      <c r="AE108" s="889"/>
      <c r="AF108" s="889"/>
      <c r="AV108" s="889"/>
      <c r="AW108" s="889"/>
      <c r="AX108" s="889"/>
      <c r="AY108" s="889"/>
      <c r="AZ108" s="889"/>
      <c r="BA108" s="889"/>
      <c r="BC108" s="889"/>
      <c r="BE108" s="889"/>
      <c r="BF108" s="889"/>
      <c r="BG108" s="889"/>
    </row>
    <row r="109" spans="18:59" x14ac:dyDescent="0.3">
      <c r="R109" s="889"/>
      <c r="S109" s="889"/>
      <c r="W109" s="889"/>
      <c r="X109" s="889"/>
      <c r="AE109" s="889"/>
      <c r="AF109" s="889"/>
      <c r="AV109" s="889"/>
      <c r="AW109" s="889"/>
      <c r="AX109" s="889"/>
      <c r="AY109" s="889"/>
      <c r="AZ109" s="889"/>
      <c r="BA109" s="889"/>
      <c r="BC109" s="889"/>
      <c r="BE109" s="889"/>
      <c r="BF109" s="889"/>
      <c r="BG109" s="889"/>
    </row>
    <row r="110" spans="18:59" x14ac:dyDescent="0.3">
      <c r="R110" s="889"/>
      <c r="S110" s="889"/>
      <c r="W110" s="889"/>
      <c r="X110" s="889"/>
      <c r="AE110" s="889"/>
      <c r="AF110" s="889"/>
      <c r="AV110" s="889"/>
      <c r="AW110" s="889"/>
      <c r="AX110" s="889"/>
      <c r="AY110" s="889"/>
      <c r="AZ110" s="889"/>
      <c r="BA110" s="889"/>
      <c r="BC110" s="889"/>
      <c r="BE110" s="889"/>
      <c r="BF110" s="889"/>
      <c r="BG110" s="889"/>
    </row>
    <row r="111" spans="18:59" x14ac:dyDescent="0.3">
      <c r="R111" s="889"/>
      <c r="S111" s="889"/>
      <c r="W111" s="889"/>
      <c r="X111" s="889"/>
      <c r="AE111" s="889"/>
      <c r="AF111" s="889"/>
      <c r="AV111" s="889"/>
      <c r="AW111" s="889"/>
      <c r="AX111" s="889"/>
      <c r="AY111" s="889"/>
      <c r="AZ111" s="889"/>
      <c r="BA111" s="889"/>
      <c r="BC111" s="889"/>
      <c r="BE111" s="889"/>
      <c r="BF111" s="889"/>
      <c r="BG111" s="889"/>
    </row>
    <row r="112" spans="18:59" x14ac:dyDescent="0.3">
      <c r="R112" s="889"/>
      <c r="S112" s="889"/>
      <c r="W112" s="889"/>
      <c r="X112" s="889"/>
      <c r="AE112" s="889"/>
      <c r="AF112" s="889"/>
      <c r="AV112" s="889"/>
      <c r="AW112" s="889"/>
      <c r="AX112" s="889"/>
      <c r="AY112" s="889"/>
      <c r="AZ112" s="889"/>
      <c r="BA112" s="889"/>
      <c r="BC112" s="889"/>
      <c r="BE112" s="889"/>
      <c r="BF112" s="889"/>
      <c r="BG112" s="889"/>
    </row>
    <row r="113" spans="18:59" x14ac:dyDescent="0.3">
      <c r="R113" s="889"/>
      <c r="S113" s="889"/>
      <c r="W113" s="889"/>
      <c r="X113" s="889"/>
      <c r="AE113" s="889"/>
      <c r="AF113" s="889"/>
      <c r="AV113" s="889"/>
      <c r="AW113" s="889"/>
      <c r="AX113" s="889"/>
      <c r="AY113" s="889"/>
      <c r="AZ113" s="889"/>
      <c r="BA113" s="889"/>
      <c r="BC113" s="889"/>
      <c r="BE113" s="889"/>
      <c r="BF113" s="889"/>
      <c r="BG113" s="889"/>
    </row>
    <row r="114" spans="18:59" x14ac:dyDescent="0.3">
      <c r="R114" s="889"/>
      <c r="S114" s="889"/>
      <c r="W114" s="889"/>
      <c r="X114" s="889"/>
      <c r="AE114" s="889"/>
      <c r="AF114" s="889"/>
      <c r="AV114" s="889"/>
      <c r="AW114" s="889"/>
      <c r="AX114" s="889"/>
      <c r="AY114" s="889"/>
      <c r="AZ114" s="889"/>
      <c r="BA114" s="889"/>
      <c r="BC114" s="889"/>
      <c r="BE114" s="889"/>
      <c r="BF114" s="889"/>
      <c r="BG114" s="889"/>
    </row>
    <row r="115" spans="18:59" x14ac:dyDescent="0.3">
      <c r="R115" s="889"/>
      <c r="S115" s="889"/>
      <c r="W115" s="889"/>
      <c r="X115" s="889"/>
      <c r="AE115" s="889"/>
      <c r="AF115" s="889"/>
      <c r="AV115" s="889"/>
      <c r="AW115" s="889"/>
      <c r="AX115" s="889"/>
      <c r="AY115" s="889"/>
      <c r="AZ115" s="889"/>
      <c r="BA115" s="889"/>
      <c r="BC115" s="889"/>
      <c r="BE115" s="889"/>
      <c r="BF115" s="889"/>
      <c r="BG115" s="889"/>
    </row>
    <row r="116" spans="18:59" x14ac:dyDescent="0.3">
      <c r="R116" s="889"/>
      <c r="S116" s="889"/>
      <c r="W116" s="889"/>
      <c r="X116" s="889"/>
      <c r="AE116" s="889"/>
      <c r="AF116" s="889"/>
      <c r="AV116" s="889"/>
      <c r="AW116" s="889"/>
      <c r="AX116" s="889"/>
      <c r="AY116" s="889"/>
      <c r="AZ116" s="889"/>
      <c r="BA116" s="889"/>
      <c r="BC116" s="889"/>
      <c r="BE116" s="889"/>
      <c r="BF116" s="889"/>
      <c r="BG116" s="889"/>
    </row>
    <row r="117" spans="18:59" x14ac:dyDescent="0.3">
      <c r="R117" s="889"/>
      <c r="S117" s="889"/>
      <c r="W117" s="889"/>
      <c r="X117" s="889"/>
      <c r="AE117" s="889"/>
      <c r="AF117" s="889"/>
      <c r="AV117" s="889"/>
      <c r="AW117" s="889"/>
      <c r="AX117" s="889"/>
      <c r="AY117" s="889"/>
      <c r="AZ117" s="889"/>
      <c r="BA117" s="889"/>
      <c r="BC117" s="889"/>
      <c r="BE117" s="889"/>
      <c r="BF117" s="889"/>
      <c r="BG117" s="889"/>
    </row>
    <row r="118" spans="18:59" x14ac:dyDescent="0.3">
      <c r="R118" s="889"/>
      <c r="S118" s="889"/>
      <c r="W118" s="889"/>
      <c r="X118" s="889"/>
      <c r="AE118" s="889"/>
      <c r="AF118" s="889"/>
      <c r="AV118" s="889"/>
      <c r="AW118" s="889"/>
      <c r="AX118" s="889"/>
      <c r="AY118" s="889"/>
      <c r="AZ118" s="889"/>
      <c r="BA118" s="889"/>
      <c r="BC118" s="889"/>
      <c r="BE118" s="889"/>
      <c r="BF118" s="889"/>
      <c r="BG118" s="889"/>
    </row>
    <row r="119" spans="18:59" x14ac:dyDescent="0.3">
      <c r="R119" s="889"/>
      <c r="S119" s="889"/>
      <c r="W119" s="889"/>
      <c r="X119" s="889"/>
      <c r="AE119" s="889"/>
      <c r="AF119" s="889"/>
      <c r="AV119" s="889"/>
      <c r="AW119" s="889"/>
      <c r="AX119" s="889"/>
      <c r="AY119" s="889"/>
      <c r="AZ119" s="889"/>
      <c r="BA119" s="889"/>
      <c r="BC119" s="889"/>
      <c r="BE119" s="889"/>
      <c r="BF119" s="889"/>
      <c r="BG119" s="889"/>
    </row>
    <row r="120" spans="18:59" x14ac:dyDescent="0.3">
      <c r="R120" s="889"/>
      <c r="S120" s="889"/>
      <c r="W120" s="889"/>
      <c r="X120" s="889"/>
      <c r="AE120" s="889"/>
      <c r="AF120" s="889"/>
      <c r="AV120" s="889"/>
      <c r="AW120" s="889"/>
      <c r="AX120" s="889"/>
      <c r="AY120" s="889"/>
      <c r="AZ120" s="889"/>
      <c r="BA120" s="889"/>
      <c r="BC120" s="889"/>
      <c r="BE120" s="889"/>
      <c r="BF120" s="889"/>
      <c r="BG120" s="889"/>
    </row>
    <row r="121" spans="18:59" x14ac:dyDescent="0.3">
      <c r="R121" s="889"/>
      <c r="S121" s="889"/>
      <c r="W121" s="889"/>
      <c r="X121" s="889"/>
      <c r="AE121" s="889"/>
      <c r="AF121" s="889"/>
      <c r="AV121" s="889"/>
      <c r="AW121" s="889"/>
      <c r="AX121" s="889"/>
      <c r="AY121" s="889"/>
      <c r="AZ121" s="889"/>
      <c r="BA121" s="889"/>
      <c r="BC121" s="889"/>
      <c r="BE121" s="889"/>
      <c r="BF121" s="889"/>
      <c r="BG121" s="889"/>
    </row>
    <row r="122" spans="18:59" x14ac:dyDescent="0.3">
      <c r="R122" s="889"/>
      <c r="S122" s="889"/>
      <c r="W122" s="889"/>
      <c r="X122" s="889"/>
      <c r="AE122" s="889"/>
      <c r="AF122" s="889"/>
      <c r="AV122" s="889"/>
      <c r="AW122" s="889"/>
      <c r="AX122" s="889"/>
      <c r="AY122" s="889"/>
      <c r="AZ122" s="889"/>
      <c r="BA122" s="889"/>
      <c r="BC122" s="889"/>
      <c r="BE122" s="889"/>
      <c r="BF122" s="889"/>
      <c r="BG122" s="889"/>
    </row>
    <row r="123" spans="18:59" x14ac:dyDescent="0.3">
      <c r="R123" s="889"/>
      <c r="S123" s="889"/>
      <c r="W123" s="889"/>
      <c r="X123" s="889"/>
      <c r="AE123" s="889"/>
      <c r="AF123" s="889"/>
      <c r="AV123" s="889"/>
      <c r="AW123" s="889"/>
      <c r="AX123" s="889"/>
      <c r="AY123" s="889"/>
      <c r="AZ123" s="889"/>
      <c r="BA123" s="889"/>
      <c r="BC123" s="889"/>
      <c r="BE123" s="889"/>
      <c r="BF123" s="889"/>
      <c r="BG123" s="889"/>
    </row>
    <row r="124" spans="18:59" x14ac:dyDescent="0.3">
      <c r="R124" s="889"/>
      <c r="S124" s="889"/>
      <c r="W124" s="889"/>
      <c r="X124" s="889"/>
      <c r="AE124" s="889"/>
      <c r="AF124" s="889"/>
      <c r="AV124" s="889"/>
      <c r="AW124" s="889"/>
      <c r="AX124" s="889"/>
      <c r="AY124" s="889"/>
      <c r="AZ124" s="889"/>
      <c r="BA124" s="889"/>
      <c r="BC124" s="889"/>
      <c r="BE124" s="889"/>
      <c r="BF124" s="889"/>
      <c r="BG124" s="889"/>
    </row>
    <row r="125" spans="18:59" x14ac:dyDescent="0.3">
      <c r="R125" s="889"/>
      <c r="S125" s="889"/>
      <c r="W125" s="889"/>
      <c r="X125" s="889"/>
      <c r="AE125" s="889"/>
      <c r="AF125" s="889"/>
      <c r="AV125" s="889"/>
      <c r="AW125" s="889"/>
      <c r="AX125" s="889"/>
      <c r="AY125" s="889"/>
      <c r="AZ125" s="889"/>
      <c r="BA125" s="889"/>
      <c r="BC125" s="889"/>
      <c r="BE125" s="889"/>
      <c r="BF125" s="889"/>
      <c r="BG125" s="889"/>
    </row>
    <row r="126" spans="18:59" x14ac:dyDescent="0.3">
      <c r="R126" s="889"/>
      <c r="S126" s="889"/>
      <c r="W126" s="889"/>
      <c r="X126" s="889"/>
      <c r="AE126" s="889"/>
      <c r="AF126" s="889"/>
      <c r="AV126" s="889"/>
      <c r="AW126" s="889"/>
      <c r="AX126" s="889"/>
      <c r="AY126" s="889"/>
      <c r="AZ126" s="889"/>
      <c r="BA126" s="889"/>
      <c r="BC126" s="889"/>
      <c r="BE126" s="889"/>
      <c r="BF126" s="889"/>
      <c r="BG126" s="889"/>
    </row>
    <row r="127" spans="18:59" x14ac:dyDescent="0.3">
      <c r="R127" s="889"/>
      <c r="S127" s="889"/>
      <c r="W127" s="889"/>
      <c r="X127" s="889"/>
      <c r="AE127" s="889"/>
      <c r="AF127" s="889"/>
      <c r="AV127" s="889"/>
      <c r="AW127" s="889"/>
      <c r="AX127" s="889"/>
      <c r="AY127" s="889"/>
      <c r="AZ127" s="889"/>
      <c r="BA127" s="889"/>
      <c r="BC127" s="889"/>
      <c r="BE127" s="889"/>
      <c r="BF127" s="889"/>
      <c r="BG127" s="889"/>
    </row>
    <row r="128" spans="18:59" x14ac:dyDescent="0.3">
      <c r="R128" s="889"/>
      <c r="S128" s="889"/>
      <c r="W128" s="889"/>
      <c r="X128" s="889"/>
      <c r="AE128" s="889"/>
      <c r="AF128" s="889"/>
      <c r="AV128" s="889"/>
      <c r="AW128" s="889"/>
      <c r="AX128" s="889"/>
      <c r="AY128" s="889"/>
      <c r="AZ128" s="889"/>
      <c r="BA128" s="889"/>
      <c r="BC128" s="889"/>
      <c r="BE128" s="889"/>
      <c r="BF128" s="889"/>
      <c r="BG128" s="889"/>
    </row>
    <row r="129" spans="18:59" x14ac:dyDescent="0.3">
      <c r="R129" s="889"/>
      <c r="S129" s="889"/>
      <c r="W129" s="889"/>
      <c r="X129" s="889"/>
      <c r="AE129" s="889"/>
      <c r="AF129" s="889"/>
      <c r="AV129" s="889"/>
      <c r="AW129" s="889"/>
      <c r="AX129" s="889"/>
      <c r="AY129" s="889"/>
      <c r="AZ129" s="889"/>
      <c r="BA129" s="889"/>
      <c r="BC129" s="889"/>
      <c r="BE129" s="889"/>
      <c r="BF129" s="889"/>
      <c r="BG129" s="889"/>
    </row>
    <row r="130" spans="18:59" x14ac:dyDescent="0.3">
      <c r="R130" s="889"/>
      <c r="S130" s="889"/>
      <c r="W130" s="889"/>
      <c r="X130" s="889"/>
      <c r="AE130" s="889"/>
      <c r="AF130" s="889"/>
      <c r="AV130" s="889"/>
      <c r="AW130" s="889"/>
      <c r="AX130" s="889"/>
      <c r="AY130" s="889"/>
      <c r="AZ130" s="889"/>
      <c r="BA130" s="889"/>
      <c r="BC130" s="889"/>
      <c r="BE130" s="889"/>
      <c r="BF130" s="889"/>
      <c r="BG130" s="889"/>
    </row>
    <row r="131" spans="18:59" x14ac:dyDescent="0.3">
      <c r="R131" s="889"/>
      <c r="S131" s="889"/>
      <c r="W131" s="889"/>
      <c r="X131" s="889"/>
      <c r="AE131" s="889"/>
      <c r="AF131" s="889"/>
      <c r="AV131" s="889"/>
      <c r="AW131" s="889"/>
      <c r="AX131" s="889"/>
      <c r="AY131" s="889"/>
      <c r="AZ131" s="889"/>
      <c r="BA131" s="889"/>
      <c r="BC131" s="889"/>
      <c r="BE131" s="889"/>
      <c r="BF131" s="889"/>
      <c r="BG131" s="889"/>
    </row>
    <row r="132" spans="18:59" x14ac:dyDescent="0.3">
      <c r="R132" s="889"/>
      <c r="S132" s="889"/>
      <c r="W132" s="889"/>
      <c r="X132" s="889"/>
      <c r="AE132" s="889"/>
      <c r="AF132" s="889"/>
      <c r="AV132" s="889"/>
      <c r="AW132" s="889"/>
      <c r="AX132" s="889"/>
      <c r="AY132" s="889"/>
      <c r="AZ132" s="889"/>
      <c r="BA132" s="889"/>
      <c r="BC132" s="889"/>
      <c r="BE132" s="889"/>
      <c r="BF132" s="889"/>
      <c r="BG132" s="889"/>
    </row>
    <row r="133" spans="18:59" x14ac:dyDescent="0.3">
      <c r="R133" s="889"/>
      <c r="S133" s="889"/>
      <c r="W133" s="889"/>
      <c r="X133" s="889"/>
      <c r="AE133" s="889"/>
      <c r="AF133" s="889"/>
      <c r="AV133" s="889"/>
      <c r="AW133" s="889"/>
      <c r="AX133" s="889"/>
      <c r="AY133" s="889"/>
      <c r="AZ133" s="889"/>
      <c r="BA133" s="889"/>
      <c r="BC133" s="889"/>
      <c r="BE133" s="889"/>
      <c r="BF133" s="889"/>
      <c r="BG133" s="889"/>
    </row>
    <row r="134" spans="18:59" x14ac:dyDescent="0.3">
      <c r="R134" s="889"/>
      <c r="S134" s="889"/>
      <c r="W134" s="889"/>
      <c r="X134" s="889"/>
      <c r="AE134" s="889"/>
      <c r="AF134" s="889"/>
      <c r="AV134" s="889"/>
      <c r="AW134" s="889"/>
      <c r="AX134" s="889"/>
      <c r="AY134" s="889"/>
      <c r="AZ134" s="889"/>
      <c r="BA134" s="889"/>
      <c r="BC134" s="889"/>
      <c r="BE134" s="889"/>
      <c r="BF134" s="889"/>
      <c r="BG134" s="889"/>
    </row>
    <row r="135" spans="18:59" x14ac:dyDescent="0.3">
      <c r="R135" s="889"/>
      <c r="S135" s="889"/>
      <c r="W135" s="889"/>
      <c r="X135" s="889"/>
      <c r="AE135" s="889"/>
      <c r="AF135" s="889"/>
      <c r="AV135" s="889"/>
      <c r="AW135" s="889"/>
      <c r="AX135" s="889"/>
      <c r="AY135" s="889"/>
      <c r="AZ135" s="889"/>
      <c r="BA135" s="889"/>
      <c r="BC135" s="889"/>
      <c r="BE135" s="889"/>
      <c r="BF135" s="889"/>
      <c r="BG135" s="889"/>
    </row>
    <row r="136" spans="18:59" x14ac:dyDescent="0.3">
      <c r="R136" s="889"/>
      <c r="S136" s="889"/>
      <c r="W136" s="889"/>
      <c r="X136" s="889"/>
      <c r="AE136" s="889"/>
      <c r="AF136" s="889"/>
      <c r="AV136" s="889"/>
      <c r="AW136" s="889"/>
      <c r="AX136" s="889"/>
      <c r="AY136" s="889"/>
      <c r="AZ136" s="889"/>
      <c r="BA136" s="889"/>
      <c r="BC136" s="889"/>
      <c r="BE136" s="889"/>
      <c r="BF136" s="889"/>
      <c r="BG136" s="889"/>
    </row>
    <row r="137" spans="18:59" x14ac:dyDescent="0.3">
      <c r="R137" s="889"/>
      <c r="S137" s="889"/>
      <c r="W137" s="889"/>
      <c r="X137" s="889"/>
      <c r="AE137" s="889"/>
      <c r="AF137" s="889"/>
      <c r="AV137" s="889"/>
      <c r="AW137" s="889"/>
      <c r="AX137" s="889"/>
      <c r="AY137" s="889"/>
      <c r="AZ137" s="889"/>
      <c r="BA137" s="889"/>
      <c r="BC137" s="889"/>
      <c r="BE137" s="889"/>
      <c r="BF137" s="889"/>
      <c r="BG137" s="889"/>
    </row>
    <row r="138" spans="18:59" x14ac:dyDescent="0.3">
      <c r="R138" s="889"/>
      <c r="S138" s="889"/>
      <c r="W138" s="889"/>
      <c r="X138" s="889"/>
      <c r="AE138" s="889"/>
      <c r="AF138" s="889"/>
      <c r="AV138" s="889"/>
      <c r="AW138" s="889"/>
      <c r="AX138" s="889"/>
      <c r="AY138" s="889"/>
      <c r="AZ138" s="889"/>
      <c r="BA138" s="889"/>
      <c r="BC138" s="889"/>
      <c r="BE138" s="889"/>
      <c r="BF138" s="889"/>
      <c r="BG138" s="889"/>
    </row>
    <row r="139" spans="18:59" x14ac:dyDescent="0.3">
      <c r="R139" s="889"/>
      <c r="S139" s="889"/>
      <c r="W139" s="889"/>
      <c r="X139" s="889"/>
      <c r="AE139" s="889"/>
      <c r="AF139" s="889"/>
      <c r="AV139" s="889"/>
      <c r="AW139" s="889"/>
      <c r="AX139" s="889"/>
      <c r="AY139" s="889"/>
      <c r="AZ139" s="889"/>
      <c r="BA139" s="889"/>
      <c r="BC139" s="889"/>
      <c r="BE139" s="889"/>
      <c r="BF139" s="889"/>
      <c r="BG139" s="889"/>
    </row>
    <row r="140" spans="18:59" x14ac:dyDescent="0.3">
      <c r="R140" s="889"/>
      <c r="S140" s="889"/>
      <c r="W140" s="889"/>
      <c r="X140" s="889"/>
      <c r="AE140" s="889"/>
      <c r="AF140" s="889"/>
      <c r="AV140" s="889"/>
      <c r="AW140" s="889"/>
      <c r="AX140" s="889"/>
      <c r="AY140" s="889"/>
      <c r="AZ140" s="889"/>
      <c r="BA140" s="889"/>
      <c r="BC140" s="889"/>
      <c r="BE140" s="889"/>
      <c r="BF140" s="889"/>
      <c r="BG140" s="889"/>
    </row>
    <row r="141" spans="18:59" x14ac:dyDescent="0.3">
      <c r="R141" s="889"/>
      <c r="S141" s="889"/>
      <c r="W141" s="889"/>
      <c r="X141" s="889"/>
      <c r="AE141" s="889"/>
      <c r="AF141" s="889"/>
      <c r="AV141" s="889"/>
      <c r="AW141" s="889"/>
      <c r="AX141" s="889"/>
      <c r="AY141" s="889"/>
      <c r="AZ141" s="889"/>
      <c r="BA141" s="889"/>
      <c r="BC141" s="889"/>
      <c r="BE141" s="889"/>
      <c r="BF141" s="889"/>
      <c r="BG141" s="889"/>
    </row>
    <row r="142" spans="18:59" x14ac:dyDescent="0.3">
      <c r="R142" s="889"/>
      <c r="S142" s="889"/>
      <c r="W142" s="889"/>
      <c r="X142" s="889"/>
      <c r="AE142" s="889"/>
      <c r="AF142" s="889"/>
      <c r="AV142" s="889"/>
      <c r="AW142" s="889"/>
      <c r="AX142" s="889"/>
      <c r="AY142" s="889"/>
      <c r="AZ142" s="889"/>
      <c r="BA142" s="889"/>
      <c r="BC142" s="889"/>
      <c r="BE142" s="889"/>
      <c r="BF142" s="889"/>
      <c r="BG142" s="889"/>
    </row>
    <row r="143" spans="18:59" x14ac:dyDescent="0.3">
      <c r="R143" s="889"/>
      <c r="S143" s="889"/>
      <c r="W143" s="889"/>
      <c r="X143" s="889"/>
      <c r="AE143" s="889"/>
      <c r="AF143" s="889"/>
      <c r="AV143" s="889"/>
      <c r="AW143" s="889"/>
      <c r="AX143" s="889"/>
      <c r="AY143" s="889"/>
      <c r="AZ143" s="889"/>
      <c r="BA143" s="889"/>
      <c r="BC143" s="889"/>
      <c r="BE143" s="889"/>
      <c r="BF143" s="889"/>
      <c r="BG143" s="889"/>
    </row>
    <row r="144" spans="18:59" x14ac:dyDescent="0.3">
      <c r="R144" s="889"/>
      <c r="S144" s="889"/>
      <c r="W144" s="889"/>
      <c r="X144" s="889"/>
      <c r="AE144" s="889"/>
      <c r="AF144" s="889"/>
      <c r="AV144" s="889"/>
      <c r="AW144" s="889"/>
      <c r="AX144" s="889"/>
      <c r="AY144" s="889"/>
      <c r="AZ144" s="889"/>
      <c r="BA144" s="889"/>
      <c r="BC144" s="889"/>
      <c r="BE144" s="889"/>
      <c r="BF144" s="889"/>
      <c r="BG144" s="889"/>
    </row>
    <row r="145" spans="18:59" x14ac:dyDescent="0.3">
      <c r="R145" s="889"/>
      <c r="S145" s="889"/>
      <c r="W145" s="889"/>
      <c r="X145" s="889"/>
      <c r="AE145" s="889"/>
      <c r="AF145" s="889"/>
      <c r="AV145" s="889"/>
      <c r="AW145" s="889"/>
      <c r="AX145" s="889"/>
      <c r="AY145" s="889"/>
      <c r="AZ145" s="889"/>
      <c r="BA145" s="889"/>
      <c r="BC145" s="889"/>
      <c r="BE145" s="889"/>
      <c r="BF145" s="889"/>
      <c r="BG145" s="889"/>
    </row>
    <row r="146" spans="18:59" x14ac:dyDescent="0.3">
      <c r="R146" s="889"/>
      <c r="S146" s="889"/>
      <c r="W146" s="889"/>
      <c r="X146" s="889"/>
      <c r="AE146" s="889"/>
      <c r="AF146" s="889"/>
      <c r="AV146" s="889"/>
      <c r="AW146" s="889"/>
      <c r="AX146" s="889"/>
      <c r="AY146" s="889"/>
      <c r="AZ146" s="889"/>
      <c r="BA146" s="889"/>
      <c r="BC146" s="889"/>
      <c r="BE146" s="889"/>
      <c r="BF146" s="889"/>
      <c r="BG146" s="889"/>
    </row>
    <row r="147" spans="18:59" x14ac:dyDescent="0.3">
      <c r="R147" s="889"/>
      <c r="S147" s="889"/>
      <c r="W147" s="889"/>
      <c r="X147" s="889"/>
      <c r="AE147" s="889"/>
      <c r="AF147" s="889"/>
      <c r="AV147" s="889"/>
      <c r="AW147" s="889"/>
      <c r="AX147" s="889"/>
      <c r="AY147" s="889"/>
      <c r="AZ147" s="889"/>
      <c r="BA147" s="889"/>
      <c r="BC147" s="889"/>
      <c r="BE147" s="889"/>
      <c r="BF147" s="889"/>
      <c r="BG147" s="889"/>
    </row>
    <row r="148" spans="18:59" x14ac:dyDescent="0.3">
      <c r="R148" s="889"/>
      <c r="S148" s="889"/>
      <c r="W148" s="889"/>
      <c r="X148" s="889"/>
      <c r="AE148" s="889"/>
      <c r="AF148" s="889"/>
      <c r="AV148" s="889"/>
      <c r="AW148" s="889"/>
      <c r="AX148" s="889"/>
      <c r="AY148" s="889"/>
      <c r="AZ148" s="889"/>
      <c r="BA148" s="889"/>
      <c r="BC148" s="889"/>
      <c r="BE148" s="889"/>
      <c r="BF148" s="889"/>
      <c r="BG148" s="889"/>
    </row>
    <row r="149" spans="18:59" x14ac:dyDescent="0.3">
      <c r="R149" s="889"/>
      <c r="S149" s="889"/>
      <c r="W149" s="889"/>
      <c r="X149" s="889"/>
      <c r="AE149" s="889"/>
      <c r="AF149" s="889"/>
      <c r="AV149" s="889"/>
      <c r="AW149" s="889"/>
      <c r="AX149" s="889"/>
      <c r="AY149" s="889"/>
      <c r="AZ149" s="889"/>
      <c r="BA149" s="889"/>
      <c r="BC149" s="889"/>
      <c r="BE149" s="889"/>
      <c r="BF149" s="889"/>
      <c r="BG149" s="889"/>
    </row>
    <row r="150" spans="18:59" x14ac:dyDescent="0.3">
      <c r="R150" s="889"/>
      <c r="S150" s="889"/>
      <c r="W150" s="889"/>
      <c r="X150" s="889"/>
      <c r="AE150" s="889"/>
      <c r="AF150" s="889"/>
      <c r="AV150" s="889"/>
      <c r="AW150" s="889"/>
      <c r="AX150" s="889"/>
      <c r="AY150" s="889"/>
      <c r="AZ150" s="889"/>
      <c r="BA150" s="889"/>
      <c r="BC150" s="889"/>
      <c r="BE150" s="889"/>
      <c r="BF150" s="889"/>
      <c r="BG150" s="889"/>
    </row>
    <row r="151" spans="18:59" x14ac:dyDescent="0.3">
      <c r="R151" s="889"/>
      <c r="S151" s="889"/>
      <c r="W151" s="889"/>
      <c r="X151" s="889"/>
      <c r="AE151" s="889"/>
      <c r="AF151" s="889"/>
      <c r="AV151" s="889"/>
      <c r="AW151" s="889"/>
      <c r="AX151" s="889"/>
      <c r="AY151" s="889"/>
      <c r="AZ151" s="889"/>
      <c r="BA151" s="889"/>
      <c r="BC151" s="889"/>
      <c r="BE151" s="889"/>
      <c r="BF151" s="889"/>
      <c r="BG151" s="889"/>
    </row>
    <row r="152" spans="18:59" x14ac:dyDescent="0.3">
      <c r="R152" s="889"/>
      <c r="S152" s="889"/>
      <c r="W152" s="889"/>
      <c r="X152" s="889"/>
      <c r="AE152" s="889"/>
      <c r="AF152" s="889"/>
      <c r="AV152" s="889"/>
      <c r="AW152" s="889"/>
      <c r="AX152" s="889"/>
      <c r="AY152" s="889"/>
      <c r="AZ152" s="889"/>
      <c r="BA152" s="889"/>
      <c r="BC152" s="889"/>
      <c r="BE152" s="889"/>
      <c r="BF152" s="889"/>
      <c r="BG152" s="889"/>
    </row>
    <row r="153" spans="18:59" x14ac:dyDescent="0.3">
      <c r="R153" s="889"/>
      <c r="S153" s="889"/>
      <c r="W153" s="889"/>
      <c r="X153" s="889"/>
      <c r="AE153" s="889"/>
      <c r="AF153" s="889"/>
      <c r="AV153" s="889"/>
      <c r="AW153" s="889"/>
      <c r="AX153" s="889"/>
      <c r="AY153" s="889"/>
      <c r="AZ153" s="889"/>
      <c r="BA153" s="889"/>
      <c r="BC153" s="889"/>
      <c r="BE153" s="889"/>
      <c r="BF153" s="889"/>
      <c r="BG153" s="889"/>
    </row>
    <row r="154" spans="18:59" x14ac:dyDescent="0.3">
      <c r="R154" s="889"/>
      <c r="S154" s="889"/>
      <c r="W154" s="889"/>
      <c r="X154" s="889"/>
      <c r="AE154" s="889"/>
      <c r="AF154" s="889"/>
      <c r="AV154" s="889"/>
      <c r="AW154" s="889"/>
      <c r="AX154" s="889"/>
      <c r="AY154" s="889"/>
      <c r="AZ154" s="889"/>
      <c r="BA154" s="889"/>
      <c r="BC154" s="889"/>
      <c r="BE154" s="889"/>
      <c r="BF154" s="889"/>
      <c r="BG154" s="889"/>
    </row>
    <row r="155" spans="18:59" x14ac:dyDescent="0.3">
      <c r="R155" s="889"/>
      <c r="S155" s="889"/>
      <c r="W155" s="889"/>
      <c r="X155" s="889"/>
      <c r="AE155" s="889"/>
      <c r="AF155" s="889"/>
      <c r="AV155" s="889"/>
      <c r="AW155" s="889"/>
      <c r="AX155" s="889"/>
      <c r="AY155" s="889"/>
      <c r="AZ155" s="889"/>
      <c r="BA155" s="889"/>
      <c r="BC155" s="889"/>
      <c r="BE155" s="889"/>
      <c r="BF155" s="889"/>
      <c r="BG155" s="889"/>
    </row>
    <row r="156" spans="18:59" x14ac:dyDescent="0.3">
      <c r="R156" s="889"/>
      <c r="S156" s="889"/>
      <c r="W156" s="889"/>
      <c r="X156" s="889"/>
      <c r="AE156" s="889"/>
      <c r="AF156" s="889"/>
      <c r="AV156" s="889"/>
      <c r="AW156" s="889"/>
      <c r="AX156" s="889"/>
      <c r="AY156" s="889"/>
      <c r="AZ156" s="889"/>
      <c r="BA156" s="889"/>
      <c r="BC156" s="889"/>
      <c r="BE156" s="889"/>
      <c r="BF156" s="889"/>
      <c r="BG156" s="889"/>
    </row>
    <row r="157" spans="18:59" x14ac:dyDescent="0.3">
      <c r="R157" s="889"/>
      <c r="S157" s="889"/>
      <c r="W157" s="889"/>
      <c r="X157" s="889"/>
      <c r="AE157" s="889"/>
      <c r="AF157" s="889"/>
      <c r="AV157" s="889"/>
      <c r="AW157" s="889"/>
      <c r="AX157" s="889"/>
      <c r="AY157" s="889"/>
      <c r="AZ157" s="889"/>
      <c r="BA157" s="889"/>
      <c r="BC157" s="889"/>
      <c r="BE157" s="889"/>
      <c r="BF157" s="889"/>
      <c r="BG157" s="889"/>
    </row>
    <row r="158" spans="18:59" x14ac:dyDescent="0.3">
      <c r="R158" s="889"/>
      <c r="S158" s="889"/>
      <c r="W158" s="889"/>
      <c r="X158" s="889"/>
      <c r="AE158" s="889"/>
      <c r="AF158" s="889"/>
      <c r="AV158" s="889"/>
      <c r="AW158" s="889"/>
      <c r="AX158" s="889"/>
      <c r="AY158" s="889"/>
      <c r="AZ158" s="889"/>
      <c r="BA158" s="889"/>
      <c r="BC158" s="889"/>
      <c r="BE158" s="889"/>
      <c r="BF158" s="889"/>
      <c r="BG158" s="889"/>
    </row>
    <row r="159" spans="18:59" x14ac:dyDescent="0.3">
      <c r="R159" s="889"/>
      <c r="S159" s="889"/>
      <c r="W159" s="889"/>
      <c r="X159" s="889"/>
      <c r="AE159" s="889"/>
      <c r="AF159" s="889"/>
      <c r="AV159" s="889"/>
      <c r="AW159" s="889"/>
      <c r="AX159" s="889"/>
      <c r="AY159" s="889"/>
      <c r="AZ159" s="889"/>
      <c r="BA159" s="889"/>
      <c r="BC159" s="889"/>
      <c r="BE159" s="889"/>
      <c r="BF159" s="889"/>
      <c r="BG159" s="889"/>
    </row>
    <row r="160" spans="18:59" x14ac:dyDescent="0.3">
      <c r="R160" s="889"/>
      <c r="S160" s="889"/>
      <c r="W160" s="889"/>
      <c r="X160" s="889"/>
      <c r="AE160" s="889"/>
      <c r="AF160" s="889"/>
      <c r="AV160" s="889"/>
      <c r="AW160" s="889"/>
      <c r="AX160" s="889"/>
      <c r="AY160" s="889"/>
      <c r="AZ160" s="889"/>
      <c r="BA160" s="889"/>
      <c r="BC160" s="889"/>
      <c r="BE160" s="889"/>
      <c r="BF160" s="889"/>
      <c r="BG160" s="889"/>
    </row>
    <row r="161" spans="18:59" x14ac:dyDescent="0.3">
      <c r="R161" s="889"/>
      <c r="S161" s="889"/>
      <c r="W161" s="889"/>
      <c r="X161" s="889"/>
      <c r="AE161" s="889"/>
      <c r="AF161" s="889"/>
      <c r="AV161" s="889"/>
      <c r="AW161" s="889"/>
      <c r="AX161" s="889"/>
      <c r="AY161" s="889"/>
      <c r="AZ161" s="889"/>
      <c r="BA161" s="889"/>
      <c r="BC161" s="889"/>
      <c r="BE161" s="889"/>
      <c r="BF161" s="889"/>
      <c r="BG161" s="889"/>
    </row>
    <row r="162" spans="18:59" x14ac:dyDescent="0.3">
      <c r="R162" s="889"/>
      <c r="S162" s="889"/>
      <c r="W162" s="889"/>
      <c r="X162" s="889"/>
      <c r="AE162" s="889"/>
      <c r="AF162" s="889"/>
      <c r="AV162" s="889"/>
      <c r="AW162" s="889"/>
      <c r="AX162" s="889"/>
      <c r="AY162" s="889"/>
      <c r="AZ162" s="889"/>
      <c r="BA162" s="889"/>
      <c r="BC162" s="889"/>
      <c r="BE162" s="889"/>
      <c r="BF162" s="889"/>
      <c r="BG162" s="889"/>
    </row>
    <row r="163" spans="18:59" x14ac:dyDescent="0.3">
      <c r="R163" s="889"/>
      <c r="S163" s="889"/>
      <c r="W163" s="889"/>
      <c r="X163" s="889"/>
      <c r="AE163" s="889"/>
      <c r="AF163" s="889"/>
      <c r="AV163" s="889"/>
      <c r="AW163" s="889"/>
      <c r="AX163" s="889"/>
      <c r="AY163" s="889"/>
      <c r="AZ163" s="889"/>
      <c r="BA163" s="889"/>
      <c r="BC163" s="889"/>
      <c r="BE163" s="889"/>
      <c r="BF163" s="889"/>
      <c r="BG163" s="889"/>
    </row>
    <row r="164" spans="18:59" x14ac:dyDescent="0.3">
      <c r="R164" s="889"/>
      <c r="S164" s="889"/>
      <c r="W164" s="889"/>
      <c r="X164" s="889"/>
      <c r="AE164" s="889"/>
      <c r="AF164" s="889"/>
      <c r="AV164" s="889"/>
      <c r="AW164" s="889"/>
      <c r="AX164" s="889"/>
      <c r="AY164" s="889"/>
      <c r="AZ164" s="889"/>
      <c r="BA164" s="889"/>
      <c r="BC164" s="889"/>
      <c r="BE164" s="889"/>
      <c r="BF164" s="889"/>
      <c r="BG164" s="889"/>
    </row>
    <row r="165" spans="18:59" x14ac:dyDescent="0.3">
      <c r="R165" s="889"/>
      <c r="S165" s="889"/>
      <c r="W165" s="889"/>
      <c r="X165" s="889"/>
      <c r="AE165" s="889"/>
      <c r="AF165" s="889"/>
      <c r="AV165" s="889"/>
      <c r="AW165" s="889"/>
      <c r="AX165" s="889"/>
      <c r="AY165" s="889"/>
      <c r="AZ165" s="889"/>
      <c r="BA165" s="889"/>
      <c r="BC165" s="889"/>
      <c r="BE165" s="889"/>
      <c r="BF165" s="889"/>
      <c r="BG165" s="889"/>
    </row>
    <row r="166" spans="18:59" x14ac:dyDescent="0.3">
      <c r="R166" s="889"/>
      <c r="S166" s="889"/>
      <c r="W166" s="889"/>
      <c r="X166" s="889"/>
      <c r="AE166" s="889"/>
      <c r="AF166" s="889"/>
      <c r="AV166" s="889"/>
      <c r="AW166" s="889"/>
      <c r="AX166" s="889"/>
      <c r="AY166" s="889"/>
      <c r="AZ166" s="889"/>
      <c r="BA166" s="889"/>
      <c r="BC166" s="889"/>
      <c r="BE166" s="889"/>
      <c r="BF166" s="889"/>
      <c r="BG166" s="889"/>
    </row>
    <row r="167" spans="18:59" x14ac:dyDescent="0.3">
      <c r="R167" s="889"/>
      <c r="S167" s="889"/>
      <c r="W167" s="889"/>
      <c r="X167" s="889"/>
      <c r="AE167" s="889"/>
      <c r="AF167" s="889"/>
      <c r="AV167" s="889"/>
      <c r="AW167" s="889"/>
      <c r="AX167" s="889"/>
      <c r="AY167" s="889"/>
      <c r="AZ167" s="889"/>
      <c r="BA167" s="889"/>
      <c r="BC167" s="889"/>
      <c r="BE167" s="889"/>
      <c r="BF167" s="889"/>
      <c r="BG167" s="889"/>
    </row>
    <row r="168" spans="18:59" x14ac:dyDescent="0.3">
      <c r="R168" s="889"/>
      <c r="S168" s="889"/>
      <c r="W168" s="889"/>
      <c r="X168" s="889"/>
      <c r="AE168" s="889"/>
      <c r="AF168" s="889"/>
      <c r="AV168" s="889"/>
      <c r="AW168" s="889"/>
      <c r="AX168" s="889"/>
      <c r="AY168" s="889"/>
      <c r="AZ168" s="889"/>
      <c r="BA168" s="889"/>
      <c r="BC168" s="889"/>
      <c r="BE168" s="889"/>
      <c r="BF168" s="889"/>
      <c r="BG168" s="889"/>
    </row>
    <row r="169" spans="18:59" x14ac:dyDescent="0.3">
      <c r="R169" s="889"/>
      <c r="S169" s="889"/>
      <c r="W169" s="889"/>
      <c r="X169" s="889"/>
      <c r="AE169" s="889"/>
      <c r="AF169" s="889"/>
      <c r="AV169" s="889"/>
      <c r="AW169" s="889"/>
      <c r="AX169" s="889"/>
      <c r="AY169" s="889"/>
      <c r="AZ169" s="889"/>
      <c r="BA169" s="889"/>
      <c r="BC169" s="889"/>
      <c r="BE169" s="889"/>
      <c r="BF169" s="889"/>
      <c r="BG169" s="889"/>
    </row>
    <row r="170" spans="18:59" x14ac:dyDescent="0.3">
      <c r="R170" s="889"/>
      <c r="S170" s="889"/>
      <c r="W170" s="889"/>
      <c r="X170" s="889"/>
      <c r="AE170" s="889"/>
      <c r="AF170" s="889"/>
      <c r="AV170" s="889"/>
      <c r="AW170" s="889"/>
      <c r="AX170" s="889"/>
      <c r="AY170" s="889"/>
      <c r="AZ170" s="889"/>
      <c r="BA170" s="889"/>
      <c r="BC170" s="889"/>
      <c r="BE170" s="889"/>
      <c r="BF170" s="889"/>
      <c r="BG170" s="889"/>
    </row>
    <row r="171" spans="18:59" x14ac:dyDescent="0.3">
      <c r="R171" s="889"/>
      <c r="S171" s="889"/>
      <c r="W171" s="889"/>
      <c r="X171" s="889"/>
      <c r="AE171" s="889"/>
      <c r="AF171" s="889"/>
      <c r="AV171" s="889"/>
      <c r="AW171" s="889"/>
      <c r="AX171" s="889"/>
      <c r="AY171" s="889"/>
      <c r="AZ171" s="889"/>
      <c r="BA171" s="889"/>
      <c r="BC171" s="889"/>
      <c r="BE171" s="889"/>
      <c r="BF171" s="889"/>
      <c r="BG171" s="889"/>
    </row>
    <row r="172" spans="18:59" x14ac:dyDescent="0.3">
      <c r="R172" s="889"/>
      <c r="S172" s="889"/>
      <c r="W172" s="889"/>
      <c r="X172" s="889"/>
      <c r="AE172" s="889"/>
      <c r="AF172" s="889"/>
      <c r="AV172" s="889"/>
      <c r="AW172" s="889"/>
      <c r="AX172" s="889"/>
      <c r="AY172" s="889"/>
      <c r="AZ172" s="889"/>
      <c r="BA172" s="889"/>
      <c r="BC172" s="889"/>
      <c r="BE172" s="889"/>
      <c r="BF172" s="889"/>
      <c r="BG172" s="889"/>
    </row>
    <row r="173" spans="18:59" x14ac:dyDescent="0.3">
      <c r="R173" s="889"/>
      <c r="S173" s="889"/>
      <c r="W173" s="889"/>
      <c r="X173" s="889"/>
      <c r="AE173" s="889"/>
      <c r="AF173" s="889"/>
      <c r="AV173" s="889"/>
      <c r="AW173" s="889"/>
      <c r="AX173" s="889"/>
      <c r="AY173" s="889"/>
      <c r="AZ173" s="889"/>
      <c r="BA173" s="889"/>
      <c r="BC173" s="889"/>
      <c r="BE173" s="889"/>
      <c r="BF173" s="889"/>
      <c r="BG173" s="889"/>
    </row>
    <row r="174" spans="18:59" x14ac:dyDescent="0.3">
      <c r="R174" s="889"/>
      <c r="S174" s="889"/>
      <c r="W174" s="889"/>
      <c r="X174" s="889"/>
      <c r="AE174" s="889"/>
      <c r="AF174" s="889"/>
      <c r="AV174" s="889"/>
      <c r="AW174" s="889"/>
      <c r="AX174" s="889"/>
      <c r="AY174" s="889"/>
      <c r="AZ174" s="889"/>
      <c r="BA174" s="889"/>
      <c r="BC174" s="889"/>
      <c r="BE174" s="889"/>
      <c r="BF174" s="889"/>
      <c r="BG174" s="889"/>
    </row>
    <row r="175" spans="18:59" x14ac:dyDescent="0.3">
      <c r="R175" s="889"/>
      <c r="S175" s="889"/>
      <c r="W175" s="889"/>
      <c r="X175" s="889"/>
      <c r="AE175" s="889"/>
      <c r="AF175" s="889"/>
      <c r="AV175" s="889"/>
      <c r="AW175" s="889"/>
      <c r="AX175" s="889"/>
      <c r="AY175" s="889"/>
      <c r="AZ175" s="889"/>
      <c r="BA175" s="889"/>
      <c r="BC175" s="889"/>
      <c r="BE175" s="889"/>
      <c r="BF175" s="889"/>
      <c r="BG175" s="889"/>
    </row>
    <row r="176" spans="18:59" x14ac:dyDescent="0.3">
      <c r="R176" s="889"/>
      <c r="S176" s="889"/>
      <c r="W176" s="889"/>
      <c r="X176" s="889"/>
      <c r="AE176" s="889"/>
      <c r="AF176" s="889"/>
      <c r="AV176" s="889"/>
      <c r="AW176" s="889"/>
      <c r="AX176" s="889"/>
      <c r="AY176" s="889"/>
      <c r="AZ176" s="889"/>
      <c r="BA176" s="889"/>
      <c r="BC176" s="889"/>
      <c r="BE176" s="889"/>
      <c r="BF176" s="889"/>
      <c r="BG176" s="889"/>
    </row>
    <row r="177" spans="18:59" x14ac:dyDescent="0.3">
      <c r="R177" s="889"/>
      <c r="S177" s="889"/>
      <c r="W177" s="889"/>
      <c r="X177" s="889"/>
      <c r="AE177" s="889"/>
      <c r="AF177" s="889"/>
      <c r="AV177" s="889"/>
      <c r="AW177" s="889"/>
      <c r="AX177" s="889"/>
      <c r="AY177" s="889"/>
      <c r="AZ177" s="889"/>
      <c r="BA177" s="889"/>
      <c r="BC177" s="889"/>
      <c r="BE177" s="889"/>
      <c r="BF177" s="889"/>
      <c r="BG177" s="889"/>
    </row>
    <row r="178" spans="18:59" x14ac:dyDescent="0.3">
      <c r="R178" s="889"/>
      <c r="S178" s="889"/>
      <c r="W178" s="889"/>
      <c r="X178" s="889"/>
      <c r="AE178" s="889"/>
      <c r="AF178" s="889"/>
      <c r="AV178" s="889"/>
      <c r="AW178" s="889"/>
      <c r="AX178" s="889"/>
      <c r="AY178" s="889"/>
      <c r="AZ178" s="889"/>
      <c r="BA178" s="889"/>
      <c r="BC178" s="889"/>
      <c r="BE178" s="889"/>
      <c r="BF178" s="889"/>
      <c r="BG178" s="889"/>
    </row>
    <row r="179" spans="18:59" x14ac:dyDescent="0.3">
      <c r="R179" s="889"/>
      <c r="S179" s="889"/>
      <c r="W179" s="889"/>
      <c r="X179" s="889"/>
      <c r="AE179" s="889"/>
      <c r="AF179" s="889"/>
      <c r="AV179" s="889"/>
      <c r="AW179" s="889"/>
      <c r="AX179" s="889"/>
      <c r="AY179" s="889"/>
      <c r="AZ179" s="889"/>
      <c r="BA179" s="889"/>
      <c r="BC179" s="889"/>
      <c r="BE179" s="889"/>
      <c r="BF179" s="889"/>
      <c r="BG179" s="889"/>
    </row>
    <row r="180" spans="18:59" x14ac:dyDescent="0.3">
      <c r="R180" s="889"/>
      <c r="S180" s="889"/>
      <c r="W180" s="889"/>
      <c r="X180" s="889"/>
      <c r="AE180" s="889"/>
      <c r="AF180" s="889"/>
      <c r="AV180" s="889"/>
      <c r="AW180" s="889"/>
      <c r="AX180" s="889"/>
      <c r="AY180" s="889"/>
      <c r="AZ180" s="889"/>
      <c r="BA180" s="889"/>
      <c r="BC180" s="889"/>
      <c r="BE180" s="889"/>
      <c r="BF180" s="889"/>
      <c r="BG180" s="889"/>
    </row>
    <row r="181" spans="18:59" x14ac:dyDescent="0.3">
      <c r="R181" s="889"/>
      <c r="S181" s="889"/>
      <c r="W181" s="889"/>
      <c r="X181" s="889"/>
      <c r="AE181" s="889"/>
      <c r="AF181" s="889"/>
      <c r="AV181" s="889"/>
      <c r="AW181" s="889"/>
      <c r="AX181" s="889"/>
      <c r="AY181" s="889"/>
      <c r="AZ181" s="889"/>
      <c r="BA181" s="889"/>
      <c r="BC181" s="889"/>
      <c r="BE181" s="889"/>
      <c r="BF181" s="889"/>
      <c r="BG181" s="889"/>
    </row>
    <row r="182" spans="18:59" x14ac:dyDescent="0.3">
      <c r="R182" s="889"/>
      <c r="S182" s="889"/>
      <c r="W182" s="889"/>
      <c r="X182" s="889"/>
      <c r="AE182" s="889"/>
      <c r="AF182" s="889"/>
      <c r="AV182" s="889"/>
      <c r="AW182" s="889"/>
      <c r="AX182" s="889"/>
      <c r="AY182" s="889"/>
      <c r="AZ182" s="889"/>
      <c r="BA182" s="889"/>
      <c r="BC182" s="889"/>
      <c r="BE182" s="889"/>
      <c r="BF182" s="889"/>
      <c r="BG182" s="889"/>
    </row>
    <row r="183" spans="18:59" x14ac:dyDescent="0.3">
      <c r="R183" s="889"/>
      <c r="S183" s="889"/>
      <c r="W183" s="889"/>
      <c r="X183" s="889"/>
      <c r="AE183" s="889"/>
      <c r="AF183" s="889"/>
      <c r="AV183" s="889"/>
      <c r="AW183" s="889"/>
      <c r="AX183" s="889"/>
      <c r="AY183" s="889"/>
      <c r="AZ183" s="889"/>
      <c r="BA183" s="889"/>
      <c r="BC183" s="889"/>
      <c r="BE183" s="889"/>
      <c r="BF183" s="889"/>
      <c r="BG183" s="889"/>
    </row>
    <row r="184" spans="18:59" x14ac:dyDescent="0.3">
      <c r="R184" s="889"/>
      <c r="S184" s="889"/>
      <c r="W184" s="889"/>
      <c r="X184" s="889"/>
      <c r="AE184" s="889"/>
      <c r="AF184" s="889"/>
      <c r="AV184" s="889"/>
      <c r="AW184" s="889"/>
      <c r="AX184" s="889"/>
      <c r="AY184" s="889"/>
      <c r="AZ184" s="889"/>
      <c r="BA184" s="889"/>
      <c r="BC184" s="889"/>
      <c r="BE184" s="889"/>
      <c r="BF184" s="889"/>
      <c r="BG184" s="889"/>
    </row>
    <row r="185" spans="18:59" x14ac:dyDescent="0.3">
      <c r="R185" s="889"/>
      <c r="S185" s="889"/>
      <c r="W185" s="889"/>
      <c r="X185" s="889"/>
      <c r="AE185" s="889"/>
      <c r="AF185" s="889"/>
      <c r="AV185" s="889"/>
      <c r="AW185" s="889"/>
      <c r="AX185" s="889"/>
      <c r="AY185" s="889"/>
      <c r="AZ185" s="889"/>
      <c r="BA185" s="889"/>
      <c r="BC185" s="889"/>
      <c r="BE185" s="889"/>
      <c r="BF185" s="889"/>
      <c r="BG185" s="889"/>
    </row>
    <row r="186" spans="18:59" x14ac:dyDescent="0.3">
      <c r="R186" s="889"/>
      <c r="S186" s="889"/>
      <c r="W186" s="889"/>
      <c r="X186" s="889"/>
      <c r="AE186" s="889"/>
      <c r="AF186" s="889"/>
      <c r="AV186" s="889"/>
      <c r="AW186" s="889"/>
      <c r="AX186" s="889"/>
      <c r="AY186" s="889"/>
      <c r="AZ186" s="889"/>
      <c r="BA186" s="889"/>
      <c r="BC186" s="889"/>
      <c r="BE186" s="889"/>
      <c r="BF186" s="889"/>
      <c r="BG186" s="889"/>
    </row>
    <row r="187" spans="18:59" x14ac:dyDescent="0.3">
      <c r="R187" s="889"/>
      <c r="S187" s="889"/>
      <c r="W187" s="889"/>
      <c r="X187" s="889"/>
      <c r="AE187" s="889"/>
      <c r="AF187" s="889"/>
      <c r="AV187" s="889"/>
      <c r="AW187" s="889"/>
      <c r="AX187" s="889"/>
      <c r="AY187" s="889"/>
      <c r="AZ187" s="889"/>
      <c r="BA187" s="889"/>
      <c r="BC187" s="889"/>
      <c r="BE187" s="889"/>
      <c r="BF187" s="889"/>
      <c r="BG187" s="889"/>
    </row>
    <row r="188" spans="18:59" x14ac:dyDescent="0.3">
      <c r="R188" s="889"/>
      <c r="S188" s="889"/>
      <c r="W188" s="889"/>
      <c r="X188" s="889"/>
      <c r="AE188" s="889"/>
      <c r="AF188" s="889"/>
      <c r="AV188" s="889"/>
      <c r="AW188" s="889"/>
      <c r="AX188" s="889"/>
      <c r="AY188" s="889"/>
      <c r="AZ188" s="889"/>
      <c r="BA188" s="889"/>
      <c r="BC188" s="889"/>
      <c r="BE188" s="889"/>
      <c r="BF188" s="889"/>
      <c r="BG188" s="889"/>
    </row>
    <row r="189" spans="18:59" x14ac:dyDescent="0.3">
      <c r="R189" s="889"/>
      <c r="S189" s="889"/>
      <c r="W189" s="889"/>
      <c r="X189" s="889"/>
      <c r="AE189" s="889"/>
      <c r="AF189" s="889"/>
      <c r="AV189" s="889"/>
      <c r="AW189" s="889"/>
      <c r="AX189" s="889"/>
      <c r="AY189" s="889"/>
      <c r="AZ189" s="889"/>
      <c r="BA189" s="889"/>
      <c r="BC189" s="889"/>
      <c r="BE189" s="889"/>
      <c r="BF189" s="889"/>
      <c r="BG189" s="889"/>
    </row>
    <row r="190" spans="18:59" x14ac:dyDescent="0.3">
      <c r="R190" s="889"/>
      <c r="S190" s="889"/>
      <c r="W190" s="889"/>
      <c r="X190" s="889"/>
      <c r="AE190" s="889"/>
      <c r="AF190" s="889"/>
      <c r="AV190" s="889"/>
      <c r="AW190" s="889"/>
      <c r="AX190" s="889"/>
      <c r="AY190" s="889"/>
      <c r="AZ190" s="889"/>
      <c r="BA190" s="889"/>
      <c r="BC190" s="889"/>
      <c r="BE190" s="889"/>
      <c r="BF190" s="889"/>
      <c r="BG190" s="889"/>
    </row>
    <row r="191" spans="18:59" x14ac:dyDescent="0.3">
      <c r="R191" s="889"/>
      <c r="S191" s="889"/>
      <c r="W191" s="889"/>
      <c r="X191" s="889"/>
      <c r="AE191" s="889"/>
      <c r="AF191" s="889"/>
      <c r="AV191" s="889"/>
      <c r="AW191" s="889"/>
      <c r="AX191" s="889"/>
      <c r="AY191" s="889"/>
      <c r="AZ191" s="889"/>
      <c r="BA191" s="889"/>
      <c r="BC191" s="889"/>
      <c r="BE191" s="889"/>
      <c r="BF191" s="889"/>
      <c r="BG191" s="889"/>
    </row>
    <row r="192" spans="18:59" x14ac:dyDescent="0.3">
      <c r="R192" s="889"/>
      <c r="S192" s="889"/>
      <c r="W192" s="889"/>
      <c r="X192" s="889"/>
      <c r="AE192" s="889"/>
      <c r="AF192" s="889"/>
      <c r="AV192" s="889"/>
      <c r="AW192" s="889"/>
      <c r="AX192" s="889"/>
      <c r="AY192" s="889"/>
      <c r="AZ192" s="889"/>
      <c r="BA192" s="889"/>
      <c r="BC192" s="889"/>
      <c r="BE192" s="889"/>
      <c r="BF192" s="889"/>
      <c r="BG192" s="889"/>
    </row>
    <row r="193" spans="18:59" x14ac:dyDescent="0.3">
      <c r="R193" s="889"/>
      <c r="S193" s="889"/>
      <c r="W193" s="889"/>
      <c r="X193" s="889"/>
      <c r="AE193" s="889"/>
      <c r="AF193" s="889"/>
      <c r="AV193" s="889"/>
      <c r="AW193" s="889"/>
      <c r="AX193" s="889"/>
      <c r="AY193" s="889"/>
      <c r="AZ193" s="889"/>
      <c r="BA193" s="889"/>
      <c r="BC193" s="889"/>
      <c r="BE193" s="889"/>
      <c r="BF193" s="889"/>
      <c r="BG193" s="889"/>
    </row>
    <row r="194" spans="18:59" x14ac:dyDescent="0.3">
      <c r="R194" s="889"/>
      <c r="S194" s="889"/>
      <c r="W194" s="889"/>
      <c r="X194" s="889"/>
      <c r="AE194" s="889"/>
      <c r="AF194" s="889"/>
      <c r="AV194" s="889"/>
      <c r="AW194" s="889"/>
      <c r="AX194" s="889"/>
      <c r="AY194" s="889"/>
      <c r="AZ194" s="889"/>
      <c r="BA194" s="889"/>
      <c r="BC194" s="889"/>
      <c r="BE194" s="889"/>
      <c r="BF194" s="889"/>
      <c r="BG194" s="889"/>
    </row>
    <row r="195" spans="18:59" x14ac:dyDescent="0.3">
      <c r="R195" s="889"/>
      <c r="S195" s="889"/>
      <c r="W195" s="889"/>
      <c r="X195" s="889"/>
      <c r="AE195" s="889"/>
      <c r="AF195" s="889"/>
      <c r="AV195" s="889"/>
      <c r="AW195" s="889"/>
      <c r="AX195" s="889"/>
      <c r="AY195" s="889"/>
      <c r="AZ195" s="889"/>
      <c r="BA195" s="889"/>
      <c r="BC195" s="889"/>
      <c r="BE195" s="889"/>
      <c r="BF195" s="889"/>
      <c r="BG195" s="889"/>
    </row>
    <row r="196" spans="18:59" x14ac:dyDescent="0.3">
      <c r="R196" s="889"/>
      <c r="S196" s="889"/>
      <c r="W196" s="889"/>
      <c r="X196" s="889"/>
      <c r="AE196" s="889"/>
      <c r="AF196" s="889"/>
      <c r="AV196" s="889"/>
      <c r="AW196" s="889"/>
      <c r="AX196" s="889"/>
      <c r="AY196" s="889"/>
      <c r="AZ196" s="889"/>
      <c r="BA196" s="889"/>
      <c r="BC196" s="889"/>
      <c r="BE196" s="889"/>
      <c r="BF196" s="889"/>
      <c r="BG196" s="889"/>
    </row>
    <row r="197" spans="18:59" x14ac:dyDescent="0.3">
      <c r="R197" s="889"/>
      <c r="S197" s="889"/>
      <c r="W197" s="889"/>
      <c r="X197" s="889"/>
      <c r="AE197" s="889"/>
      <c r="AF197" s="889"/>
      <c r="AV197" s="889"/>
      <c r="AW197" s="889"/>
      <c r="AX197" s="889"/>
      <c r="AY197" s="889"/>
      <c r="AZ197" s="889"/>
      <c r="BA197" s="889"/>
      <c r="BC197" s="889"/>
      <c r="BE197" s="889"/>
      <c r="BF197" s="889"/>
      <c r="BG197" s="889"/>
    </row>
    <row r="198" spans="18:59" x14ac:dyDescent="0.3">
      <c r="R198" s="889"/>
      <c r="S198" s="889"/>
      <c r="W198" s="889"/>
      <c r="X198" s="889"/>
      <c r="AE198" s="889"/>
      <c r="AF198" s="889"/>
      <c r="AV198" s="889"/>
      <c r="AW198" s="889"/>
      <c r="AX198" s="889"/>
      <c r="AY198" s="889"/>
      <c r="AZ198" s="889"/>
      <c r="BA198" s="889"/>
      <c r="BC198" s="889"/>
      <c r="BE198" s="889"/>
      <c r="BF198" s="889"/>
      <c r="BG198" s="889"/>
    </row>
    <row r="199" spans="18:59" x14ac:dyDescent="0.3">
      <c r="R199" s="889"/>
      <c r="S199" s="889"/>
      <c r="W199" s="889"/>
      <c r="X199" s="889"/>
      <c r="AE199" s="889"/>
      <c r="AF199" s="889"/>
      <c r="AV199" s="889"/>
      <c r="AW199" s="889"/>
      <c r="AX199" s="889"/>
      <c r="AY199" s="889"/>
      <c r="AZ199" s="889"/>
      <c r="BA199" s="889"/>
      <c r="BC199" s="889"/>
      <c r="BE199" s="889"/>
      <c r="BF199" s="889"/>
      <c r="BG199" s="889"/>
    </row>
    <row r="200" spans="18:59" x14ac:dyDescent="0.3">
      <c r="R200" s="889"/>
      <c r="S200" s="889"/>
      <c r="W200" s="889"/>
      <c r="X200" s="889"/>
      <c r="AE200" s="889"/>
      <c r="AF200" s="889"/>
      <c r="AV200" s="889"/>
      <c r="AW200" s="889"/>
      <c r="AX200" s="889"/>
      <c r="AY200" s="889"/>
      <c r="AZ200" s="889"/>
      <c r="BA200" s="889"/>
      <c r="BC200" s="889"/>
      <c r="BE200" s="889"/>
      <c r="BF200" s="889"/>
      <c r="BG200" s="889"/>
    </row>
    <row r="201" spans="18:59" x14ac:dyDescent="0.3">
      <c r="R201" s="889"/>
      <c r="S201" s="889"/>
      <c r="W201" s="889"/>
      <c r="X201" s="889"/>
      <c r="AE201" s="889"/>
      <c r="AF201" s="889"/>
      <c r="AV201" s="889"/>
      <c r="AW201" s="889"/>
      <c r="AX201" s="889"/>
      <c r="AY201" s="889"/>
      <c r="AZ201" s="889"/>
      <c r="BA201" s="889"/>
      <c r="BC201" s="889"/>
      <c r="BE201" s="889"/>
      <c r="BF201" s="889"/>
      <c r="BG201" s="889"/>
    </row>
    <row r="202" spans="18:59" x14ac:dyDescent="0.3">
      <c r="R202" s="889"/>
      <c r="S202" s="889"/>
      <c r="W202" s="889"/>
      <c r="X202" s="889"/>
      <c r="AE202" s="889"/>
      <c r="AF202" s="889"/>
      <c r="AV202" s="889"/>
      <c r="AW202" s="889"/>
      <c r="AX202" s="889"/>
      <c r="AY202" s="889"/>
      <c r="AZ202" s="889"/>
      <c r="BA202" s="889"/>
      <c r="BC202" s="889"/>
      <c r="BE202" s="889"/>
      <c r="BF202" s="889"/>
      <c r="BG202" s="889"/>
    </row>
    <row r="203" spans="18:59" x14ac:dyDescent="0.3">
      <c r="R203" s="889"/>
      <c r="S203" s="889"/>
      <c r="W203" s="889"/>
      <c r="X203" s="889"/>
      <c r="AE203" s="889"/>
      <c r="AF203" s="889"/>
      <c r="AV203" s="889"/>
      <c r="AW203" s="889"/>
      <c r="AX203" s="889"/>
      <c r="AY203" s="889"/>
      <c r="AZ203" s="889"/>
      <c r="BA203" s="889"/>
      <c r="BC203" s="889"/>
      <c r="BE203" s="889"/>
      <c r="BF203" s="889"/>
      <c r="BG203" s="889"/>
    </row>
    <row r="204" spans="18:59" x14ac:dyDescent="0.3">
      <c r="R204" s="889"/>
      <c r="S204" s="889"/>
      <c r="W204" s="889"/>
      <c r="X204" s="889"/>
      <c r="AE204" s="889"/>
      <c r="AF204" s="889"/>
      <c r="AV204" s="889"/>
      <c r="AW204" s="889"/>
      <c r="AX204" s="889"/>
      <c r="AY204" s="889"/>
      <c r="AZ204" s="889"/>
      <c r="BA204" s="889"/>
      <c r="BC204" s="889"/>
      <c r="BE204" s="889"/>
      <c r="BF204" s="889"/>
      <c r="BG204" s="889"/>
    </row>
    <row r="205" spans="18:59" x14ac:dyDescent="0.3">
      <c r="R205" s="889"/>
      <c r="S205" s="889"/>
      <c r="W205" s="889"/>
      <c r="X205" s="889"/>
      <c r="AE205" s="889"/>
      <c r="AF205" s="889"/>
      <c r="AV205" s="889"/>
      <c r="AW205" s="889"/>
      <c r="AX205" s="889"/>
      <c r="AY205" s="889"/>
      <c r="AZ205" s="889"/>
      <c r="BA205" s="889"/>
      <c r="BC205" s="889"/>
      <c r="BE205" s="889"/>
      <c r="BF205" s="889"/>
      <c r="BG205" s="889"/>
    </row>
    <row r="206" spans="18:59" x14ac:dyDescent="0.3">
      <c r="R206" s="889"/>
      <c r="S206" s="889"/>
      <c r="W206" s="889"/>
      <c r="X206" s="889"/>
      <c r="AE206" s="889"/>
      <c r="AF206" s="889"/>
      <c r="AV206" s="889"/>
      <c r="AW206" s="889"/>
      <c r="AX206" s="889"/>
      <c r="AY206" s="889"/>
      <c r="AZ206" s="889"/>
      <c r="BA206" s="889"/>
      <c r="BC206" s="889"/>
      <c r="BE206" s="889"/>
      <c r="BF206" s="889"/>
      <c r="BG206" s="889"/>
    </row>
    <row r="207" spans="18:59" x14ac:dyDescent="0.3">
      <c r="R207" s="889"/>
      <c r="S207" s="889"/>
      <c r="W207" s="889"/>
      <c r="X207" s="889"/>
      <c r="AE207" s="889"/>
      <c r="AF207" s="889"/>
      <c r="AV207" s="889"/>
      <c r="AW207" s="889"/>
      <c r="AX207" s="889"/>
      <c r="AY207" s="889"/>
      <c r="AZ207" s="889"/>
      <c r="BA207" s="889"/>
      <c r="BC207" s="889"/>
      <c r="BE207" s="889"/>
      <c r="BF207" s="889"/>
      <c r="BG207" s="889"/>
    </row>
    <row r="208" spans="18:59" x14ac:dyDescent="0.3">
      <c r="R208" s="889"/>
      <c r="S208" s="889"/>
      <c r="W208" s="889"/>
      <c r="X208" s="889"/>
      <c r="AE208" s="889"/>
      <c r="AF208" s="889"/>
      <c r="AV208" s="889"/>
      <c r="AW208" s="889"/>
      <c r="AX208" s="889"/>
      <c r="AY208" s="889"/>
      <c r="AZ208" s="889"/>
      <c r="BA208" s="889"/>
      <c r="BC208" s="889"/>
      <c r="BE208" s="889"/>
      <c r="BF208" s="889"/>
      <c r="BG208" s="889"/>
    </row>
    <row r="209" spans="18:59" x14ac:dyDescent="0.3">
      <c r="R209" s="889"/>
      <c r="S209" s="889"/>
      <c r="W209" s="889"/>
      <c r="X209" s="889"/>
      <c r="AE209" s="889"/>
      <c r="AF209" s="889"/>
      <c r="AV209" s="889"/>
      <c r="AW209" s="889"/>
      <c r="AX209" s="889"/>
      <c r="AY209" s="889"/>
      <c r="AZ209" s="889"/>
      <c r="BA209" s="889"/>
      <c r="BC209" s="889"/>
      <c r="BE209" s="889"/>
      <c r="BF209" s="889"/>
      <c r="BG209" s="889"/>
    </row>
    <row r="210" spans="18:59" x14ac:dyDescent="0.3">
      <c r="R210" s="889"/>
      <c r="S210" s="889"/>
      <c r="W210" s="889"/>
      <c r="X210" s="889"/>
      <c r="AE210" s="889"/>
      <c r="AF210" s="889"/>
      <c r="AV210" s="889"/>
      <c r="AW210" s="889"/>
      <c r="AX210" s="889"/>
      <c r="AY210" s="889"/>
      <c r="AZ210" s="889"/>
      <c r="BA210" s="889"/>
      <c r="BC210" s="889"/>
      <c r="BE210" s="889"/>
      <c r="BF210" s="889"/>
      <c r="BG210" s="889"/>
    </row>
    <row r="211" spans="18:59" x14ac:dyDescent="0.3">
      <c r="R211" s="889"/>
      <c r="S211" s="889"/>
      <c r="W211" s="889"/>
      <c r="X211" s="889"/>
      <c r="AE211" s="889"/>
      <c r="AF211" s="889"/>
      <c r="AV211" s="889"/>
      <c r="AW211" s="889"/>
      <c r="AX211" s="889"/>
      <c r="AY211" s="889"/>
      <c r="AZ211" s="889"/>
      <c r="BA211" s="889"/>
      <c r="BC211" s="889"/>
      <c r="BE211" s="889"/>
      <c r="BF211" s="889"/>
      <c r="BG211" s="889"/>
    </row>
    <row r="212" spans="18:59" x14ac:dyDescent="0.3">
      <c r="R212" s="889"/>
      <c r="S212" s="889"/>
      <c r="W212" s="889"/>
      <c r="X212" s="889"/>
      <c r="AE212" s="889"/>
      <c r="AF212" s="889"/>
      <c r="AV212" s="889"/>
      <c r="AW212" s="889"/>
      <c r="AX212" s="889"/>
      <c r="AY212" s="889"/>
      <c r="AZ212" s="889"/>
      <c r="BA212" s="889"/>
      <c r="BC212" s="889"/>
      <c r="BE212" s="889"/>
      <c r="BF212" s="889"/>
      <c r="BG212" s="889"/>
    </row>
    <row r="213" spans="18:59" x14ac:dyDescent="0.3">
      <c r="R213" s="889"/>
      <c r="S213" s="889"/>
      <c r="W213" s="889"/>
      <c r="X213" s="889"/>
      <c r="AE213" s="889"/>
      <c r="AF213" s="889"/>
      <c r="AV213" s="889"/>
      <c r="AW213" s="889"/>
      <c r="AX213" s="889"/>
      <c r="AY213" s="889"/>
      <c r="AZ213" s="889"/>
      <c r="BA213" s="889"/>
      <c r="BC213" s="889"/>
      <c r="BE213" s="889"/>
      <c r="BF213" s="889"/>
      <c r="BG213" s="889"/>
    </row>
    <row r="214" spans="18:59" x14ac:dyDescent="0.3">
      <c r="R214" s="889"/>
      <c r="S214" s="889"/>
      <c r="W214" s="889"/>
      <c r="X214" s="889"/>
      <c r="AE214" s="889"/>
      <c r="AF214" s="889"/>
      <c r="AV214" s="889"/>
      <c r="AW214" s="889"/>
      <c r="AX214" s="889"/>
      <c r="AY214" s="889"/>
      <c r="AZ214" s="889"/>
      <c r="BA214" s="889"/>
      <c r="BC214" s="889"/>
      <c r="BE214" s="889"/>
      <c r="BF214" s="889"/>
      <c r="BG214" s="889"/>
    </row>
    <row r="215" spans="18:59" x14ac:dyDescent="0.3">
      <c r="R215" s="889"/>
      <c r="S215" s="889"/>
      <c r="W215" s="889"/>
      <c r="X215" s="889"/>
      <c r="AE215" s="889"/>
      <c r="AF215" s="889"/>
      <c r="AV215" s="889"/>
      <c r="AW215" s="889"/>
      <c r="AX215" s="889"/>
      <c r="AY215" s="889"/>
      <c r="AZ215" s="889"/>
      <c r="BA215" s="889"/>
      <c r="BC215" s="889"/>
      <c r="BE215" s="889"/>
      <c r="BF215" s="889"/>
      <c r="BG215" s="889"/>
    </row>
    <row r="216" spans="18:59" x14ac:dyDescent="0.3">
      <c r="R216" s="889"/>
      <c r="S216" s="889"/>
      <c r="W216" s="889"/>
      <c r="X216" s="889"/>
      <c r="AE216" s="889"/>
      <c r="AF216" s="889"/>
      <c r="AV216" s="889"/>
      <c r="AW216" s="889"/>
      <c r="AX216" s="889"/>
      <c r="AY216" s="889"/>
      <c r="AZ216" s="889"/>
      <c r="BA216" s="889"/>
      <c r="BC216" s="889"/>
      <c r="BE216" s="889"/>
      <c r="BF216" s="889"/>
      <c r="BG216" s="889"/>
    </row>
    <row r="217" spans="18:59" x14ac:dyDescent="0.3">
      <c r="R217" s="889"/>
      <c r="S217" s="889"/>
      <c r="W217" s="889"/>
      <c r="X217" s="889"/>
      <c r="AE217" s="889"/>
      <c r="AF217" s="889"/>
      <c r="AV217" s="889"/>
      <c r="AW217" s="889"/>
      <c r="AX217" s="889"/>
      <c r="AY217" s="889"/>
      <c r="AZ217" s="889"/>
      <c r="BA217" s="889"/>
      <c r="BC217" s="889"/>
      <c r="BE217" s="889"/>
      <c r="BF217" s="889"/>
      <c r="BG217" s="889"/>
    </row>
    <row r="218" spans="18:59" x14ac:dyDescent="0.3">
      <c r="R218" s="889"/>
      <c r="S218" s="889"/>
      <c r="W218" s="889"/>
      <c r="X218" s="889"/>
      <c r="AE218" s="889"/>
      <c r="AF218" s="889"/>
      <c r="AV218" s="889"/>
      <c r="AW218" s="889"/>
      <c r="AX218" s="889"/>
      <c r="AY218" s="889"/>
      <c r="AZ218" s="889"/>
      <c r="BA218" s="889"/>
      <c r="BC218" s="889"/>
      <c r="BE218" s="889"/>
      <c r="BF218" s="889"/>
      <c r="BG218" s="889"/>
    </row>
    <row r="219" spans="18:59" x14ac:dyDescent="0.3">
      <c r="R219" s="889"/>
      <c r="S219" s="889"/>
      <c r="W219" s="889"/>
      <c r="X219" s="889"/>
      <c r="AE219" s="889"/>
      <c r="AF219" s="889"/>
      <c r="AV219" s="889"/>
      <c r="AW219" s="889"/>
      <c r="AX219" s="889"/>
      <c r="AY219" s="889"/>
      <c r="AZ219" s="889"/>
      <c r="BA219" s="889"/>
      <c r="BC219" s="889"/>
      <c r="BE219" s="889"/>
      <c r="BF219" s="889"/>
      <c r="BG219" s="889"/>
    </row>
    <row r="220" spans="18:59" x14ac:dyDescent="0.3">
      <c r="R220" s="889"/>
      <c r="S220" s="889"/>
      <c r="W220" s="889"/>
      <c r="X220" s="889"/>
      <c r="AE220" s="889"/>
      <c r="AF220" s="889"/>
      <c r="AV220" s="889"/>
      <c r="AW220" s="889"/>
      <c r="AX220" s="889"/>
      <c r="AY220" s="889"/>
      <c r="AZ220" s="889"/>
      <c r="BA220" s="889"/>
      <c r="BC220" s="889"/>
      <c r="BE220" s="889"/>
      <c r="BF220" s="889"/>
      <c r="BG220" s="889"/>
    </row>
    <row r="221" spans="18:59" x14ac:dyDescent="0.3">
      <c r="R221" s="889"/>
      <c r="S221" s="889"/>
      <c r="W221" s="889"/>
      <c r="X221" s="889"/>
      <c r="AE221" s="889"/>
      <c r="AF221" s="889"/>
      <c r="AV221" s="889"/>
      <c r="AW221" s="889"/>
      <c r="AX221" s="889"/>
      <c r="AY221" s="889"/>
      <c r="AZ221" s="889"/>
      <c r="BA221" s="889"/>
      <c r="BC221" s="889"/>
      <c r="BE221" s="889"/>
      <c r="BF221" s="889"/>
      <c r="BG221" s="889"/>
    </row>
    <row r="222" spans="18:59" x14ac:dyDescent="0.3">
      <c r="R222" s="889"/>
      <c r="S222" s="889"/>
      <c r="W222" s="889"/>
      <c r="X222" s="889"/>
      <c r="AE222" s="889"/>
      <c r="AF222" s="889"/>
      <c r="AV222" s="889"/>
      <c r="AW222" s="889"/>
      <c r="AX222" s="889"/>
      <c r="AY222" s="889"/>
      <c r="AZ222" s="889"/>
      <c r="BA222" s="889"/>
      <c r="BC222" s="889"/>
      <c r="BE222" s="889"/>
      <c r="BF222" s="889"/>
      <c r="BG222" s="889"/>
    </row>
    <row r="223" spans="18:59" x14ac:dyDescent="0.3">
      <c r="R223" s="889"/>
      <c r="S223" s="889"/>
      <c r="W223" s="889"/>
      <c r="X223" s="889"/>
      <c r="AE223" s="889"/>
      <c r="AF223" s="889"/>
      <c r="AV223" s="889"/>
      <c r="AW223" s="889"/>
      <c r="AX223" s="889"/>
      <c r="AY223" s="889"/>
      <c r="AZ223" s="889"/>
      <c r="BA223" s="889"/>
      <c r="BC223" s="889"/>
      <c r="BE223" s="889"/>
      <c r="BF223" s="889"/>
      <c r="BG223" s="889"/>
    </row>
    <row r="224" spans="18:59" x14ac:dyDescent="0.3">
      <c r="R224" s="889"/>
      <c r="S224" s="889"/>
      <c r="W224" s="889"/>
      <c r="X224" s="889"/>
      <c r="AE224" s="889"/>
      <c r="AF224" s="889"/>
      <c r="AV224" s="889"/>
      <c r="AW224" s="889"/>
      <c r="AX224" s="889"/>
      <c r="AY224" s="889"/>
      <c r="AZ224" s="889"/>
      <c r="BA224" s="889"/>
      <c r="BC224" s="889"/>
      <c r="BE224" s="889"/>
      <c r="BF224" s="889"/>
      <c r="BG224" s="889"/>
    </row>
    <row r="225" spans="18:59" x14ac:dyDescent="0.3">
      <c r="R225" s="889"/>
      <c r="S225" s="889"/>
      <c r="W225" s="889"/>
      <c r="X225" s="889"/>
      <c r="AE225" s="889"/>
      <c r="AF225" s="889"/>
      <c r="AV225" s="889"/>
      <c r="AW225" s="889"/>
      <c r="AX225" s="889"/>
      <c r="AY225" s="889"/>
      <c r="AZ225" s="889"/>
      <c r="BA225" s="889"/>
      <c r="BC225" s="889"/>
      <c r="BE225" s="889"/>
      <c r="BF225" s="889"/>
      <c r="BG225" s="889"/>
    </row>
    <row r="226" spans="18:59" x14ac:dyDescent="0.3">
      <c r="R226" s="889"/>
      <c r="S226" s="889"/>
      <c r="W226" s="889"/>
      <c r="X226" s="889"/>
      <c r="AE226" s="889"/>
      <c r="AF226" s="889"/>
      <c r="AV226" s="889"/>
      <c r="AW226" s="889"/>
      <c r="AX226" s="889"/>
      <c r="AY226" s="889"/>
      <c r="AZ226" s="889"/>
      <c r="BA226" s="889"/>
      <c r="BC226" s="889"/>
      <c r="BE226" s="889"/>
      <c r="BF226" s="889"/>
      <c r="BG226" s="889"/>
    </row>
    <row r="227" spans="18:59" x14ac:dyDescent="0.3">
      <c r="R227" s="889"/>
      <c r="S227" s="889"/>
      <c r="W227" s="889"/>
      <c r="X227" s="889"/>
      <c r="AE227" s="889"/>
      <c r="AF227" s="889"/>
      <c r="AV227" s="889"/>
      <c r="AW227" s="889"/>
      <c r="AX227" s="889"/>
      <c r="AY227" s="889"/>
      <c r="AZ227" s="889"/>
      <c r="BA227" s="889"/>
      <c r="BC227" s="889"/>
      <c r="BE227" s="889"/>
      <c r="BF227" s="889"/>
      <c r="BG227" s="889"/>
    </row>
    <row r="228" spans="18:59" x14ac:dyDescent="0.3">
      <c r="R228" s="889"/>
      <c r="S228" s="889"/>
      <c r="W228" s="889"/>
      <c r="X228" s="889"/>
      <c r="AE228" s="889"/>
      <c r="AF228" s="889"/>
      <c r="AV228" s="889"/>
      <c r="AW228" s="889"/>
      <c r="AX228" s="889"/>
      <c r="AY228" s="889"/>
      <c r="AZ228" s="889"/>
      <c r="BA228" s="889"/>
      <c r="BC228" s="889"/>
      <c r="BE228" s="889"/>
      <c r="BF228" s="889"/>
      <c r="BG228" s="889"/>
    </row>
    <row r="229" spans="18:59" x14ac:dyDescent="0.3">
      <c r="R229" s="889"/>
      <c r="S229" s="889"/>
      <c r="W229" s="889"/>
      <c r="X229" s="889"/>
      <c r="AE229" s="889"/>
      <c r="AF229" s="889"/>
      <c r="AV229" s="889"/>
      <c r="AW229" s="889"/>
      <c r="AX229" s="889"/>
      <c r="AY229" s="889"/>
      <c r="AZ229" s="889"/>
      <c r="BA229" s="889"/>
      <c r="BC229" s="889"/>
      <c r="BE229" s="889"/>
      <c r="BF229" s="889"/>
      <c r="BG229" s="889"/>
    </row>
    <row r="230" spans="18:59" x14ac:dyDescent="0.3">
      <c r="R230" s="889"/>
      <c r="S230" s="889"/>
      <c r="W230" s="889"/>
      <c r="X230" s="889"/>
      <c r="AE230" s="889"/>
      <c r="AF230" s="889"/>
      <c r="AV230" s="889"/>
      <c r="AW230" s="889"/>
      <c r="AX230" s="889"/>
      <c r="AY230" s="889"/>
      <c r="AZ230" s="889"/>
      <c r="BA230" s="889"/>
      <c r="BC230" s="889"/>
      <c r="BE230" s="889"/>
      <c r="BF230" s="889"/>
      <c r="BG230" s="889"/>
    </row>
    <row r="231" spans="18:59" x14ac:dyDescent="0.3">
      <c r="R231" s="889"/>
      <c r="S231" s="889"/>
      <c r="W231" s="889"/>
      <c r="X231" s="889"/>
      <c r="AE231" s="889"/>
      <c r="AF231" s="889"/>
      <c r="AV231" s="889"/>
      <c r="AW231" s="889"/>
      <c r="AX231" s="889"/>
      <c r="AY231" s="889"/>
      <c r="AZ231" s="889"/>
      <c r="BA231" s="889"/>
      <c r="BC231" s="889"/>
      <c r="BE231" s="889"/>
      <c r="BF231" s="889"/>
      <c r="BG231" s="889"/>
    </row>
    <row r="232" spans="18:59" x14ac:dyDescent="0.3">
      <c r="R232" s="889"/>
      <c r="S232" s="889"/>
      <c r="W232" s="889"/>
      <c r="X232" s="889"/>
      <c r="AE232" s="889"/>
      <c r="AF232" s="889"/>
      <c r="AV232" s="889"/>
      <c r="AW232" s="889"/>
      <c r="AX232" s="889"/>
      <c r="AY232" s="889"/>
      <c r="AZ232" s="889"/>
      <c r="BA232" s="889"/>
      <c r="BC232" s="889"/>
      <c r="BE232" s="889"/>
      <c r="BF232" s="889"/>
      <c r="BG232" s="889"/>
    </row>
    <row r="233" spans="18:59" x14ac:dyDescent="0.3">
      <c r="R233" s="889"/>
      <c r="S233" s="889"/>
      <c r="W233" s="889"/>
      <c r="X233" s="889"/>
      <c r="AE233" s="889"/>
      <c r="AF233" s="889"/>
      <c r="AV233" s="889"/>
      <c r="AW233" s="889"/>
      <c r="AX233" s="889"/>
      <c r="AY233" s="889"/>
      <c r="AZ233" s="889"/>
      <c r="BA233" s="889"/>
      <c r="BC233" s="889"/>
      <c r="BE233" s="889"/>
      <c r="BF233" s="889"/>
      <c r="BG233" s="889"/>
    </row>
    <row r="234" spans="18:59" x14ac:dyDescent="0.3">
      <c r="R234" s="889"/>
      <c r="S234" s="889"/>
      <c r="W234" s="889"/>
      <c r="X234" s="889"/>
      <c r="AE234" s="889"/>
      <c r="AF234" s="889"/>
      <c r="AV234" s="889"/>
      <c r="AW234" s="889"/>
      <c r="AX234" s="889"/>
      <c r="AY234" s="889"/>
      <c r="AZ234" s="889"/>
      <c r="BA234" s="889"/>
      <c r="BC234" s="889"/>
      <c r="BE234" s="889"/>
      <c r="BF234" s="889"/>
      <c r="BG234" s="889"/>
    </row>
    <row r="235" spans="18:59" x14ac:dyDescent="0.3">
      <c r="R235" s="889"/>
      <c r="S235" s="889"/>
      <c r="W235" s="889"/>
      <c r="X235" s="889"/>
      <c r="AE235" s="889"/>
      <c r="AF235" s="889"/>
      <c r="AV235" s="889"/>
      <c r="AW235" s="889"/>
      <c r="AX235" s="889"/>
      <c r="AY235" s="889"/>
      <c r="AZ235" s="889"/>
      <c r="BA235" s="889"/>
      <c r="BC235" s="889"/>
      <c r="BE235" s="889"/>
      <c r="BF235" s="889"/>
      <c r="BG235" s="889"/>
    </row>
    <row r="236" spans="18:59" x14ac:dyDescent="0.3">
      <c r="R236" s="889"/>
      <c r="S236" s="889"/>
      <c r="W236" s="889"/>
      <c r="X236" s="889"/>
      <c r="AE236" s="889"/>
      <c r="AF236" s="889"/>
      <c r="AV236" s="889"/>
      <c r="AW236" s="889"/>
      <c r="AX236" s="889"/>
      <c r="AY236" s="889"/>
      <c r="AZ236" s="889"/>
      <c r="BA236" s="889"/>
      <c r="BC236" s="889"/>
      <c r="BE236" s="889"/>
      <c r="BF236" s="889"/>
      <c r="BG236" s="889"/>
    </row>
    <row r="237" spans="18:59" x14ac:dyDescent="0.3">
      <c r="R237" s="889"/>
      <c r="S237" s="889"/>
      <c r="W237" s="889"/>
      <c r="X237" s="889"/>
      <c r="AE237" s="889"/>
      <c r="AF237" s="889"/>
      <c r="AV237" s="889"/>
      <c r="AW237" s="889"/>
      <c r="AX237" s="889"/>
      <c r="AY237" s="889"/>
      <c r="AZ237" s="889"/>
      <c r="BA237" s="889"/>
      <c r="BC237" s="889"/>
      <c r="BE237" s="889"/>
      <c r="BF237" s="889"/>
      <c r="BG237" s="889"/>
    </row>
    <row r="238" spans="18:59" x14ac:dyDescent="0.3">
      <c r="R238" s="889"/>
      <c r="S238" s="889"/>
      <c r="W238" s="889"/>
      <c r="X238" s="889"/>
      <c r="AE238" s="889"/>
      <c r="AF238" s="889"/>
      <c r="AV238" s="889"/>
      <c r="AW238" s="889"/>
      <c r="AX238" s="889"/>
      <c r="AY238" s="889"/>
      <c r="AZ238" s="889"/>
      <c r="BA238" s="889"/>
      <c r="BC238" s="889"/>
      <c r="BE238" s="889"/>
      <c r="BF238" s="889"/>
      <c r="BG238" s="889"/>
    </row>
    <row r="239" spans="18:59" x14ac:dyDescent="0.3">
      <c r="R239" s="889"/>
      <c r="S239" s="889"/>
      <c r="W239" s="889"/>
      <c r="X239" s="889"/>
      <c r="AE239" s="889"/>
      <c r="AF239" s="889"/>
      <c r="AV239" s="889"/>
      <c r="AW239" s="889"/>
      <c r="AX239" s="889"/>
      <c r="AY239" s="889"/>
      <c r="AZ239" s="889"/>
      <c r="BA239" s="889"/>
      <c r="BC239" s="889"/>
      <c r="BE239" s="889"/>
      <c r="BF239" s="889"/>
      <c r="BG239" s="889"/>
    </row>
    <row r="240" spans="18:59" x14ac:dyDescent="0.3">
      <c r="R240" s="889"/>
      <c r="S240" s="889"/>
      <c r="W240" s="889"/>
      <c r="X240" s="889"/>
      <c r="AE240" s="889"/>
      <c r="AF240" s="889"/>
      <c r="AV240" s="889"/>
      <c r="AW240" s="889"/>
      <c r="AX240" s="889"/>
      <c r="AY240" s="889"/>
      <c r="AZ240" s="889"/>
      <c r="BA240" s="889"/>
      <c r="BC240" s="889"/>
      <c r="BE240" s="889"/>
      <c r="BF240" s="889"/>
      <c r="BG240" s="889"/>
    </row>
    <row r="241" spans="18:59" x14ac:dyDescent="0.3">
      <c r="R241" s="889"/>
      <c r="S241" s="889"/>
      <c r="W241" s="889"/>
      <c r="X241" s="889"/>
      <c r="AE241" s="889"/>
      <c r="AF241" s="889"/>
      <c r="AV241" s="889"/>
      <c r="AW241" s="889"/>
      <c r="AX241" s="889"/>
      <c r="AY241" s="889"/>
      <c r="AZ241" s="889"/>
      <c r="BA241" s="889"/>
      <c r="BC241" s="889"/>
      <c r="BE241" s="889"/>
      <c r="BF241" s="889"/>
      <c r="BG241" s="889"/>
    </row>
    <row r="242" spans="18:59" x14ac:dyDescent="0.3">
      <c r="R242" s="889"/>
      <c r="S242" s="889"/>
      <c r="W242" s="889"/>
      <c r="X242" s="889"/>
      <c r="AE242" s="889"/>
      <c r="AF242" s="889"/>
      <c r="AV242" s="889"/>
      <c r="AW242" s="889"/>
      <c r="AX242" s="889"/>
      <c r="AY242" s="889"/>
      <c r="AZ242" s="889"/>
      <c r="BA242" s="889"/>
      <c r="BC242" s="889"/>
      <c r="BE242" s="889"/>
      <c r="BF242" s="889"/>
      <c r="BG242" s="889"/>
    </row>
    <row r="243" spans="18:59" x14ac:dyDescent="0.3">
      <c r="R243" s="889"/>
      <c r="S243" s="889"/>
      <c r="W243" s="889"/>
      <c r="X243" s="889"/>
      <c r="AE243" s="889"/>
      <c r="AF243" s="889"/>
      <c r="AV243" s="889"/>
      <c r="AW243" s="889"/>
      <c r="AX243" s="889"/>
      <c r="AY243" s="889"/>
      <c r="AZ243" s="889"/>
      <c r="BA243" s="889"/>
      <c r="BC243" s="889"/>
      <c r="BE243" s="889"/>
      <c r="BF243" s="889"/>
      <c r="BG243" s="889"/>
    </row>
    <row r="244" spans="18:59" x14ac:dyDescent="0.3">
      <c r="R244" s="889"/>
      <c r="S244" s="889"/>
      <c r="W244" s="889"/>
      <c r="X244" s="889"/>
      <c r="AE244" s="889"/>
      <c r="AF244" s="889"/>
      <c r="AV244" s="889"/>
      <c r="AW244" s="889"/>
      <c r="AX244" s="889"/>
      <c r="AY244" s="889"/>
      <c r="AZ244" s="889"/>
      <c r="BA244" s="889"/>
      <c r="BC244" s="889"/>
      <c r="BE244" s="889"/>
      <c r="BF244" s="889"/>
      <c r="BG244" s="889"/>
    </row>
    <row r="245" spans="18:59" x14ac:dyDescent="0.3">
      <c r="R245" s="889"/>
      <c r="S245" s="889"/>
      <c r="W245" s="889"/>
      <c r="X245" s="889"/>
      <c r="AE245" s="889"/>
      <c r="AF245" s="889"/>
      <c r="AV245" s="889"/>
      <c r="AW245" s="889"/>
      <c r="AX245" s="889"/>
      <c r="AY245" s="889"/>
      <c r="AZ245" s="889"/>
      <c r="BA245" s="889"/>
      <c r="BC245" s="889"/>
      <c r="BE245" s="889"/>
      <c r="BF245" s="889"/>
      <c r="BG245" s="889"/>
    </row>
    <row r="246" spans="18:59" x14ac:dyDescent="0.3">
      <c r="R246" s="889"/>
      <c r="S246" s="889"/>
      <c r="W246" s="889"/>
      <c r="X246" s="889"/>
      <c r="AE246" s="889"/>
      <c r="AF246" s="889"/>
      <c r="AV246" s="889"/>
      <c r="AW246" s="889"/>
      <c r="AX246" s="889"/>
      <c r="AY246" s="889"/>
      <c r="AZ246" s="889"/>
      <c r="BA246" s="889"/>
      <c r="BC246" s="889"/>
      <c r="BE246" s="889"/>
      <c r="BF246" s="889"/>
      <c r="BG246" s="889"/>
    </row>
    <row r="247" spans="18:59" x14ac:dyDescent="0.3">
      <c r="R247" s="889"/>
      <c r="S247" s="889"/>
      <c r="W247" s="889"/>
      <c r="X247" s="889"/>
      <c r="AE247" s="889"/>
      <c r="AF247" s="889"/>
      <c r="AV247" s="889"/>
      <c r="AW247" s="889"/>
      <c r="AX247" s="889"/>
      <c r="AY247" s="889"/>
      <c r="AZ247" s="889"/>
      <c r="BA247" s="889"/>
      <c r="BC247" s="889"/>
      <c r="BE247" s="889"/>
      <c r="BF247" s="889"/>
      <c r="BG247" s="889"/>
    </row>
    <row r="248" spans="18:59" x14ac:dyDescent="0.3">
      <c r="R248" s="889"/>
      <c r="S248" s="889"/>
      <c r="W248" s="889"/>
      <c r="X248" s="889"/>
      <c r="AE248" s="889"/>
      <c r="AF248" s="889"/>
      <c r="AV248" s="889"/>
      <c r="AW248" s="889"/>
      <c r="AX248" s="889"/>
      <c r="AY248" s="889"/>
      <c r="AZ248" s="889"/>
      <c r="BA248" s="889"/>
      <c r="BC248" s="889"/>
      <c r="BE248" s="889"/>
      <c r="BF248" s="889"/>
      <c r="BG248" s="889"/>
    </row>
    <row r="249" spans="18:59" x14ac:dyDescent="0.3">
      <c r="R249" s="889"/>
      <c r="S249" s="889"/>
      <c r="W249" s="889"/>
      <c r="X249" s="889"/>
      <c r="AE249" s="889"/>
      <c r="AF249" s="889"/>
      <c r="AV249" s="889"/>
      <c r="AW249" s="889"/>
      <c r="AX249" s="889"/>
      <c r="AY249" s="889"/>
      <c r="AZ249" s="889"/>
      <c r="BA249" s="889"/>
      <c r="BC249" s="889"/>
      <c r="BE249" s="889"/>
      <c r="BF249" s="889"/>
      <c r="BG249" s="889"/>
    </row>
    <row r="250" spans="18:59" x14ac:dyDescent="0.3">
      <c r="R250" s="889"/>
      <c r="S250" s="889"/>
      <c r="W250" s="889"/>
      <c r="X250" s="889"/>
      <c r="AE250" s="889"/>
      <c r="AF250" s="889"/>
      <c r="AV250" s="889"/>
      <c r="AW250" s="889"/>
      <c r="AX250" s="889"/>
      <c r="AY250" s="889"/>
      <c r="AZ250" s="889"/>
      <c r="BA250" s="889"/>
      <c r="BC250" s="889"/>
      <c r="BE250" s="889"/>
      <c r="BF250" s="889"/>
      <c r="BG250" s="889"/>
    </row>
    <row r="251" spans="18:59" x14ac:dyDescent="0.3">
      <c r="R251" s="889"/>
      <c r="S251" s="889"/>
      <c r="W251" s="889"/>
      <c r="X251" s="889"/>
      <c r="AE251" s="889"/>
      <c r="AF251" s="889"/>
      <c r="AV251" s="889"/>
      <c r="AW251" s="889"/>
      <c r="AX251" s="889"/>
      <c r="AY251" s="889"/>
      <c r="AZ251" s="889"/>
      <c r="BA251" s="889"/>
      <c r="BC251" s="889"/>
      <c r="BE251" s="889"/>
      <c r="BF251" s="889"/>
      <c r="BG251" s="889"/>
    </row>
    <row r="252" spans="18:59" x14ac:dyDescent="0.3">
      <c r="R252" s="889"/>
      <c r="S252" s="889"/>
      <c r="W252" s="889"/>
      <c r="X252" s="889"/>
      <c r="AE252" s="889"/>
      <c r="AF252" s="889"/>
      <c r="AV252" s="889"/>
      <c r="AW252" s="889"/>
      <c r="AX252" s="889"/>
      <c r="AY252" s="889"/>
      <c r="AZ252" s="889"/>
      <c r="BA252" s="889"/>
      <c r="BC252" s="889"/>
      <c r="BE252" s="889"/>
      <c r="BF252" s="889"/>
      <c r="BG252" s="889"/>
    </row>
    <row r="253" spans="18:59" x14ac:dyDescent="0.3">
      <c r="R253" s="889"/>
      <c r="S253" s="889"/>
      <c r="W253" s="889"/>
      <c r="X253" s="889"/>
      <c r="AE253" s="889"/>
      <c r="AF253" s="889"/>
      <c r="AV253" s="889"/>
      <c r="AW253" s="889"/>
      <c r="AX253" s="889"/>
      <c r="AY253" s="889"/>
      <c r="AZ253" s="889"/>
      <c r="BA253" s="889"/>
      <c r="BC253" s="889"/>
      <c r="BE253" s="889"/>
      <c r="BF253" s="889"/>
      <c r="BG253" s="889"/>
    </row>
    <row r="254" spans="18:59" x14ac:dyDescent="0.3">
      <c r="R254" s="889"/>
      <c r="S254" s="889"/>
      <c r="W254" s="889"/>
      <c r="X254" s="889"/>
      <c r="AE254" s="889"/>
      <c r="AF254" s="889"/>
      <c r="AV254" s="889"/>
      <c r="AW254" s="889"/>
      <c r="AX254" s="889"/>
      <c r="AY254" s="889"/>
      <c r="AZ254" s="889"/>
      <c r="BA254" s="889"/>
      <c r="BC254" s="889"/>
      <c r="BE254" s="889"/>
      <c r="BF254" s="889"/>
      <c r="BG254" s="889"/>
    </row>
    <row r="255" spans="18:59" x14ac:dyDescent="0.3">
      <c r="R255" s="889"/>
      <c r="S255" s="889"/>
      <c r="W255" s="889"/>
      <c r="X255" s="889"/>
      <c r="AE255" s="889"/>
      <c r="AF255" s="889"/>
      <c r="AV255" s="889"/>
      <c r="AW255" s="889"/>
      <c r="AX255" s="889"/>
      <c r="AY255" s="889"/>
      <c r="AZ255" s="889"/>
      <c r="BA255" s="889"/>
      <c r="BC255" s="889"/>
      <c r="BE255" s="889"/>
      <c r="BF255" s="889"/>
      <c r="BG255" s="889"/>
    </row>
    <row r="256" spans="18:59" x14ac:dyDescent="0.3">
      <c r="R256" s="889"/>
      <c r="S256" s="889"/>
      <c r="W256" s="889"/>
      <c r="X256" s="889"/>
      <c r="AE256" s="889"/>
      <c r="AF256" s="889"/>
      <c r="AV256" s="889"/>
      <c r="AW256" s="889"/>
      <c r="AX256" s="889"/>
      <c r="AY256" s="889"/>
      <c r="AZ256" s="889"/>
      <c r="BA256" s="889"/>
      <c r="BC256" s="889"/>
      <c r="BE256" s="889"/>
      <c r="BF256" s="889"/>
      <c r="BG256" s="889"/>
    </row>
    <row r="257" spans="18:59" x14ac:dyDescent="0.3">
      <c r="R257" s="889"/>
      <c r="S257" s="889"/>
      <c r="W257" s="889"/>
      <c r="X257" s="889"/>
      <c r="AE257" s="889"/>
      <c r="AF257" s="889"/>
      <c r="AV257" s="889"/>
      <c r="AW257" s="889"/>
      <c r="AX257" s="889"/>
      <c r="AY257" s="889"/>
      <c r="AZ257" s="889"/>
      <c r="BA257" s="889"/>
      <c r="BC257" s="889"/>
      <c r="BE257" s="889"/>
      <c r="BF257" s="889"/>
      <c r="BG257" s="889"/>
    </row>
    <row r="258" spans="18:59" x14ac:dyDescent="0.3">
      <c r="R258" s="889"/>
      <c r="S258" s="889"/>
      <c r="W258" s="889"/>
      <c r="X258" s="889"/>
      <c r="AE258" s="889"/>
      <c r="AF258" s="889"/>
      <c r="AV258" s="889"/>
      <c r="AW258" s="889"/>
      <c r="AX258" s="889"/>
      <c r="AY258" s="889"/>
      <c r="AZ258" s="889"/>
      <c r="BA258" s="889"/>
      <c r="BC258" s="889"/>
      <c r="BE258" s="889"/>
      <c r="BF258" s="889"/>
      <c r="BG258" s="889"/>
    </row>
    <row r="259" spans="18:59" x14ac:dyDescent="0.3">
      <c r="R259" s="889"/>
      <c r="S259" s="889"/>
      <c r="W259" s="889"/>
      <c r="X259" s="889"/>
      <c r="AE259" s="889"/>
      <c r="AF259" s="889"/>
      <c r="AV259" s="889"/>
      <c r="AW259" s="889"/>
      <c r="AX259" s="889"/>
      <c r="AY259" s="889"/>
      <c r="AZ259" s="889"/>
      <c r="BA259" s="889"/>
      <c r="BC259" s="889"/>
      <c r="BE259" s="889"/>
      <c r="BF259" s="889"/>
      <c r="BG259" s="889"/>
    </row>
    <row r="260" spans="18:59" x14ac:dyDescent="0.3">
      <c r="R260" s="889"/>
      <c r="S260" s="889"/>
      <c r="W260" s="889"/>
      <c r="X260" s="889"/>
      <c r="AE260" s="889"/>
      <c r="AF260" s="889"/>
      <c r="AV260" s="889"/>
      <c r="AW260" s="889"/>
      <c r="AX260" s="889"/>
      <c r="AY260" s="889"/>
      <c r="AZ260" s="889"/>
      <c r="BA260" s="889"/>
      <c r="BC260" s="889"/>
      <c r="BE260" s="889"/>
      <c r="BF260" s="889"/>
      <c r="BG260" s="889"/>
    </row>
    <row r="261" spans="18:59" x14ac:dyDescent="0.3">
      <c r="R261" s="889"/>
      <c r="S261" s="889"/>
      <c r="W261" s="889"/>
      <c r="X261" s="889"/>
      <c r="AE261" s="889"/>
      <c r="AF261" s="889"/>
      <c r="AV261" s="889"/>
      <c r="AW261" s="889"/>
      <c r="AX261" s="889"/>
      <c r="AY261" s="889"/>
      <c r="AZ261" s="889"/>
      <c r="BA261" s="889"/>
      <c r="BC261" s="889"/>
      <c r="BE261" s="889"/>
      <c r="BF261" s="889"/>
      <c r="BG261" s="889"/>
    </row>
    <row r="262" spans="18:59" x14ac:dyDescent="0.3">
      <c r="R262" s="889"/>
      <c r="S262" s="889"/>
      <c r="W262" s="889"/>
      <c r="X262" s="889"/>
      <c r="AE262" s="889"/>
      <c r="AF262" s="889"/>
      <c r="AV262" s="889"/>
      <c r="AW262" s="889"/>
      <c r="AX262" s="889"/>
      <c r="AY262" s="889"/>
      <c r="AZ262" s="889"/>
      <c r="BA262" s="889"/>
      <c r="BC262" s="889"/>
      <c r="BE262" s="889"/>
      <c r="BF262" s="889"/>
      <c r="BG262" s="889"/>
    </row>
    <row r="263" spans="18:59" x14ac:dyDescent="0.3">
      <c r="R263" s="889"/>
      <c r="S263" s="889"/>
      <c r="W263" s="889"/>
      <c r="X263" s="889"/>
      <c r="AE263" s="889"/>
      <c r="AF263" s="889"/>
      <c r="AV263" s="889"/>
      <c r="AW263" s="889"/>
      <c r="AX263" s="889"/>
      <c r="AY263" s="889"/>
      <c r="AZ263" s="889"/>
      <c r="BA263" s="889"/>
      <c r="BC263" s="889"/>
      <c r="BE263" s="889"/>
      <c r="BF263" s="889"/>
      <c r="BG263" s="889"/>
    </row>
    <row r="264" spans="18:59" x14ac:dyDescent="0.3">
      <c r="R264" s="889"/>
      <c r="S264" s="889"/>
      <c r="W264" s="889"/>
      <c r="X264" s="889"/>
      <c r="AE264" s="889"/>
      <c r="AF264" s="889"/>
      <c r="AV264" s="889"/>
      <c r="AW264" s="889"/>
      <c r="AX264" s="889"/>
      <c r="AY264" s="889"/>
      <c r="AZ264" s="889"/>
      <c r="BA264" s="889"/>
      <c r="BC264" s="889"/>
      <c r="BE264" s="889"/>
      <c r="BF264" s="889"/>
      <c r="BG264" s="889"/>
    </row>
    <row r="265" spans="18:59" x14ac:dyDescent="0.3">
      <c r="R265" s="889"/>
      <c r="S265" s="889"/>
      <c r="W265" s="889"/>
      <c r="X265" s="889"/>
      <c r="AE265" s="889"/>
      <c r="AF265" s="889"/>
      <c r="AV265" s="889"/>
      <c r="AW265" s="889"/>
      <c r="AX265" s="889"/>
      <c r="AY265" s="889"/>
      <c r="AZ265" s="889"/>
      <c r="BA265" s="889"/>
      <c r="BC265" s="889"/>
      <c r="BE265" s="889"/>
      <c r="BF265" s="889"/>
      <c r="BG265" s="889"/>
    </row>
    <row r="266" spans="18:59" x14ac:dyDescent="0.3">
      <c r="R266" s="889"/>
      <c r="S266" s="889"/>
      <c r="W266" s="889"/>
      <c r="X266" s="889"/>
      <c r="AE266" s="889"/>
      <c r="AF266" s="889"/>
      <c r="AV266" s="889"/>
      <c r="AW266" s="889"/>
      <c r="AX266" s="889"/>
      <c r="AY266" s="889"/>
      <c r="AZ266" s="889"/>
      <c r="BA266" s="889"/>
      <c r="BC266" s="889"/>
      <c r="BE266" s="889"/>
      <c r="BF266" s="889"/>
      <c r="BG266" s="889"/>
    </row>
    <row r="267" spans="18:59" x14ac:dyDescent="0.3">
      <c r="R267" s="889"/>
      <c r="S267" s="889"/>
      <c r="W267" s="889"/>
      <c r="X267" s="889"/>
      <c r="AE267" s="889"/>
      <c r="AF267" s="889"/>
      <c r="AV267" s="889"/>
      <c r="AW267" s="889"/>
      <c r="AX267" s="889"/>
      <c r="AY267" s="889"/>
      <c r="AZ267" s="889"/>
      <c r="BA267" s="889"/>
      <c r="BC267" s="889"/>
      <c r="BE267" s="889"/>
      <c r="BF267" s="889"/>
      <c r="BG267" s="889"/>
    </row>
    <row r="268" spans="18:59" x14ac:dyDescent="0.3">
      <c r="R268" s="889"/>
      <c r="S268" s="889"/>
      <c r="W268" s="889"/>
      <c r="X268" s="889"/>
      <c r="AE268" s="889"/>
      <c r="AF268" s="889"/>
      <c r="AV268" s="889"/>
      <c r="AW268" s="889"/>
      <c r="AX268" s="889"/>
      <c r="AY268" s="889"/>
      <c r="AZ268" s="889"/>
      <c r="BA268" s="889"/>
      <c r="BC268" s="889"/>
      <c r="BE268" s="889"/>
      <c r="BF268" s="889"/>
      <c r="BG268" s="889"/>
    </row>
    <row r="269" spans="18:59" x14ac:dyDescent="0.3">
      <c r="R269" s="889"/>
      <c r="S269" s="889"/>
      <c r="W269" s="889"/>
      <c r="X269" s="889"/>
      <c r="AE269" s="889"/>
      <c r="AF269" s="889"/>
      <c r="AV269" s="889"/>
      <c r="AW269" s="889"/>
      <c r="AX269" s="889"/>
      <c r="AY269" s="889"/>
      <c r="AZ269" s="889"/>
      <c r="BA269" s="889"/>
      <c r="BC269" s="889"/>
      <c r="BE269" s="889"/>
      <c r="BF269" s="889"/>
      <c r="BG269" s="889"/>
    </row>
    <row r="270" spans="18:59" x14ac:dyDescent="0.3">
      <c r="R270" s="889"/>
      <c r="S270" s="889"/>
      <c r="W270" s="889"/>
      <c r="X270" s="889"/>
      <c r="AE270" s="889"/>
      <c r="AF270" s="889"/>
      <c r="AV270" s="889"/>
      <c r="AW270" s="889"/>
      <c r="AX270" s="889"/>
      <c r="AY270" s="889"/>
      <c r="AZ270" s="889"/>
      <c r="BA270" s="889"/>
      <c r="BC270" s="889"/>
      <c r="BE270" s="889"/>
      <c r="BF270" s="889"/>
      <c r="BG270" s="889"/>
    </row>
    <row r="271" spans="18:59" x14ac:dyDescent="0.3">
      <c r="R271" s="889"/>
      <c r="S271" s="889"/>
      <c r="W271" s="889"/>
      <c r="X271" s="889"/>
      <c r="AE271" s="889"/>
      <c r="AF271" s="889"/>
      <c r="AV271" s="889"/>
      <c r="AW271" s="889"/>
      <c r="AX271" s="889"/>
      <c r="AY271" s="889"/>
      <c r="AZ271" s="889"/>
      <c r="BA271" s="889"/>
      <c r="BC271" s="889"/>
      <c r="BE271" s="889"/>
      <c r="BF271" s="889"/>
      <c r="BG271" s="889"/>
    </row>
    <row r="272" spans="18:59" x14ac:dyDescent="0.3">
      <c r="R272" s="889"/>
      <c r="S272" s="889"/>
      <c r="W272" s="889"/>
      <c r="X272" s="889"/>
      <c r="AE272" s="889"/>
      <c r="AF272" s="889"/>
      <c r="AV272" s="889"/>
      <c r="AW272" s="889"/>
      <c r="AX272" s="889"/>
      <c r="AY272" s="889"/>
      <c r="AZ272" s="889"/>
      <c r="BA272" s="889"/>
      <c r="BC272" s="889"/>
      <c r="BE272" s="889"/>
      <c r="BF272" s="889"/>
      <c r="BG272" s="889"/>
    </row>
    <row r="273" spans="18:59" x14ac:dyDescent="0.3">
      <c r="R273" s="889"/>
      <c r="S273" s="889"/>
      <c r="W273" s="889"/>
      <c r="X273" s="889"/>
      <c r="AE273" s="889"/>
      <c r="AF273" s="889"/>
      <c r="AV273" s="889"/>
      <c r="AW273" s="889"/>
      <c r="AX273" s="889"/>
      <c r="AY273" s="889"/>
      <c r="AZ273" s="889"/>
      <c r="BA273" s="889"/>
      <c r="BC273" s="889"/>
      <c r="BE273" s="889"/>
      <c r="BF273" s="889"/>
      <c r="BG273" s="889"/>
    </row>
    <row r="274" spans="18:59" x14ac:dyDescent="0.3">
      <c r="R274" s="889"/>
      <c r="S274" s="889"/>
      <c r="W274" s="889"/>
      <c r="X274" s="889"/>
      <c r="AE274" s="889"/>
      <c r="AF274" s="889"/>
      <c r="AV274" s="889"/>
      <c r="AW274" s="889"/>
      <c r="AX274" s="889"/>
      <c r="AY274" s="889"/>
      <c r="AZ274" s="889"/>
      <c r="BA274" s="889"/>
      <c r="BC274" s="889"/>
      <c r="BE274" s="889"/>
      <c r="BF274" s="889"/>
      <c r="BG274" s="889"/>
    </row>
    <row r="275" spans="18:59" x14ac:dyDescent="0.3">
      <c r="R275" s="889"/>
      <c r="S275" s="889"/>
      <c r="W275" s="889"/>
      <c r="X275" s="889"/>
      <c r="AE275" s="889"/>
      <c r="AF275" s="889"/>
      <c r="AV275" s="889"/>
      <c r="AW275" s="889"/>
      <c r="AX275" s="889"/>
      <c r="AY275" s="889"/>
      <c r="AZ275" s="889"/>
      <c r="BA275" s="889"/>
      <c r="BC275" s="889"/>
      <c r="BE275" s="889"/>
      <c r="BF275" s="889"/>
      <c r="BG275" s="889"/>
    </row>
    <row r="276" spans="18:59" x14ac:dyDescent="0.3">
      <c r="R276" s="889"/>
      <c r="S276" s="889"/>
      <c r="W276" s="889"/>
      <c r="X276" s="889"/>
      <c r="AE276" s="889"/>
      <c r="AF276" s="889"/>
      <c r="AV276" s="889"/>
      <c r="AW276" s="889"/>
      <c r="AX276" s="889"/>
      <c r="AY276" s="889"/>
      <c r="AZ276" s="889"/>
      <c r="BA276" s="889"/>
      <c r="BC276" s="889"/>
      <c r="BE276" s="889"/>
      <c r="BF276" s="889"/>
      <c r="BG276" s="889"/>
    </row>
    <row r="277" spans="18:59" x14ac:dyDescent="0.3">
      <c r="R277" s="889"/>
      <c r="S277" s="889"/>
      <c r="W277" s="889"/>
      <c r="X277" s="889"/>
      <c r="AE277" s="889"/>
      <c r="AF277" s="889"/>
      <c r="AV277" s="889"/>
      <c r="AW277" s="889"/>
      <c r="AX277" s="889"/>
      <c r="AY277" s="889"/>
      <c r="AZ277" s="889"/>
      <c r="BA277" s="889"/>
      <c r="BC277" s="889"/>
      <c r="BE277" s="889"/>
      <c r="BF277" s="889"/>
      <c r="BG277" s="889"/>
    </row>
    <row r="278" spans="18:59" x14ac:dyDescent="0.3">
      <c r="R278" s="889"/>
      <c r="S278" s="889"/>
      <c r="W278" s="889"/>
      <c r="X278" s="889"/>
      <c r="AE278" s="889"/>
      <c r="AF278" s="889"/>
      <c r="AV278" s="889"/>
      <c r="AW278" s="889"/>
      <c r="AX278" s="889"/>
      <c r="AY278" s="889"/>
      <c r="AZ278" s="889"/>
      <c r="BA278" s="889"/>
      <c r="BC278" s="889"/>
      <c r="BE278" s="889"/>
      <c r="BF278" s="889"/>
      <c r="BG278" s="889"/>
    </row>
    <row r="279" spans="18:59" x14ac:dyDescent="0.3">
      <c r="R279" s="889"/>
      <c r="S279" s="889"/>
      <c r="W279" s="889"/>
      <c r="X279" s="889"/>
      <c r="AE279" s="889"/>
      <c r="AF279" s="889"/>
      <c r="AV279" s="889"/>
      <c r="AW279" s="889"/>
      <c r="AX279" s="889"/>
      <c r="AY279" s="889"/>
      <c r="AZ279" s="889"/>
      <c r="BA279" s="889"/>
      <c r="BC279" s="889"/>
      <c r="BE279" s="889"/>
      <c r="BF279" s="889"/>
      <c r="BG279" s="889"/>
    </row>
    <row r="280" spans="18:59" x14ac:dyDescent="0.3">
      <c r="R280" s="889"/>
      <c r="S280" s="889"/>
      <c r="W280" s="889"/>
      <c r="X280" s="889"/>
      <c r="AE280" s="889"/>
      <c r="AF280" s="889"/>
      <c r="AV280" s="889"/>
      <c r="AW280" s="889"/>
      <c r="AX280" s="889"/>
      <c r="AY280" s="889"/>
      <c r="AZ280" s="889"/>
      <c r="BA280" s="889"/>
      <c r="BC280" s="889"/>
      <c r="BE280" s="889"/>
      <c r="BF280" s="889"/>
      <c r="BG280" s="889"/>
    </row>
    <row r="281" spans="18:59" x14ac:dyDescent="0.3">
      <c r="R281" s="889"/>
      <c r="S281" s="889"/>
      <c r="W281" s="889"/>
      <c r="X281" s="889"/>
      <c r="AE281" s="889"/>
      <c r="AF281" s="889"/>
      <c r="AV281" s="889"/>
      <c r="AW281" s="889"/>
      <c r="AX281" s="889"/>
      <c r="AY281" s="889"/>
      <c r="AZ281" s="889"/>
      <c r="BA281" s="889"/>
      <c r="BC281" s="889"/>
      <c r="BE281" s="889"/>
      <c r="BF281" s="889"/>
      <c r="BG281" s="889"/>
    </row>
    <row r="282" spans="18:59" x14ac:dyDescent="0.3">
      <c r="R282" s="889"/>
      <c r="S282" s="889"/>
      <c r="W282" s="889"/>
      <c r="X282" s="889"/>
      <c r="AE282" s="889"/>
      <c r="AF282" s="889"/>
      <c r="AV282" s="889"/>
      <c r="AW282" s="889"/>
      <c r="AX282" s="889"/>
      <c r="AY282" s="889"/>
      <c r="AZ282" s="889"/>
      <c r="BA282" s="889"/>
      <c r="BC282" s="889"/>
      <c r="BE282" s="889"/>
      <c r="BF282" s="889"/>
      <c r="BG282" s="889"/>
    </row>
    <row r="283" spans="18:59" x14ac:dyDescent="0.3">
      <c r="R283" s="889"/>
      <c r="S283" s="889"/>
      <c r="W283" s="889"/>
      <c r="X283" s="889"/>
      <c r="AE283" s="889"/>
      <c r="AF283" s="889"/>
      <c r="AV283" s="889"/>
      <c r="AW283" s="889"/>
      <c r="AX283" s="889"/>
      <c r="AY283" s="889"/>
      <c r="AZ283" s="889"/>
      <c r="BA283" s="889"/>
      <c r="BC283" s="889"/>
      <c r="BE283" s="889"/>
      <c r="BF283" s="889"/>
      <c r="BG283" s="889"/>
    </row>
    <row r="284" spans="18:59" x14ac:dyDescent="0.3">
      <c r="R284" s="889"/>
      <c r="S284" s="889"/>
      <c r="W284" s="889"/>
      <c r="X284" s="889"/>
      <c r="AE284" s="889"/>
      <c r="AF284" s="889"/>
      <c r="AV284" s="889"/>
      <c r="AW284" s="889"/>
      <c r="AX284" s="889"/>
      <c r="AY284" s="889"/>
      <c r="AZ284" s="889"/>
      <c r="BA284" s="889"/>
      <c r="BC284" s="889"/>
      <c r="BE284" s="889"/>
      <c r="BF284" s="889"/>
      <c r="BG284" s="889"/>
    </row>
    <row r="285" spans="18:59" x14ac:dyDescent="0.3">
      <c r="R285" s="889"/>
      <c r="S285" s="889"/>
      <c r="W285" s="889"/>
      <c r="X285" s="889"/>
      <c r="AE285" s="889"/>
      <c r="AF285" s="889"/>
      <c r="AV285" s="889"/>
      <c r="AW285" s="889"/>
      <c r="AX285" s="889"/>
      <c r="AY285" s="889"/>
      <c r="AZ285" s="889"/>
      <c r="BA285" s="889"/>
      <c r="BC285" s="889"/>
      <c r="BE285" s="889"/>
      <c r="BF285" s="889"/>
      <c r="BG285" s="889"/>
    </row>
    <row r="286" spans="18:59" x14ac:dyDescent="0.3">
      <c r="R286" s="889"/>
      <c r="S286" s="889"/>
      <c r="W286" s="889"/>
      <c r="X286" s="889"/>
      <c r="AE286" s="889"/>
      <c r="AF286" s="889"/>
      <c r="AV286" s="889"/>
      <c r="AW286" s="889"/>
      <c r="AX286" s="889"/>
      <c r="AY286" s="889"/>
      <c r="AZ286" s="889"/>
      <c r="BA286" s="889"/>
      <c r="BC286" s="889"/>
      <c r="BE286" s="889"/>
      <c r="BF286" s="889"/>
      <c r="BG286" s="889"/>
    </row>
    <row r="287" spans="18:59" x14ac:dyDescent="0.3">
      <c r="R287" s="889"/>
      <c r="S287" s="889"/>
      <c r="W287" s="889"/>
      <c r="X287" s="889"/>
      <c r="AE287" s="889"/>
      <c r="AF287" s="889"/>
      <c r="AV287" s="889"/>
      <c r="AW287" s="889"/>
      <c r="AX287" s="889"/>
      <c r="AY287" s="889"/>
      <c r="AZ287" s="889"/>
      <c r="BA287" s="889"/>
      <c r="BC287" s="889"/>
      <c r="BE287" s="889"/>
      <c r="BF287" s="889"/>
      <c r="BG287" s="889"/>
    </row>
    <row r="288" spans="18:59" x14ac:dyDescent="0.3">
      <c r="R288" s="889"/>
      <c r="S288" s="889"/>
      <c r="W288" s="889"/>
      <c r="X288" s="889"/>
      <c r="AE288" s="889"/>
      <c r="AF288" s="889"/>
      <c r="AV288" s="889"/>
      <c r="AW288" s="889"/>
      <c r="AX288" s="889"/>
      <c r="AY288" s="889"/>
      <c r="AZ288" s="889"/>
      <c r="BA288" s="889"/>
      <c r="BC288" s="889"/>
      <c r="BE288" s="889"/>
      <c r="BF288" s="889"/>
      <c r="BG288" s="889"/>
    </row>
    <row r="289" spans="18:59" x14ac:dyDescent="0.3">
      <c r="R289" s="889"/>
      <c r="S289" s="889"/>
      <c r="W289" s="889"/>
      <c r="X289" s="889"/>
      <c r="AE289" s="889"/>
      <c r="AF289" s="889"/>
      <c r="AV289" s="889"/>
      <c r="AW289" s="889"/>
      <c r="AX289" s="889"/>
      <c r="AY289" s="889"/>
      <c r="AZ289" s="889"/>
      <c r="BA289" s="889"/>
      <c r="BC289" s="889"/>
      <c r="BE289" s="889"/>
      <c r="BF289" s="889"/>
      <c r="BG289" s="889"/>
    </row>
    <row r="290" spans="18:59" x14ac:dyDescent="0.3">
      <c r="R290" s="889"/>
      <c r="S290" s="889"/>
      <c r="W290" s="889"/>
      <c r="X290" s="889"/>
      <c r="AE290" s="889"/>
      <c r="AF290" s="889"/>
      <c r="AV290" s="889"/>
      <c r="AW290" s="889"/>
      <c r="AX290" s="889"/>
      <c r="AY290" s="889"/>
      <c r="AZ290" s="889"/>
      <c r="BA290" s="889"/>
      <c r="BC290" s="889"/>
      <c r="BE290" s="889"/>
      <c r="BF290" s="889"/>
      <c r="BG290" s="889"/>
    </row>
    <row r="291" spans="18:59" x14ac:dyDescent="0.3">
      <c r="R291" s="889"/>
      <c r="S291" s="889"/>
      <c r="W291" s="889"/>
      <c r="X291" s="889"/>
      <c r="AE291" s="889"/>
      <c r="AF291" s="889"/>
      <c r="AV291" s="889"/>
      <c r="AW291" s="889"/>
      <c r="AX291" s="889"/>
      <c r="AY291" s="889"/>
      <c r="AZ291" s="889"/>
      <c r="BA291" s="889"/>
      <c r="BC291" s="889"/>
      <c r="BE291" s="889"/>
      <c r="BF291" s="889"/>
      <c r="BG291" s="889"/>
    </row>
    <row r="292" spans="18:59" x14ac:dyDescent="0.3">
      <c r="R292" s="889"/>
      <c r="S292" s="889"/>
      <c r="W292" s="889"/>
      <c r="X292" s="889"/>
      <c r="AE292" s="889"/>
      <c r="AF292" s="889"/>
      <c r="AV292" s="889"/>
      <c r="AW292" s="889"/>
      <c r="AX292" s="889"/>
      <c r="AY292" s="889"/>
      <c r="AZ292" s="889"/>
      <c r="BA292" s="889"/>
      <c r="BC292" s="889"/>
      <c r="BE292" s="889"/>
      <c r="BF292" s="889"/>
      <c r="BG292" s="889"/>
    </row>
    <row r="293" spans="18:59" x14ac:dyDescent="0.3">
      <c r="R293" s="889"/>
      <c r="S293" s="889"/>
      <c r="W293" s="889"/>
      <c r="X293" s="889"/>
      <c r="AE293" s="889"/>
      <c r="AF293" s="889"/>
      <c r="AV293" s="889"/>
      <c r="AW293" s="889"/>
      <c r="AX293" s="889"/>
      <c r="AY293" s="889"/>
      <c r="AZ293" s="889"/>
      <c r="BA293" s="889"/>
      <c r="BC293" s="889"/>
      <c r="BE293" s="889"/>
      <c r="BF293" s="889"/>
      <c r="BG293" s="889"/>
    </row>
    <row r="294" spans="18:59" x14ac:dyDescent="0.3">
      <c r="R294" s="889"/>
      <c r="S294" s="889"/>
      <c r="W294" s="889"/>
      <c r="X294" s="889"/>
      <c r="AE294" s="889"/>
      <c r="AF294" s="889"/>
      <c r="AV294" s="889"/>
      <c r="AW294" s="889"/>
      <c r="AX294" s="889"/>
      <c r="AY294" s="889"/>
      <c r="AZ294" s="889"/>
      <c r="BA294" s="889"/>
      <c r="BC294" s="889"/>
      <c r="BE294" s="889"/>
      <c r="BF294" s="889"/>
      <c r="BG294" s="889"/>
    </row>
    <row r="295" spans="18:59" x14ac:dyDescent="0.3">
      <c r="R295" s="889"/>
      <c r="S295" s="889"/>
      <c r="W295" s="889"/>
      <c r="X295" s="889"/>
      <c r="AE295" s="889"/>
      <c r="AF295" s="889"/>
      <c r="AV295" s="889"/>
      <c r="AW295" s="889"/>
      <c r="AX295" s="889"/>
      <c r="AY295" s="889"/>
      <c r="AZ295" s="889"/>
      <c r="BA295" s="889"/>
      <c r="BC295" s="889"/>
      <c r="BE295" s="889"/>
      <c r="BF295" s="889"/>
      <c r="BG295" s="889"/>
    </row>
    <row r="296" spans="18:59" x14ac:dyDescent="0.3">
      <c r="R296" s="889"/>
      <c r="S296" s="889"/>
      <c r="W296" s="889"/>
      <c r="X296" s="889"/>
      <c r="AE296" s="889"/>
      <c r="AF296" s="889"/>
      <c r="AV296" s="889"/>
      <c r="AW296" s="889"/>
      <c r="AX296" s="889"/>
      <c r="AY296" s="889"/>
      <c r="AZ296" s="889"/>
      <c r="BA296" s="889"/>
      <c r="BC296" s="889"/>
      <c r="BE296" s="889"/>
      <c r="BF296" s="889"/>
      <c r="BG296" s="889"/>
    </row>
    <row r="297" spans="18:59" x14ac:dyDescent="0.3">
      <c r="R297" s="889"/>
      <c r="S297" s="889"/>
      <c r="W297" s="889"/>
      <c r="X297" s="889"/>
      <c r="AE297" s="889"/>
      <c r="AF297" s="889"/>
      <c r="AV297" s="889"/>
      <c r="AW297" s="889"/>
      <c r="AX297" s="889"/>
      <c r="AY297" s="889"/>
      <c r="AZ297" s="889"/>
      <c r="BA297" s="889"/>
      <c r="BC297" s="889"/>
      <c r="BE297" s="889"/>
      <c r="BF297" s="889"/>
      <c r="BG297" s="889"/>
    </row>
    <row r="298" spans="18:59" x14ac:dyDescent="0.3">
      <c r="R298" s="889"/>
      <c r="S298" s="889"/>
      <c r="W298" s="889"/>
      <c r="X298" s="889"/>
      <c r="AE298" s="889"/>
      <c r="AF298" s="889"/>
      <c r="AV298" s="889"/>
      <c r="AW298" s="889"/>
      <c r="AX298" s="889"/>
      <c r="AY298" s="889"/>
      <c r="AZ298" s="889"/>
      <c r="BA298" s="889"/>
      <c r="BC298" s="889"/>
      <c r="BE298" s="889"/>
      <c r="BF298" s="889"/>
      <c r="BG298" s="889"/>
    </row>
    <row r="299" spans="18:59" x14ac:dyDescent="0.3">
      <c r="R299" s="889"/>
      <c r="S299" s="889"/>
      <c r="W299" s="889"/>
      <c r="X299" s="889"/>
      <c r="AE299" s="889"/>
      <c r="AF299" s="889"/>
      <c r="AV299" s="889"/>
      <c r="AW299" s="889"/>
      <c r="AX299" s="889"/>
      <c r="AY299" s="889"/>
      <c r="AZ299" s="889"/>
      <c r="BA299" s="889"/>
      <c r="BC299" s="889"/>
      <c r="BE299" s="889"/>
      <c r="BF299" s="889"/>
      <c r="BG299" s="889"/>
    </row>
    <row r="300" spans="18:59" x14ac:dyDescent="0.3">
      <c r="R300" s="889"/>
      <c r="S300" s="889"/>
      <c r="W300" s="889"/>
      <c r="X300" s="889"/>
      <c r="AE300" s="889"/>
      <c r="AF300" s="889"/>
      <c r="AV300" s="889"/>
      <c r="AW300" s="889"/>
      <c r="AX300" s="889"/>
      <c r="AY300" s="889"/>
      <c r="AZ300" s="889"/>
      <c r="BA300" s="889"/>
      <c r="BC300" s="889"/>
      <c r="BE300" s="889"/>
      <c r="BF300" s="889"/>
      <c r="BG300" s="889"/>
    </row>
    <row r="301" spans="18:59" x14ac:dyDescent="0.3">
      <c r="R301" s="889"/>
      <c r="S301" s="889"/>
      <c r="W301" s="889"/>
      <c r="X301" s="889"/>
      <c r="AE301" s="889"/>
      <c r="AF301" s="889"/>
      <c r="AV301" s="889"/>
      <c r="AW301" s="889"/>
      <c r="AX301" s="889"/>
      <c r="AY301" s="889"/>
      <c r="AZ301" s="889"/>
      <c r="BA301" s="889"/>
      <c r="BC301" s="889"/>
      <c r="BE301" s="889"/>
      <c r="BF301" s="889"/>
      <c r="BG301" s="889"/>
    </row>
    <row r="302" spans="18:59" x14ac:dyDescent="0.3">
      <c r="R302" s="889"/>
      <c r="S302" s="889"/>
      <c r="W302" s="889"/>
      <c r="X302" s="889"/>
      <c r="AE302" s="889"/>
      <c r="AF302" s="889"/>
      <c r="AV302" s="889"/>
      <c r="AW302" s="889"/>
      <c r="AX302" s="889"/>
      <c r="AY302" s="889"/>
      <c r="AZ302" s="889"/>
      <c r="BA302" s="889"/>
      <c r="BC302" s="889"/>
      <c r="BE302" s="889"/>
      <c r="BF302" s="889"/>
      <c r="BG302" s="889"/>
    </row>
    <row r="303" spans="18:59" x14ac:dyDescent="0.3">
      <c r="R303" s="889"/>
      <c r="S303" s="889"/>
      <c r="W303" s="889"/>
      <c r="X303" s="889"/>
      <c r="AE303" s="889"/>
      <c r="AF303" s="889"/>
      <c r="AV303" s="889"/>
      <c r="AW303" s="889"/>
      <c r="AX303" s="889"/>
      <c r="AY303" s="889"/>
      <c r="AZ303" s="889"/>
      <c r="BA303" s="889"/>
      <c r="BC303" s="889"/>
      <c r="BE303" s="889"/>
      <c r="BF303" s="889"/>
      <c r="BG303" s="889"/>
    </row>
    <row r="304" spans="18:59" x14ac:dyDescent="0.3">
      <c r="R304" s="889"/>
      <c r="S304" s="889"/>
      <c r="W304" s="889"/>
      <c r="X304" s="889"/>
      <c r="AE304" s="889"/>
      <c r="AF304" s="889"/>
      <c r="AV304" s="889"/>
      <c r="AW304" s="889"/>
      <c r="AX304" s="889"/>
      <c r="AY304" s="889"/>
      <c r="AZ304" s="889"/>
      <c r="BA304" s="889"/>
      <c r="BC304" s="889"/>
      <c r="BE304" s="889"/>
      <c r="BF304" s="889"/>
      <c r="BG304" s="889"/>
    </row>
    <row r="305" spans="18:59" x14ac:dyDescent="0.3">
      <c r="R305" s="889"/>
      <c r="S305" s="889"/>
      <c r="W305" s="889"/>
      <c r="X305" s="889"/>
      <c r="AE305" s="889"/>
      <c r="AF305" s="889"/>
      <c r="AV305" s="889"/>
      <c r="AW305" s="889"/>
      <c r="AX305" s="889"/>
      <c r="AY305" s="889"/>
      <c r="AZ305" s="889"/>
      <c r="BA305" s="889"/>
      <c r="BC305" s="889"/>
      <c r="BE305" s="889"/>
      <c r="BF305" s="889"/>
      <c r="BG305" s="889"/>
    </row>
    <row r="306" spans="18:59" x14ac:dyDescent="0.3">
      <c r="R306" s="889"/>
      <c r="S306" s="889"/>
      <c r="W306" s="889"/>
      <c r="X306" s="889"/>
      <c r="AE306" s="889"/>
      <c r="AF306" s="889"/>
      <c r="AV306" s="889"/>
      <c r="AW306" s="889"/>
      <c r="AX306" s="889"/>
      <c r="AY306" s="889"/>
      <c r="AZ306" s="889"/>
      <c r="BA306" s="889"/>
      <c r="BC306" s="889"/>
      <c r="BE306" s="889"/>
      <c r="BF306" s="889"/>
      <c r="BG306" s="889"/>
    </row>
    <row r="307" spans="18:59" x14ac:dyDescent="0.3">
      <c r="R307" s="889"/>
      <c r="S307" s="889"/>
      <c r="W307" s="889"/>
      <c r="X307" s="889"/>
      <c r="AE307" s="889"/>
      <c r="AF307" s="889"/>
      <c r="AV307" s="889"/>
      <c r="AW307" s="889"/>
      <c r="AX307" s="889"/>
      <c r="AY307" s="889"/>
      <c r="AZ307" s="889"/>
      <c r="BA307" s="889"/>
      <c r="BC307" s="889"/>
      <c r="BE307" s="889"/>
      <c r="BF307" s="889"/>
      <c r="BG307" s="889"/>
    </row>
    <row r="308" spans="18:59" x14ac:dyDescent="0.3">
      <c r="R308" s="889"/>
      <c r="S308" s="889"/>
      <c r="W308" s="889"/>
      <c r="X308" s="889"/>
      <c r="AE308" s="889"/>
      <c r="AF308" s="889"/>
      <c r="AV308" s="889"/>
      <c r="AW308" s="889"/>
      <c r="AX308" s="889"/>
      <c r="AY308" s="889"/>
      <c r="AZ308" s="889"/>
      <c r="BA308" s="889"/>
      <c r="BC308" s="889"/>
      <c r="BE308" s="889"/>
      <c r="BF308" s="889"/>
      <c r="BG308" s="889"/>
    </row>
    <row r="309" spans="18:59" x14ac:dyDescent="0.3">
      <c r="R309" s="889"/>
      <c r="S309" s="889"/>
      <c r="W309" s="889"/>
      <c r="X309" s="889"/>
      <c r="AE309" s="889"/>
      <c r="AF309" s="889"/>
      <c r="AV309" s="889"/>
      <c r="AW309" s="889"/>
      <c r="AX309" s="889"/>
      <c r="AY309" s="889"/>
      <c r="AZ309" s="889"/>
      <c r="BA309" s="889"/>
      <c r="BC309" s="889"/>
      <c r="BE309" s="889"/>
      <c r="BF309" s="889"/>
      <c r="BG309" s="889"/>
    </row>
    <row r="310" spans="18:59" x14ac:dyDescent="0.3">
      <c r="R310" s="889"/>
      <c r="S310" s="889"/>
      <c r="W310" s="889"/>
      <c r="X310" s="889"/>
      <c r="AE310" s="889"/>
      <c r="AF310" s="889"/>
      <c r="AV310" s="889"/>
      <c r="AW310" s="889"/>
      <c r="AX310" s="889"/>
      <c r="AY310" s="889"/>
      <c r="AZ310" s="889"/>
      <c r="BA310" s="889"/>
      <c r="BC310" s="889"/>
      <c r="BE310" s="889"/>
      <c r="BF310" s="889"/>
      <c r="BG310" s="889"/>
    </row>
    <row r="311" spans="18:59" x14ac:dyDescent="0.3">
      <c r="R311" s="889"/>
      <c r="S311" s="889"/>
      <c r="W311" s="889"/>
      <c r="X311" s="889"/>
      <c r="AE311" s="889"/>
      <c r="AF311" s="889"/>
      <c r="AV311" s="889"/>
      <c r="AW311" s="889"/>
      <c r="AX311" s="889"/>
      <c r="AY311" s="889"/>
      <c r="AZ311" s="889"/>
      <c r="BA311" s="889"/>
      <c r="BC311" s="889"/>
      <c r="BE311" s="889"/>
      <c r="BF311" s="889"/>
      <c r="BG311" s="889"/>
    </row>
    <row r="312" spans="18:59" x14ac:dyDescent="0.3">
      <c r="R312" s="889"/>
      <c r="S312" s="889"/>
      <c r="W312" s="889"/>
      <c r="X312" s="889"/>
      <c r="AE312" s="889"/>
      <c r="AF312" s="889"/>
      <c r="AV312" s="889"/>
      <c r="AW312" s="889"/>
      <c r="AX312" s="889"/>
      <c r="AY312" s="889"/>
      <c r="AZ312" s="889"/>
      <c r="BA312" s="889"/>
      <c r="BC312" s="889"/>
      <c r="BE312" s="889"/>
      <c r="BF312" s="889"/>
      <c r="BG312" s="889"/>
    </row>
    <row r="313" spans="18:59" x14ac:dyDescent="0.3">
      <c r="R313" s="889"/>
      <c r="S313" s="889"/>
      <c r="W313" s="889"/>
      <c r="X313" s="889"/>
      <c r="AE313" s="889"/>
      <c r="AF313" s="889"/>
      <c r="AV313" s="889"/>
      <c r="AW313" s="889"/>
      <c r="AX313" s="889"/>
      <c r="AY313" s="889"/>
      <c r="AZ313" s="889"/>
      <c r="BA313" s="889"/>
      <c r="BC313" s="889"/>
      <c r="BE313" s="889"/>
      <c r="BF313" s="889"/>
      <c r="BG313" s="889"/>
    </row>
    <row r="314" spans="18:59" x14ac:dyDescent="0.3">
      <c r="R314" s="889"/>
      <c r="S314" s="889"/>
      <c r="W314" s="889"/>
      <c r="X314" s="889"/>
      <c r="AE314" s="889"/>
      <c r="AF314" s="889"/>
      <c r="AV314" s="889"/>
      <c r="AW314" s="889"/>
      <c r="AX314" s="889"/>
      <c r="AY314" s="889"/>
      <c r="AZ314" s="889"/>
      <c r="BA314" s="889"/>
      <c r="BC314" s="889"/>
      <c r="BE314" s="889"/>
      <c r="BF314" s="889"/>
      <c r="BG314" s="889"/>
    </row>
    <row r="315" spans="18:59" x14ac:dyDescent="0.3">
      <c r="R315" s="889"/>
      <c r="S315" s="889"/>
      <c r="W315" s="889"/>
      <c r="X315" s="889"/>
      <c r="AE315" s="889"/>
      <c r="AF315" s="889"/>
      <c r="AV315" s="889"/>
      <c r="AW315" s="889"/>
      <c r="AX315" s="889"/>
      <c r="AY315" s="889"/>
      <c r="AZ315" s="889"/>
      <c r="BA315" s="889"/>
      <c r="BC315" s="889"/>
      <c r="BE315" s="889"/>
      <c r="BF315" s="889"/>
      <c r="BG315" s="889"/>
    </row>
    <row r="316" spans="18:59" x14ac:dyDescent="0.3">
      <c r="R316" s="889"/>
      <c r="S316" s="889"/>
      <c r="W316" s="889"/>
      <c r="X316" s="889"/>
      <c r="AE316" s="889"/>
      <c r="AF316" s="889"/>
      <c r="AV316" s="889"/>
      <c r="AW316" s="889"/>
      <c r="AX316" s="889"/>
      <c r="AY316" s="889"/>
      <c r="AZ316" s="889"/>
      <c r="BA316" s="889"/>
      <c r="BC316" s="889"/>
      <c r="BE316" s="889"/>
      <c r="BF316" s="889"/>
      <c r="BG316" s="889"/>
    </row>
    <row r="317" spans="18:59" x14ac:dyDescent="0.3">
      <c r="R317" s="889"/>
      <c r="S317" s="889"/>
      <c r="W317" s="889"/>
      <c r="X317" s="889"/>
      <c r="AE317" s="889"/>
      <c r="AF317" s="889"/>
      <c r="AV317" s="889"/>
      <c r="AW317" s="889"/>
      <c r="AX317" s="889"/>
      <c r="AY317" s="889"/>
      <c r="AZ317" s="889"/>
      <c r="BA317" s="889"/>
      <c r="BC317" s="889"/>
      <c r="BE317" s="889"/>
      <c r="BF317" s="889"/>
      <c r="BG317" s="889"/>
    </row>
    <row r="318" spans="18:59" x14ac:dyDescent="0.3">
      <c r="R318" s="889"/>
      <c r="S318" s="889"/>
      <c r="W318" s="889"/>
      <c r="X318" s="889"/>
      <c r="AE318" s="889"/>
      <c r="AF318" s="889"/>
      <c r="AV318" s="889"/>
      <c r="AW318" s="889"/>
      <c r="AX318" s="889"/>
      <c r="AY318" s="889"/>
      <c r="AZ318" s="889"/>
      <c r="BA318" s="889"/>
      <c r="BC318" s="889"/>
      <c r="BE318" s="889"/>
      <c r="BF318" s="889"/>
      <c r="BG318" s="889"/>
    </row>
    <row r="319" spans="18:59" x14ac:dyDescent="0.3">
      <c r="R319" s="889"/>
      <c r="S319" s="889"/>
      <c r="W319" s="889"/>
      <c r="X319" s="889"/>
      <c r="AE319" s="889"/>
      <c r="AF319" s="889"/>
      <c r="AV319" s="889"/>
      <c r="AW319" s="889"/>
      <c r="AX319" s="889"/>
      <c r="AY319" s="889"/>
      <c r="AZ319" s="889"/>
      <c r="BA319" s="889"/>
      <c r="BC319" s="889"/>
      <c r="BE319" s="889"/>
      <c r="BF319" s="889"/>
      <c r="BG319" s="889"/>
    </row>
    <row r="320" spans="18:59" x14ac:dyDescent="0.3">
      <c r="R320" s="889"/>
      <c r="S320" s="889"/>
      <c r="W320" s="889"/>
      <c r="X320" s="889"/>
      <c r="AE320" s="889"/>
      <c r="AF320" s="889"/>
      <c r="AV320" s="889"/>
      <c r="AW320" s="889"/>
      <c r="AX320" s="889"/>
      <c r="AY320" s="889"/>
      <c r="AZ320" s="889"/>
      <c r="BA320" s="889"/>
      <c r="BC320" s="889"/>
      <c r="BE320" s="889"/>
      <c r="BF320" s="889"/>
      <c r="BG320" s="889"/>
    </row>
    <row r="321" spans="18:59" x14ac:dyDescent="0.3">
      <c r="R321" s="889"/>
      <c r="S321" s="889"/>
      <c r="W321" s="889"/>
      <c r="X321" s="889"/>
      <c r="AE321" s="889"/>
      <c r="AF321" s="889"/>
      <c r="AV321" s="889"/>
      <c r="AW321" s="889"/>
      <c r="AX321" s="889"/>
      <c r="AY321" s="889"/>
      <c r="AZ321" s="889"/>
      <c r="BA321" s="889"/>
      <c r="BC321" s="889"/>
      <c r="BE321" s="889"/>
      <c r="BF321" s="889"/>
      <c r="BG321" s="889"/>
    </row>
    <row r="322" spans="18:59" x14ac:dyDescent="0.3">
      <c r="R322" s="889"/>
      <c r="S322" s="889"/>
      <c r="W322" s="889"/>
      <c r="X322" s="889"/>
      <c r="AE322" s="889"/>
      <c r="AF322" s="889"/>
      <c r="AV322" s="889"/>
      <c r="AW322" s="889"/>
      <c r="AX322" s="889"/>
      <c r="AY322" s="889"/>
      <c r="AZ322" s="889"/>
      <c r="BA322" s="889"/>
      <c r="BC322" s="889"/>
      <c r="BE322" s="889"/>
      <c r="BF322" s="889"/>
      <c r="BG322" s="889"/>
    </row>
    <row r="323" spans="18:59" x14ac:dyDescent="0.3">
      <c r="R323" s="889"/>
      <c r="S323" s="889"/>
      <c r="W323" s="889"/>
      <c r="X323" s="889"/>
      <c r="AE323" s="889"/>
      <c r="AF323" s="889"/>
      <c r="AV323" s="889"/>
      <c r="AW323" s="889"/>
      <c r="AX323" s="889"/>
      <c r="AY323" s="889"/>
      <c r="AZ323" s="889"/>
      <c r="BA323" s="889"/>
      <c r="BC323" s="889"/>
      <c r="BE323" s="889"/>
      <c r="BF323" s="889"/>
      <c r="BG323" s="889"/>
    </row>
    <row r="324" spans="18:59" x14ac:dyDescent="0.3">
      <c r="R324" s="889"/>
      <c r="S324" s="889"/>
      <c r="W324" s="889"/>
      <c r="X324" s="889"/>
      <c r="AE324" s="889"/>
      <c r="AF324" s="889"/>
      <c r="AV324" s="889"/>
      <c r="AW324" s="889"/>
      <c r="AX324" s="889"/>
      <c r="AY324" s="889"/>
      <c r="AZ324" s="889"/>
      <c r="BA324" s="889"/>
      <c r="BC324" s="889"/>
      <c r="BE324" s="889"/>
      <c r="BF324" s="889"/>
      <c r="BG324" s="889"/>
    </row>
    <row r="325" spans="18:59" x14ac:dyDescent="0.3">
      <c r="R325" s="889"/>
      <c r="S325" s="889"/>
      <c r="W325" s="889"/>
      <c r="X325" s="889"/>
      <c r="AE325" s="889"/>
      <c r="AF325" s="889"/>
      <c r="AV325" s="889"/>
      <c r="AW325" s="889"/>
      <c r="AX325" s="889"/>
      <c r="AY325" s="889"/>
      <c r="AZ325" s="889"/>
      <c r="BA325" s="889"/>
      <c r="BC325" s="889"/>
      <c r="BE325" s="889"/>
      <c r="BF325" s="889"/>
      <c r="BG325" s="889"/>
    </row>
    <row r="326" spans="18:59" x14ac:dyDescent="0.3">
      <c r="R326" s="889"/>
      <c r="S326" s="889"/>
      <c r="W326" s="889"/>
      <c r="X326" s="889"/>
      <c r="AE326" s="889"/>
      <c r="AF326" s="889"/>
      <c r="AV326" s="889"/>
      <c r="AW326" s="889"/>
      <c r="AX326" s="889"/>
      <c r="AY326" s="889"/>
      <c r="AZ326" s="889"/>
      <c r="BA326" s="889"/>
      <c r="BC326" s="889"/>
      <c r="BE326" s="889"/>
      <c r="BF326" s="889"/>
      <c r="BG326" s="889"/>
    </row>
    <row r="327" spans="18:59" x14ac:dyDescent="0.3">
      <c r="R327" s="889"/>
      <c r="S327" s="889"/>
      <c r="W327" s="889"/>
      <c r="X327" s="889"/>
      <c r="AE327" s="889"/>
      <c r="AF327" s="889"/>
      <c r="AV327" s="889"/>
      <c r="AW327" s="889"/>
      <c r="AX327" s="889"/>
      <c r="AY327" s="889"/>
      <c r="AZ327" s="889"/>
      <c r="BA327" s="889"/>
      <c r="BC327" s="889"/>
      <c r="BE327" s="889"/>
      <c r="BF327" s="889"/>
      <c r="BG327" s="889"/>
    </row>
    <row r="328" spans="18:59" x14ac:dyDescent="0.3">
      <c r="R328" s="889"/>
      <c r="S328" s="889"/>
      <c r="W328" s="889"/>
      <c r="X328" s="889"/>
      <c r="AE328" s="889"/>
      <c r="AF328" s="889"/>
      <c r="AV328" s="889"/>
      <c r="AW328" s="889"/>
      <c r="AX328" s="889"/>
      <c r="AY328" s="889"/>
      <c r="AZ328" s="889"/>
      <c r="BA328" s="889"/>
      <c r="BC328" s="889"/>
      <c r="BE328" s="889"/>
      <c r="BF328" s="889"/>
      <c r="BG328" s="889"/>
    </row>
    <row r="329" spans="18:59" x14ac:dyDescent="0.3">
      <c r="R329" s="889"/>
      <c r="S329" s="889"/>
      <c r="W329" s="889"/>
      <c r="X329" s="889"/>
      <c r="AE329" s="889"/>
      <c r="AF329" s="889"/>
      <c r="AV329" s="889"/>
      <c r="AW329" s="889"/>
      <c r="AX329" s="889"/>
      <c r="AY329" s="889"/>
      <c r="AZ329" s="889"/>
      <c r="BA329" s="889"/>
      <c r="BC329" s="889"/>
      <c r="BE329" s="889"/>
      <c r="BF329" s="889"/>
      <c r="BG329" s="889"/>
    </row>
    <row r="330" spans="18:59" x14ac:dyDescent="0.3">
      <c r="R330" s="889"/>
      <c r="S330" s="889"/>
      <c r="W330" s="889"/>
      <c r="X330" s="889"/>
      <c r="AE330" s="889"/>
      <c r="AF330" s="889"/>
      <c r="AV330" s="889"/>
      <c r="AW330" s="889"/>
      <c r="AX330" s="889"/>
      <c r="AY330" s="889"/>
      <c r="AZ330" s="889"/>
      <c r="BA330" s="889"/>
      <c r="BC330" s="889"/>
      <c r="BE330" s="889"/>
      <c r="BF330" s="889"/>
      <c r="BG330" s="889"/>
    </row>
    <row r="331" spans="18:59" x14ac:dyDescent="0.3">
      <c r="R331" s="889"/>
      <c r="S331" s="889"/>
      <c r="W331" s="889"/>
      <c r="X331" s="889"/>
      <c r="AE331" s="889"/>
      <c r="AF331" s="889"/>
      <c r="AV331" s="889"/>
      <c r="AW331" s="889"/>
      <c r="AX331" s="889"/>
      <c r="AY331" s="889"/>
      <c r="AZ331" s="889"/>
      <c r="BA331" s="889"/>
      <c r="BC331" s="889"/>
      <c r="BE331" s="889"/>
      <c r="BF331" s="889"/>
      <c r="BG331" s="889"/>
    </row>
    <row r="332" spans="18:59" x14ac:dyDescent="0.3">
      <c r="R332" s="889"/>
      <c r="S332" s="889"/>
      <c r="W332" s="889"/>
      <c r="X332" s="889"/>
      <c r="AE332" s="889"/>
      <c r="AF332" s="889"/>
      <c r="AV332" s="889"/>
      <c r="AW332" s="889"/>
      <c r="AX332" s="889"/>
      <c r="AY332" s="889"/>
      <c r="AZ332" s="889"/>
      <c r="BA332" s="889"/>
      <c r="BC332" s="889"/>
      <c r="BE332" s="889"/>
      <c r="BF332" s="889"/>
      <c r="BG332" s="889"/>
    </row>
    <row r="333" spans="18:59" x14ac:dyDescent="0.3">
      <c r="R333" s="889"/>
      <c r="S333" s="889"/>
      <c r="W333" s="889"/>
      <c r="X333" s="889"/>
      <c r="AE333" s="889"/>
      <c r="AF333" s="889"/>
      <c r="AV333" s="889"/>
      <c r="AW333" s="889"/>
      <c r="AX333" s="889"/>
      <c r="AY333" s="889"/>
      <c r="AZ333" s="889"/>
      <c r="BA333" s="889"/>
      <c r="BC333" s="889"/>
      <c r="BE333" s="889"/>
      <c r="BF333" s="889"/>
      <c r="BG333" s="889"/>
    </row>
    <row r="334" spans="18:59" x14ac:dyDescent="0.3">
      <c r="R334" s="889"/>
      <c r="S334" s="889"/>
      <c r="W334" s="889"/>
      <c r="X334" s="889"/>
      <c r="AE334" s="889"/>
      <c r="AF334" s="889"/>
      <c r="AV334" s="889"/>
      <c r="AW334" s="889"/>
      <c r="AX334" s="889"/>
      <c r="AY334" s="889"/>
      <c r="AZ334" s="889"/>
      <c r="BA334" s="889"/>
      <c r="BC334" s="889"/>
      <c r="BE334" s="889"/>
      <c r="BF334" s="889"/>
      <c r="BG334" s="889"/>
    </row>
    <row r="335" spans="18:59" x14ac:dyDescent="0.3">
      <c r="R335" s="889"/>
      <c r="S335" s="889"/>
      <c r="W335" s="889"/>
      <c r="X335" s="889"/>
      <c r="AE335" s="889"/>
      <c r="AF335" s="889"/>
      <c r="AV335" s="889"/>
      <c r="AW335" s="889"/>
      <c r="AX335" s="889"/>
      <c r="AY335" s="889"/>
      <c r="AZ335" s="889"/>
      <c r="BA335" s="889"/>
      <c r="BC335" s="889"/>
      <c r="BE335" s="889"/>
      <c r="BF335" s="889"/>
      <c r="BG335" s="889"/>
    </row>
    <row r="336" spans="18:59" x14ac:dyDescent="0.3">
      <c r="R336" s="889"/>
      <c r="S336" s="889"/>
      <c r="W336" s="889"/>
      <c r="X336" s="889"/>
      <c r="AE336" s="889"/>
      <c r="AF336" s="889"/>
      <c r="AV336" s="889"/>
      <c r="AW336" s="889"/>
      <c r="AX336" s="889"/>
      <c r="AY336" s="889"/>
      <c r="AZ336" s="889"/>
      <c r="BA336" s="889"/>
      <c r="BC336" s="889"/>
      <c r="BE336" s="889"/>
      <c r="BF336" s="889"/>
      <c r="BG336" s="889"/>
    </row>
    <row r="337" spans="18:59" x14ac:dyDescent="0.3">
      <c r="R337" s="889"/>
      <c r="S337" s="889"/>
      <c r="W337" s="889"/>
      <c r="X337" s="889"/>
      <c r="AE337" s="889"/>
      <c r="AF337" s="889"/>
      <c r="AV337" s="889"/>
      <c r="AW337" s="889"/>
      <c r="AX337" s="889"/>
      <c r="AY337" s="889"/>
      <c r="AZ337" s="889"/>
      <c r="BA337" s="889"/>
      <c r="BC337" s="889"/>
      <c r="BE337" s="889"/>
      <c r="BF337" s="889"/>
      <c r="BG337" s="889"/>
    </row>
    <row r="338" spans="18:59" x14ac:dyDescent="0.3">
      <c r="R338" s="889"/>
      <c r="S338" s="889"/>
      <c r="W338" s="889"/>
      <c r="X338" s="889"/>
      <c r="AE338" s="889"/>
      <c r="AF338" s="889"/>
      <c r="AV338" s="889"/>
      <c r="AW338" s="889"/>
      <c r="AX338" s="889"/>
      <c r="AY338" s="889"/>
      <c r="AZ338" s="889"/>
      <c r="BA338" s="889"/>
      <c r="BC338" s="889"/>
      <c r="BE338" s="889"/>
      <c r="BF338" s="889"/>
      <c r="BG338" s="889"/>
    </row>
    <row r="339" spans="18:59" x14ac:dyDescent="0.3">
      <c r="R339" s="889"/>
      <c r="S339" s="889"/>
      <c r="W339" s="889"/>
      <c r="X339" s="889"/>
      <c r="AE339" s="889"/>
      <c r="AF339" s="889"/>
      <c r="AV339" s="889"/>
      <c r="AW339" s="889"/>
      <c r="AX339" s="889"/>
      <c r="AY339" s="889"/>
      <c r="AZ339" s="889"/>
      <c r="BA339" s="889"/>
      <c r="BC339" s="889"/>
      <c r="BE339" s="889"/>
      <c r="BF339" s="889"/>
      <c r="BG339" s="889"/>
    </row>
    <row r="340" spans="18:59" x14ac:dyDescent="0.3">
      <c r="R340" s="889"/>
      <c r="S340" s="889"/>
      <c r="W340" s="889"/>
      <c r="X340" s="889"/>
      <c r="AE340" s="889"/>
      <c r="AF340" s="889"/>
      <c r="AV340" s="889"/>
      <c r="AW340" s="889"/>
      <c r="AX340" s="889"/>
      <c r="AY340" s="889"/>
      <c r="AZ340" s="889"/>
      <c r="BA340" s="889"/>
      <c r="BC340" s="889"/>
      <c r="BE340" s="889"/>
      <c r="BF340" s="889"/>
      <c r="BG340" s="889"/>
    </row>
    <row r="341" spans="18:59" x14ac:dyDescent="0.3">
      <c r="R341" s="889"/>
      <c r="S341" s="889"/>
      <c r="W341" s="889"/>
      <c r="X341" s="889"/>
      <c r="AE341" s="889"/>
      <c r="AF341" s="889"/>
      <c r="AV341" s="889"/>
      <c r="AW341" s="889"/>
      <c r="AX341" s="889"/>
      <c r="AY341" s="889"/>
      <c r="AZ341" s="889"/>
      <c r="BA341" s="889"/>
      <c r="BC341" s="889"/>
      <c r="BE341" s="889"/>
      <c r="BF341" s="889"/>
      <c r="BG341" s="889"/>
    </row>
    <row r="342" spans="18:59" x14ac:dyDescent="0.3">
      <c r="R342" s="889"/>
      <c r="S342" s="889"/>
      <c r="W342" s="889"/>
      <c r="X342" s="889"/>
      <c r="AE342" s="889"/>
      <c r="AF342" s="889"/>
      <c r="AV342" s="889"/>
      <c r="AW342" s="889"/>
      <c r="AX342" s="889"/>
      <c r="AY342" s="889"/>
      <c r="AZ342" s="889"/>
      <c r="BA342" s="889"/>
      <c r="BC342" s="889"/>
      <c r="BE342" s="889"/>
      <c r="BF342" s="889"/>
      <c r="BG342" s="889"/>
    </row>
    <row r="343" spans="18:59" x14ac:dyDescent="0.3">
      <c r="R343" s="889"/>
      <c r="S343" s="889"/>
      <c r="W343" s="889"/>
      <c r="X343" s="889"/>
      <c r="AE343" s="889"/>
      <c r="AF343" s="889"/>
      <c r="AV343" s="889"/>
      <c r="AW343" s="889"/>
      <c r="AX343" s="889"/>
      <c r="AY343" s="889"/>
      <c r="AZ343" s="889"/>
      <c r="BA343" s="889"/>
      <c r="BC343" s="889"/>
      <c r="BE343" s="889"/>
      <c r="BF343" s="889"/>
      <c r="BG343" s="889"/>
    </row>
    <row r="344" spans="18:59" x14ac:dyDescent="0.3">
      <c r="R344" s="889"/>
      <c r="S344" s="889"/>
      <c r="W344" s="889"/>
      <c r="X344" s="889"/>
      <c r="AE344" s="889"/>
      <c r="AF344" s="889"/>
      <c r="AV344" s="889"/>
      <c r="AW344" s="889"/>
      <c r="AX344" s="889"/>
      <c r="AY344" s="889"/>
      <c r="AZ344" s="889"/>
      <c r="BA344" s="889"/>
      <c r="BC344" s="889"/>
      <c r="BE344" s="889"/>
      <c r="BF344" s="889"/>
      <c r="BG344" s="889"/>
    </row>
    <row r="345" spans="18:59" x14ac:dyDescent="0.3">
      <c r="R345" s="889"/>
      <c r="S345" s="889"/>
      <c r="W345" s="889"/>
      <c r="X345" s="889"/>
      <c r="AE345" s="889"/>
      <c r="AF345" s="889"/>
      <c r="AV345" s="889"/>
      <c r="AW345" s="889"/>
      <c r="AX345" s="889"/>
      <c r="AY345" s="889"/>
      <c r="AZ345" s="889"/>
      <c r="BA345" s="889"/>
      <c r="BC345" s="889"/>
      <c r="BE345" s="889"/>
      <c r="BF345" s="889"/>
      <c r="BG345" s="889"/>
    </row>
    <row r="346" spans="18:59" x14ac:dyDescent="0.3">
      <c r="R346" s="889"/>
      <c r="S346" s="889"/>
      <c r="W346" s="889"/>
      <c r="X346" s="889"/>
      <c r="AE346" s="889"/>
      <c r="AF346" s="889"/>
      <c r="AV346" s="889"/>
      <c r="AW346" s="889"/>
      <c r="AX346" s="889"/>
      <c r="AY346" s="889"/>
      <c r="AZ346" s="889"/>
      <c r="BA346" s="889"/>
      <c r="BC346" s="889"/>
      <c r="BE346" s="889"/>
      <c r="BF346" s="889"/>
      <c r="BG346" s="889"/>
    </row>
    <row r="347" spans="18:59" x14ac:dyDescent="0.3">
      <c r="R347" s="889"/>
      <c r="S347" s="889"/>
      <c r="W347" s="889"/>
      <c r="X347" s="889"/>
      <c r="AE347" s="889"/>
      <c r="AF347" s="889"/>
      <c r="AV347" s="889"/>
      <c r="AW347" s="889"/>
      <c r="AX347" s="889"/>
      <c r="AY347" s="889"/>
      <c r="AZ347" s="889"/>
      <c r="BA347" s="889"/>
      <c r="BC347" s="889"/>
      <c r="BE347" s="889"/>
      <c r="BF347" s="889"/>
      <c r="BG347" s="889"/>
    </row>
    <row r="348" spans="18:59" x14ac:dyDescent="0.3">
      <c r="R348" s="889"/>
      <c r="S348" s="889"/>
      <c r="W348" s="889"/>
      <c r="X348" s="889"/>
      <c r="AE348" s="889"/>
      <c r="AF348" s="889"/>
      <c r="AV348" s="889"/>
      <c r="AW348" s="889"/>
      <c r="AX348" s="889"/>
      <c r="AY348" s="889"/>
      <c r="AZ348" s="889"/>
      <c r="BA348" s="889"/>
      <c r="BC348" s="889"/>
      <c r="BE348" s="889"/>
      <c r="BF348" s="889"/>
      <c r="BG348" s="889"/>
    </row>
    <row r="349" spans="18:59" x14ac:dyDescent="0.3">
      <c r="R349" s="889"/>
      <c r="S349" s="889"/>
      <c r="W349" s="889"/>
      <c r="X349" s="889"/>
      <c r="AE349" s="889"/>
      <c r="AF349" s="889"/>
      <c r="AV349" s="889"/>
      <c r="AW349" s="889"/>
      <c r="AX349" s="889"/>
      <c r="AY349" s="889"/>
      <c r="AZ349" s="889"/>
      <c r="BA349" s="889"/>
      <c r="BC349" s="889"/>
      <c r="BE349" s="889"/>
      <c r="BF349" s="889"/>
      <c r="BG349" s="889"/>
    </row>
    <row r="350" spans="18:59" x14ac:dyDescent="0.3">
      <c r="R350" s="889"/>
      <c r="S350" s="889"/>
      <c r="W350" s="889"/>
      <c r="X350" s="889"/>
      <c r="AE350" s="889"/>
      <c r="AF350" s="889"/>
      <c r="AV350" s="889"/>
      <c r="AW350" s="889"/>
      <c r="AX350" s="889"/>
      <c r="AY350" s="889"/>
      <c r="AZ350" s="889"/>
      <c r="BA350" s="889"/>
      <c r="BC350" s="889"/>
      <c r="BE350" s="889"/>
      <c r="BF350" s="889"/>
      <c r="BG350" s="889"/>
    </row>
    <row r="351" spans="18:59" x14ac:dyDescent="0.3">
      <c r="R351" s="889"/>
      <c r="S351" s="889"/>
      <c r="W351" s="889"/>
      <c r="X351" s="889"/>
      <c r="AE351" s="889"/>
      <c r="AF351" s="889"/>
      <c r="AV351" s="889"/>
      <c r="AW351" s="889"/>
      <c r="AX351" s="889"/>
      <c r="AY351" s="889"/>
      <c r="AZ351" s="889"/>
      <c r="BA351" s="889"/>
      <c r="BC351" s="889"/>
      <c r="BE351" s="889"/>
      <c r="BF351" s="889"/>
      <c r="BG351" s="889"/>
    </row>
    <row r="352" spans="18:59" x14ac:dyDescent="0.3">
      <c r="R352" s="889"/>
      <c r="S352" s="889"/>
      <c r="W352" s="889"/>
      <c r="X352" s="889"/>
      <c r="AE352" s="889"/>
      <c r="AF352" s="889"/>
      <c r="AV352" s="889"/>
      <c r="AW352" s="889"/>
      <c r="AX352" s="889"/>
      <c r="AY352" s="889"/>
      <c r="AZ352" s="889"/>
      <c r="BA352" s="889"/>
      <c r="BC352" s="889"/>
      <c r="BE352" s="889"/>
      <c r="BF352" s="889"/>
      <c r="BG352" s="889"/>
    </row>
    <row r="353" spans="18:59" x14ac:dyDescent="0.3">
      <c r="R353" s="889"/>
      <c r="S353" s="889"/>
      <c r="W353" s="889"/>
      <c r="X353" s="889"/>
      <c r="AE353" s="889"/>
      <c r="AF353" s="889"/>
      <c r="AV353" s="889"/>
      <c r="AW353" s="889"/>
      <c r="AX353" s="889"/>
      <c r="AY353" s="889"/>
      <c r="AZ353" s="889"/>
      <c r="BA353" s="889"/>
      <c r="BC353" s="889"/>
      <c r="BE353" s="889"/>
      <c r="BF353" s="889"/>
      <c r="BG353" s="889"/>
    </row>
    <row r="354" spans="18:59" x14ac:dyDescent="0.3">
      <c r="R354" s="889"/>
      <c r="S354" s="889"/>
      <c r="W354" s="889"/>
      <c r="X354" s="889"/>
      <c r="AE354" s="889"/>
      <c r="AF354" s="889"/>
      <c r="AV354" s="889"/>
      <c r="AW354" s="889"/>
      <c r="AX354" s="889"/>
      <c r="AY354" s="889"/>
      <c r="AZ354" s="889"/>
      <c r="BA354" s="889"/>
      <c r="BC354" s="889"/>
      <c r="BE354" s="889"/>
      <c r="BF354" s="889"/>
      <c r="BG354" s="889"/>
    </row>
    <row r="355" spans="18:59" x14ac:dyDescent="0.3">
      <c r="R355" s="889"/>
      <c r="S355" s="889"/>
      <c r="W355" s="889"/>
      <c r="X355" s="889"/>
      <c r="AE355" s="889"/>
      <c r="AF355" s="889"/>
      <c r="AV355" s="889"/>
      <c r="AW355" s="889"/>
      <c r="AX355" s="889"/>
      <c r="AY355" s="889"/>
      <c r="AZ355" s="889"/>
      <c r="BA355" s="889"/>
      <c r="BC355" s="889"/>
      <c r="BE355" s="889"/>
      <c r="BF355" s="889"/>
      <c r="BG355" s="889"/>
    </row>
    <row r="356" spans="18:59" x14ac:dyDescent="0.3">
      <c r="R356" s="889"/>
      <c r="S356" s="889"/>
      <c r="W356" s="889"/>
      <c r="X356" s="889"/>
      <c r="AE356" s="889"/>
      <c r="AF356" s="889"/>
      <c r="AV356" s="889"/>
      <c r="AW356" s="889"/>
      <c r="AX356" s="889"/>
      <c r="AY356" s="889"/>
      <c r="AZ356" s="889"/>
      <c r="BA356" s="889"/>
      <c r="BC356" s="889"/>
      <c r="BE356" s="889"/>
      <c r="BF356" s="889"/>
      <c r="BG356" s="889"/>
    </row>
    <row r="357" spans="18:59" x14ac:dyDescent="0.3">
      <c r="R357" s="889"/>
      <c r="S357" s="889"/>
      <c r="W357" s="889"/>
      <c r="X357" s="889"/>
      <c r="AE357" s="889"/>
      <c r="AF357" s="889"/>
      <c r="AV357" s="889"/>
      <c r="AW357" s="889"/>
      <c r="AX357" s="889"/>
      <c r="AY357" s="889"/>
      <c r="AZ357" s="889"/>
      <c r="BA357" s="889"/>
      <c r="BC357" s="889"/>
      <c r="BE357" s="889"/>
      <c r="BF357" s="889"/>
      <c r="BG357" s="889"/>
    </row>
    <row r="358" spans="18:59" x14ac:dyDescent="0.3">
      <c r="R358" s="889"/>
      <c r="S358" s="889"/>
      <c r="W358" s="889"/>
      <c r="X358" s="889"/>
      <c r="AE358" s="889"/>
      <c r="AF358" s="889"/>
      <c r="AV358" s="889"/>
      <c r="AW358" s="889"/>
      <c r="AX358" s="889"/>
      <c r="AY358" s="889"/>
      <c r="AZ358" s="889"/>
      <c r="BA358" s="889"/>
      <c r="BC358" s="889"/>
      <c r="BE358" s="889"/>
      <c r="BF358" s="889"/>
      <c r="BG358" s="889"/>
    </row>
    <row r="359" spans="18:59" x14ac:dyDescent="0.3">
      <c r="R359" s="889"/>
      <c r="S359" s="889"/>
      <c r="W359" s="889"/>
      <c r="X359" s="889"/>
      <c r="AE359" s="889"/>
      <c r="AF359" s="889"/>
      <c r="AV359" s="889"/>
      <c r="AW359" s="889"/>
      <c r="AX359" s="889"/>
      <c r="AY359" s="889"/>
      <c r="AZ359" s="889"/>
      <c r="BA359" s="889"/>
      <c r="BC359" s="889"/>
      <c r="BE359" s="889"/>
      <c r="BF359" s="889"/>
      <c r="BG359" s="889"/>
    </row>
    <row r="360" spans="18:59" x14ac:dyDescent="0.3">
      <c r="R360" s="889"/>
      <c r="S360" s="889"/>
      <c r="W360" s="889"/>
      <c r="X360" s="889"/>
      <c r="AE360" s="889"/>
      <c r="AF360" s="889"/>
      <c r="AV360" s="889"/>
      <c r="AW360" s="889"/>
      <c r="AX360" s="889"/>
      <c r="AY360" s="889"/>
      <c r="AZ360" s="889"/>
      <c r="BA360" s="889"/>
      <c r="BC360" s="889"/>
      <c r="BE360" s="889"/>
      <c r="BF360" s="889"/>
      <c r="BG360" s="889"/>
    </row>
    <row r="361" spans="18:59" x14ac:dyDescent="0.3">
      <c r="R361" s="889"/>
      <c r="S361" s="889"/>
      <c r="W361" s="889"/>
      <c r="X361" s="889"/>
      <c r="AE361" s="889"/>
      <c r="AF361" s="889"/>
      <c r="AV361" s="889"/>
      <c r="AW361" s="889"/>
      <c r="AX361" s="889"/>
      <c r="AY361" s="889"/>
      <c r="AZ361" s="889"/>
      <c r="BA361" s="889"/>
      <c r="BC361" s="889"/>
      <c r="BE361" s="889"/>
      <c r="BF361" s="889"/>
      <c r="BG361" s="889"/>
    </row>
    <row r="362" spans="18:59" x14ac:dyDescent="0.3">
      <c r="R362" s="889"/>
      <c r="S362" s="889"/>
      <c r="W362" s="889"/>
      <c r="X362" s="889"/>
      <c r="AE362" s="889"/>
      <c r="AF362" s="889"/>
      <c r="AV362" s="889"/>
      <c r="AW362" s="889"/>
      <c r="AX362" s="889"/>
      <c r="AY362" s="889"/>
      <c r="AZ362" s="889"/>
      <c r="BA362" s="889"/>
      <c r="BC362" s="889"/>
      <c r="BE362" s="889"/>
      <c r="BF362" s="889"/>
      <c r="BG362" s="889"/>
    </row>
    <row r="363" spans="18:59" x14ac:dyDescent="0.3">
      <c r="R363" s="889"/>
      <c r="S363" s="889"/>
      <c r="W363" s="889"/>
      <c r="X363" s="889"/>
      <c r="AE363" s="889"/>
      <c r="AF363" s="889"/>
      <c r="AV363" s="889"/>
      <c r="AW363" s="889"/>
      <c r="AX363" s="889"/>
      <c r="AY363" s="889"/>
      <c r="AZ363" s="889"/>
      <c r="BA363" s="889"/>
      <c r="BC363" s="889"/>
      <c r="BE363" s="889"/>
      <c r="BF363" s="889"/>
      <c r="BG363" s="889"/>
    </row>
    <row r="364" spans="18:59" x14ac:dyDescent="0.3">
      <c r="R364" s="889"/>
      <c r="S364" s="889"/>
      <c r="W364" s="889"/>
      <c r="X364" s="889"/>
      <c r="AE364" s="889"/>
      <c r="AF364" s="889"/>
      <c r="AV364" s="889"/>
      <c r="AW364" s="889"/>
      <c r="AX364" s="889"/>
      <c r="AY364" s="889"/>
      <c r="AZ364" s="889"/>
      <c r="BA364" s="889"/>
      <c r="BC364" s="889"/>
      <c r="BE364" s="889"/>
      <c r="BF364" s="889"/>
      <c r="BG364" s="889"/>
    </row>
    <row r="365" spans="18:59" x14ac:dyDescent="0.3">
      <c r="R365" s="889"/>
      <c r="S365" s="889"/>
      <c r="W365" s="889"/>
      <c r="X365" s="889"/>
      <c r="AE365" s="889"/>
      <c r="AF365" s="889"/>
      <c r="AV365" s="889"/>
      <c r="AW365" s="889"/>
      <c r="AX365" s="889"/>
      <c r="AY365" s="889"/>
      <c r="AZ365" s="889"/>
      <c r="BA365" s="889"/>
      <c r="BC365" s="889"/>
      <c r="BE365" s="889"/>
      <c r="BF365" s="889"/>
      <c r="BG365" s="889"/>
    </row>
    <row r="366" spans="18:59" x14ac:dyDescent="0.3">
      <c r="R366" s="889"/>
      <c r="S366" s="889"/>
      <c r="W366" s="889"/>
      <c r="X366" s="889"/>
      <c r="AE366" s="889"/>
      <c r="AF366" s="889"/>
      <c r="AV366" s="889"/>
      <c r="AW366" s="889"/>
      <c r="AX366" s="889"/>
      <c r="AY366" s="889"/>
      <c r="AZ366" s="889"/>
      <c r="BA366" s="889"/>
      <c r="BC366" s="889"/>
      <c r="BE366" s="889"/>
      <c r="BF366" s="889"/>
      <c r="BG366" s="889"/>
    </row>
    <row r="367" spans="18:59" x14ac:dyDescent="0.3">
      <c r="R367" s="889"/>
      <c r="S367" s="889"/>
      <c r="W367" s="889"/>
      <c r="X367" s="889"/>
      <c r="AE367" s="889"/>
      <c r="AF367" s="889"/>
      <c r="AV367" s="889"/>
      <c r="AW367" s="889"/>
      <c r="AX367" s="889"/>
      <c r="AY367" s="889"/>
      <c r="AZ367" s="889"/>
      <c r="BA367" s="889"/>
      <c r="BC367" s="889"/>
      <c r="BE367" s="889"/>
      <c r="BF367" s="889"/>
      <c r="BG367" s="889"/>
    </row>
    <row r="368" spans="18:59" x14ac:dyDescent="0.3">
      <c r="R368" s="889"/>
      <c r="S368" s="889"/>
      <c r="W368" s="889"/>
      <c r="X368" s="889"/>
      <c r="AE368" s="889"/>
      <c r="AF368" s="889"/>
      <c r="AV368" s="889"/>
      <c r="AW368" s="889"/>
      <c r="AX368" s="889"/>
      <c r="AY368" s="889"/>
      <c r="AZ368" s="889"/>
      <c r="BA368" s="889"/>
      <c r="BC368" s="889"/>
      <c r="BE368" s="889"/>
      <c r="BF368" s="889"/>
      <c r="BG368" s="889"/>
    </row>
    <row r="369" spans="18:59" x14ac:dyDescent="0.3">
      <c r="R369" s="889"/>
      <c r="S369" s="889"/>
      <c r="W369" s="889"/>
      <c r="X369" s="889"/>
      <c r="AE369" s="889"/>
      <c r="AF369" s="889"/>
      <c r="AV369" s="889"/>
      <c r="AW369" s="889"/>
      <c r="AX369" s="889"/>
      <c r="AY369" s="889"/>
      <c r="AZ369" s="889"/>
      <c r="BA369" s="889"/>
      <c r="BC369" s="889"/>
      <c r="BE369" s="889"/>
      <c r="BF369" s="889"/>
      <c r="BG369" s="889"/>
    </row>
    <row r="370" spans="18:59" x14ac:dyDescent="0.3">
      <c r="R370" s="889"/>
      <c r="S370" s="889"/>
      <c r="W370" s="889"/>
      <c r="X370" s="889"/>
      <c r="AE370" s="889"/>
      <c r="AF370" s="889"/>
      <c r="AV370" s="889"/>
      <c r="AW370" s="889"/>
      <c r="AX370" s="889"/>
      <c r="AY370" s="889"/>
      <c r="AZ370" s="889"/>
      <c r="BA370" s="889"/>
      <c r="BC370" s="889"/>
      <c r="BE370" s="889"/>
      <c r="BF370" s="889"/>
      <c r="BG370" s="889"/>
    </row>
    <row r="371" spans="18:59" x14ac:dyDescent="0.3">
      <c r="R371" s="889"/>
      <c r="S371" s="889"/>
      <c r="W371" s="889"/>
      <c r="X371" s="889"/>
      <c r="AE371" s="889"/>
      <c r="AF371" s="889"/>
      <c r="AV371" s="889"/>
      <c r="AW371" s="889"/>
      <c r="AX371" s="889"/>
      <c r="AY371" s="889"/>
      <c r="AZ371" s="889"/>
      <c r="BA371" s="889"/>
      <c r="BC371" s="889"/>
      <c r="BE371" s="889"/>
      <c r="BF371" s="889"/>
      <c r="BG371" s="889"/>
    </row>
    <row r="372" spans="18:59" x14ac:dyDescent="0.3">
      <c r="R372" s="889"/>
      <c r="S372" s="889"/>
      <c r="W372" s="889"/>
      <c r="X372" s="889"/>
      <c r="AE372" s="889"/>
      <c r="AF372" s="889"/>
      <c r="AV372" s="889"/>
      <c r="AW372" s="889"/>
      <c r="AX372" s="889"/>
      <c r="AY372" s="889"/>
      <c r="AZ372" s="889"/>
      <c r="BA372" s="889"/>
      <c r="BC372" s="889"/>
      <c r="BE372" s="889"/>
      <c r="BF372" s="889"/>
      <c r="BG372" s="889"/>
    </row>
    <row r="373" spans="18:59" x14ac:dyDescent="0.3">
      <c r="R373" s="889"/>
      <c r="S373" s="889"/>
      <c r="W373" s="889"/>
      <c r="X373" s="889"/>
      <c r="AE373" s="889"/>
      <c r="AF373" s="889"/>
      <c r="AV373" s="889"/>
      <c r="AW373" s="889"/>
      <c r="AX373" s="889"/>
      <c r="AY373" s="889"/>
      <c r="AZ373" s="889"/>
      <c r="BA373" s="889"/>
      <c r="BC373" s="889"/>
      <c r="BE373" s="889"/>
      <c r="BF373" s="889"/>
      <c r="BG373" s="889"/>
    </row>
    <row r="374" spans="18:59" x14ac:dyDescent="0.3">
      <c r="R374" s="889"/>
      <c r="S374" s="889"/>
      <c r="W374" s="889"/>
      <c r="X374" s="889"/>
      <c r="AE374" s="889"/>
      <c r="AF374" s="889"/>
      <c r="AV374" s="889"/>
      <c r="AW374" s="889"/>
      <c r="AX374" s="889"/>
      <c r="AY374" s="889"/>
      <c r="AZ374" s="889"/>
      <c r="BA374" s="889"/>
      <c r="BC374" s="889"/>
      <c r="BE374" s="889"/>
      <c r="BF374" s="889"/>
      <c r="BG374" s="889"/>
    </row>
    <row r="375" spans="18:59" x14ac:dyDescent="0.3">
      <c r="R375" s="889"/>
      <c r="S375" s="889"/>
      <c r="W375" s="889"/>
      <c r="X375" s="889"/>
      <c r="AE375" s="889"/>
      <c r="AF375" s="889"/>
      <c r="AV375" s="889"/>
      <c r="AW375" s="889"/>
      <c r="AX375" s="889"/>
      <c r="AY375" s="889"/>
      <c r="AZ375" s="889"/>
      <c r="BA375" s="889"/>
      <c r="BC375" s="889"/>
      <c r="BE375" s="889"/>
      <c r="BF375" s="889"/>
      <c r="BG375" s="889"/>
    </row>
    <row r="376" spans="18:59" x14ac:dyDescent="0.3">
      <c r="R376" s="889"/>
      <c r="S376" s="889"/>
      <c r="W376" s="889"/>
      <c r="X376" s="889"/>
      <c r="AE376" s="889"/>
      <c r="AF376" s="889"/>
      <c r="AV376" s="889"/>
      <c r="AW376" s="889"/>
      <c r="AX376" s="889"/>
      <c r="AY376" s="889"/>
      <c r="AZ376" s="889"/>
      <c r="BA376" s="889"/>
      <c r="BC376" s="889"/>
      <c r="BE376" s="889"/>
      <c r="BF376" s="889"/>
      <c r="BG376" s="889"/>
    </row>
    <row r="377" spans="18:59" x14ac:dyDescent="0.3">
      <c r="R377" s="889"/>
      <c r="S377" s="889"/>
      <c r="W377" s="889"/>
      <c r="X377" s="889"/>
      <c r="AE377" s="889"/>
      <c r="AF377" s="889"/>
      <c r="AV377" s="889"/>
      <c r="AW377" s="889"/>
      <c r="AX377" s="889"/>
      <c r="AY377" s="889"/>
      <c r="AZ377" s="889"/>
      <c r="BA377" s="889"/>
      <c r="BC377" s="889"/>
      <c r="BE377" s="889"/>
      <c r="BF377" s="889"/>
      <c r="BG377" s="889"/>
    </row>
    <row r="378" spans="18:59" x14ac:dyDescent="0.3">
      <c r="R378" s="889"/>
      <c r="S378" s="889"/>
      <c r="W378" s="889"/>
      <c r="X378" s="889"/>
      <c r="AE378" s="889"/>
      <c r="AF378" s="889"/>
      <c r="AV378" s="889"/>
      <c r="AW378" s="889"/>
      <c r="AX378" s="889"/>
      <c r="AY378" s="889"/>
      <c r="AZ378" s="889"/>
      <c r="BA378" s="889"/>
      <c r="BC378" s="889"/>
      <c r="BE378" s="889"/>
      <c r="BF378" s="889"/>
      <c r="BG378" s="889"/>
    </row>
    <row r="379" spans="18:59" x14ac:dyDescent="0.3">
      <c r="R379" s="889"/>
      <c r="S379" s="889"/>
      <c r="W379" s="889"/>
      <c r="X379" s="889"/>
      <c r="AE379" s="889"/>
      <c r="AF379" s="889"/>
      <c r="AV379" s="889"/>
      <c r="AW379" s="889"/>
      <c r="AX379" s="889"/>
      <c r="AY379" s="889"/>
      <c r="AZ379" s="889"/>
      <c r="BA379" s="889"/>
      <c r="BC379" s="889"/>
      <c r="BE379" s="889"/>
      <c r="BF379" s="889"/>
      <c r="BG379" s="889"/>
    </row>
    <row r="380" spans="18:59" x14ac:dyDescent="0.3">
      <c r="R380" s="889"/>
      <c r="S380" s="889"/>
      <c r="W380" s="889"/>
      <c r="X380" s="889"/>
      <c r="AE380" s="889"/>
      <c r="AF380" s="889"/>
      <c r="AV380" s="889"/>
      <c r="AW380" s="889"/>
      <c r="AX380" s="889"/>
      <c r="AY380" s="889"/>
      <c r="AZ380" s="889"/>
      <c r="BA380" s="889"/>
      <c r="BC380" s="889"/>
      <c r="BE380" s="889"/>
      <c r="BF380" s="889"/>
      <c r="BG380" s="889"/>
    </row>
    <row r="381" spans="18:59" x14ac:dyDescent="0.3">
      <c r="R381" s="889"/>
      <c r="S381" s="889"/>
      <c r="W381" s="889"/>
      <c r="X381" s="889"/>
      <c r="AE381" s="889"/>
      <c r="AF381" s="889"/>
      <c r="AV381" s="889"/>
      <c r="AW381" s="889"/>
      <c r="AX381" s="889"/>
      <c r="AY381" s="889"/>
      <c r="AZ381" s="889"/>
      <c r="BA381" s="889"/>
      <c r="BC381" s="889"/>
      <c r="BE381" s="889"/>
      <c r="BF381" s="889"/>
      <c r="BG381" s="889"/>
    </row>
    <row r="382" spans="18:59" x14ac:dyDescent="0.3">
      <c r="R382" s="889"/>
      <c r="S382" s="889"/>
      <c r="W382" s="889"/>
      <c r="X382" s="889"/>
      <c r="AE382" s="889"/>
      <c r="AF382" s="889"/>
      <c r="AV382" s="889"/>
      <c r="AW382" s="889"/>
      <c r="AX382" s="889"/>
      <c r="AY382" s="889"/>
      <c r="AZ382" s="889"/>
      <c r="BA382" s="889"/>
      <c r="BC382" s="889"/>
      <c r="BE382" s="889"/>
      <c r="BF382" s="889"/>
      <c r="BG382" s="889"/>
    </row>
    <row r="383" spans="18:59" x14ac:dyDescent="0.3">
      <c r="R383" s="889"/>
      <c r="S383" s="889"/>
      <c r="W383" s="889"/>
      <c r="X383" s="889"/>
      <c r="AE383" s="889"/>
      <c r="AF383" s="889"/>
      <c r="AV383" s="889"/>
      <c r="AW383" s="889"/>
      <c r="AX383" s="889"/>
      <c r="AY383" s="889"/>
      <c r="AZ383" s="889"/>
      <c r="BA383" s="889"/>
      <c r="BC383" s="889"/>
      <c r="BE383" s="889"/>
      <c r="BF383" s="889"/>
      <c r="BG383" s="889"/>
    </row>
    <row r="384" spans="18:59" x14ac:dyDescent="0.3">
      <c r="R384" s="889"/>
      <c r="S384" s="889"/>
      <c r="W384" s="889"/>
      <c r="X384" s="889"/>
      <c r="AE384" s="889"/>
      <c r="AF384" s="889"/>
      <c r="AV384" s="889"/>
      <c r="AW384" s="889"/>
      <c r="AX384" s="889"/>
      <c r="AY384" s="889"/>
      <c r="AZ384" s="889"/>
      <c r="BA384" s="889"/>
      <c r="BC384" s="889"/>
      <c r="BE384" s="889"/>
      <c r="BF384" s="889"/>
      <c r="BG384" s="889"/>
    </row>
    <row r="385" spans="18:59" x14ac:dyDescent="0.3">
      <c r="R385" s="889"/>
      <c r="S385" s="889"/>
      <c r="W385" s="889"/>
      <c r="X385" s="889"/>
      <c r="AE385" s="889"/>
      <c r="AF385" s="889"/>
      <c r="AV385" s="889"/>
      <c r="AW385" s="889"/>
      <c r="AX385" s="889"/>
      <c r="AY385" s="889"/>
      <c r="AZ385" s="889"/>
      <c r="BA385" s="889"/>
      <c r="BC385" s="889"/>
      <c r="BE385" s="889"/>
      <c r="BF385" s="889"/>
      <c r="BG385" s="889"/>
    </row>
    <row r="386" spans="18:59" x14ac:dyDescent="0.3">
      <c r="R386" s="889"/>
      <c r="S386" s="889"/>
      <c r="W386" s="889"/>
      <c r="X386" s="889"/>
      <c r="AE386" s="889"/>
      <c r="AF386" s="889"/>
      <c r="AV386" s="889"/>
      <c r="AW386" s="889"/>
      <c r="AX386" s="889"/>
      <c r="AY386" s="889"/>
      <c r="AZ386" s="889"/>
      <c r="BA386" s="889"/>
      <c r="BC386" s="889"/>
      <c r="BE386" s="889"/>
      <c r="BF386" s="889"/>
      <c r="BG386" s="889"/>
    </row>
    <row r="387" spans="18:59" x14ac:dyDescent="0.3">
      <c r="R387" s="889"/>
      <c r="S387" s="889"/>
      <c r="W387" s="889"/>
      <c r="X387" s="889"/>
      <c r="AE387" s="889"/>
      <c r="AF387" s="889"/>
      <c r="AV387" s="889"/>
      <c r="AW387" s="889"/>
      <c r="AX387" s="889"/>
      <c r="AY387" s="889"/>
      <c r="AZ387" s="889"/>
      <c r="BA387" s="889"/>
      <c r="BC387" s="889"/>
      <c r="BE387" s="889"/>
      <c r="BF387" s="889"/>
      <c r="BG387" s="889"/>
    </row>
    <row r="388" spans="18:59" x14ac:dyDescent="0.3">
      <c r="R388" s="889"/>
      <c r="S388" s="889"/>
      <c r="W388" s="889"/>
      <c r="X388" s="889"/>
      <c r="AE388" s="889"/>
      <c r="AF388" s="889"/>
      <c r="AV388" s="889"/>
      <c r="AW388" s="889"/>
      <c r="AX388" s="889"/>
      <c r="AY388" s="889"/>
      <c r="AZ388" s="889"/>
      <c r="BA388" s="889"/>
      <c r="BC388" s="889"/>
      <c r="BE388" s="889"/>
      <c r="BF388" s="889"/>
      <c r="BG388" s="889"/>
    </row>
    <row r="389" spans="18:59" x14ac:dyDescent="0.3">
      <c r="R389" s="889"/>
      <c r="S389" s="889"/>
      <c r="W389" s="889"/>
      <c r="X389" s="889"/>
      <c r="AE389" s="889"/>
      <c r="AF389" s="889"/>
      <c r="AV389" s="889"/>
      <c r="AW389" s="889"/>
      <c r="AX389" s="889"/>
      <c r="AY389" s="889"/>
      <c r="AZ389" s="889"/>
      <c r="BA389" s="889"/>
      <c r="BC389" s="889"/>
      <c r="BE389" s="889"/>
      <c r="BF389" s="889"/>
      <c r="BG389" s="889"/>
    </row>
    <row r="390" spans="18:59" x14ac:dyDescent="0.3">
      <c r="R390" s="889"/>
      <c r="S390" s="889"/>
      <c r="W390" s="889"/>
      <c r="X390" s="889"/>
      <c r="AE390" s="889"/>
      <c r="AF390" s="889"/>
      <c r="AV390" s="889"/>
      <c r="AW390" s="889"/>
      <c r="AX390" s="889"/>
      <c r="AY390" s="889"/>
      <c r="AZ390" s="889"/>
      <c r="BA390" s="889"/>
      <c r="BC390" s="889"/>
      <c r="BE390" s="889"/>
      <c r="BF390" s="889"/>
      <c r="BG390" s="889"/>
    </row>
    <row r="391" spans="18:59" x14ac:dyDescent="0.3">
      <c r="R391" s="889"/>
      <c r="S391" s="889"/>
      <c r="W391" s="889"/>
      <c r="X391" s="889"/>
      <c r="AE391" s="889"/>
      <c r="AF391" s="889"/>
      <c r="AV391" s="889"/>
      <c r="AW391" s="889"/>
      <c r="AX391" s="889"/>
      <c r="AY391" s="889"/>
      <c r="AZ391" s="889"/>
      <c r="BA391" s="889"/>
      <c r="BC391" s="889"/>
      <c r="BE391" s="889"/>
      <c r="BF391" s="889"/>
      <c r="BG391" s="889"/>
    </row>
    <row r="392" spans="18:59" x14ac:dyDescent="0.3">
      <c r="R392" s="889"/>
      <c r="S392" s="889"/>
      <c r="W392" s="889"/>
      <c r="X392" s="889"/>
      <c r="AE392" s="889"/>
      <c r="AF392" s="889"/>
      <c r="AV392" s="889"/>
      <c r="AW392" s="889"/>
      <c r="AX392" s="889"/>
      <c r="AY392" s="889"/>
      <c r="AZ392" s="889"/>
      <c r="BA392" s="889"/>
      <c r="BC392" s="889"/>
      <c r="BE392" s="889"/>
      <c r="BF392" s="889"/>
      <c r="BG392" s="889"/>
    </row>
    <row r="393" spans="18:59" x14ac:dyDescent="0.3">
      <c r="R393" s="889"/>
      <c r="S393" s="889"/>
      <c r="W393" s="889"/>
      <c r="X393" s="889"/>
      <c r="AE393" s="889"/>
      <c r="AF393" s="889"/>
      <c r="AV393" s="889"/>
      <c r="AW393" s="889"/>
      <c r="AX393" s="889"/>
      <c r="AY393" s="889"/>
      <c r="AZ393" s="889"/>
      <c r="BA393" s="889"/>
      <c r="BC393" s="889"/>
      <c r="BE393" s="889"/>
      <c r="BF393" s="889"/>
      <c r="BG393" s="889"/>
    </row>
    <row r="394" spans="18:59" x14ac:dyDescent="0.3">
      <c r="R394" s="889"/>
      <c r="S394" s="889"/>
      <c r="W394" s="889"/>
      <c r="X394" s="889"/>
      <c r="AE394" s="889"/>
      <c r="AF394" s="889"/>
      <c r="AV394" s="889"/>
      <c r="AW394" s="889"/>
      <c r="AX394" s="889"/>
      <c r="AY394" s="889"/>
      <c r="AZ394" s="889"/>
      <c r="BA394" s="889"/>
      <c r="BC394" s="889"/>
      <c r="BE394" s="889"/>
      <c r="BF394" s="889"/>
      <c r="BG394" s="889"/>
    </row>
    <row r="395" spans="18:59" x14ac:dyDescent="0.3">
      <c r="R395" s="889"/>
      <c r="S395" s="889"/>
      <c r="W395" s="889"/>
      <c r="X395" s="889"/>
      <c r="AE395" s="889"/>
      <c r="AF395" s="889"/>
      <c r="AV395" s="889"/>
      <c r="AW395" s="889"/>
      <c r="AX395" s="889"/>
      <c r="AY395" s="889"/>
      <c r="AZ395" s="889"/>
      <c r="BA395" s="889"/>
      <c r="BC395" s="889"/>
      <c r="BE395" s="889"/>
      <c r="BF395" s="889"/>
      <c r="BG395" s="889"/>
    </row>
    <row r="396" spans="18:59" x14ac:dyDescent="0.3">
      <c r="R396" s="889"/>
      <c r="S396" s="889"/>
      <c r="W396" s="889"/>
      <c r="X396" s="889"/>
      <c r="AE396" s="889"/>
      <c r="AF396" s="889"/>
      <c r="AV396" s="889"/>
      <c r="AW396" s="889"/>
      <c r="AX396" s="889"/>
      <c r="AY396" s="889"/>
      <c r="AZ396" s="889"/>
      <c r="BA396" s="889"/>
      <c r="BC396" s="889"/>
      <c r="BE396" s="889"/>
      <c r="BF396" s="889"/>
      <c r="BG396" s="889"/>
    </row>
    <row r="397" spans="18:59" x14ac:dyDescent="0.3">
      <c r="R397" s="889"/>
      <c r="S397" s="889"/>
      <c r="W397" s="889"/>
      <c r="X397" s="889"/>
      <c r="AE397" s="889"/>
      <c r="AF397" s="889"/>
      <c r="AV397" s="889"/>
      <c r="AW397" s="889"/>
      <c r="AX397" s="889"/>
      <c r="AY397" s="889"/>
      <c r="AZ397" s="889"/>
      <c r="BA397" s="889"/>
      <c r="BC397" s="889"/>
      <c r="BE397" s="889"/>
      <c r="BF397" s="889"/>
      <c r="BG397" s="889"/>
    </row>
    <row r="398" spans="18:59" x14ac:dyDescent="0.3">
      <c r="R398" s="889"/>
      <c r="S398" s="889"/>
      <c r="W398" s="889"/>
      <c r="X398" s="889"/>
      <c r="AE398" s="889"/>
      <c r="AF398" s="889"/>
      <c r="AV398" s="889"/>
      <c r="AW398" s="889"/>
      <c r="AX398" s="889"/>
      <c r="AY398" s="889"/>
      <c r="AZ398" s="889"/>
      <c r="BA398" s="889"/>
      <c r="BC398" s="889"/>
      <c r="BE398" s="889"/>
      <c r="BF398" s="889"/>
      <c r="BG398" s="889"/>
    </row>
    <row r="399" spans="18:59" x14ac:dyDescent="0.3">
      <c r="R399" s="889"/>
      <c r="S399" s="889"/>
      <c r="W399" s="889"/>
      <c r="X399" s="889"/>
      <c r="AE399" s="889"/>
      <c r="AF399" s="889"/>
      <c r="AV399" s="889"/>
      <c r="AW399" s="889"/>
      <c r="AX399" s="889"/>
      <c r="AY399" s="889"/>
      <c r="AZ399" s="889"/>
      <c r="BA399" s="889"/>
      <c r="BC399" s="889"/>
      <c r="BE399" s="889"/>
      <c r="BF399" s="889"/>
      <c r="BG399" s="889"/>
    </row>
    <row r="400" spans="18:59" x14ac:dyDescent="0.3">
      <c r="R400" s="889"/>
      <c r="S400" s="889"/>
      <c r="W400" s="889"/>
      <c r="X400" s="889"/>
      <c r="AE400" s="889"/>
      <c r="AF400" s="889"/>
      <c r="AV400" s="889"/>
      <c r="AW400" s="889"/>
      <c r="AX400" s="889"/>
      <c r="AY400" s="889"/>
      <c r="AZ400" s="889"/>
      <c r="BA400" s="889"/>
      <c r="BC400" s="889"/>
      <c r="BE400" s="889"/>
      <c r="BF400" s="889"/>
      <c r="BG400" s="889"/>
    </row>
    <row r="401" spans="18:59" x14ac:dyDescent="0.3">
      <c r="R401" s="889"/>
      <c r="S401" s="889"/>
      <c r="W401" s="889"/>
      <c r="X401" s="889"/>
      <c r="AE401" s="889"/>
      <c r="AF401" s="889"/>
      <c r="AV401" s="889"/>
      <c r="AW401" s="889"/>
      <c r="AX401" s="889"/>
      <c r="AY401" s="889"/>
      <c r="AZ401" s="889"/>
      <c r="BA401" s="889"/>
      <c r="BC401" s="889"/>
      <c r="BE401" s="889"/>
      <c r="BF401" s="889"/>
      <c r="BG401" s="889"/>
    </row>
    <row r="402" spans="18:59" x14ac:dyDescent="0.3">
      <c r="R402" s="889"/>
      <c r="S402" s="889"/>
      <c r="W402" s="889"/>
      <c r="X402" s="889"/>
      <c r="AE402" s="889"/>
      <c r="AF402" s="889"/>
      <c r="AV402" s="889"/>
      <c r="AW402" s="889"/>
      <c r="AX402" s="889"/>
      <c r="AY402" s="889"/>
      <c r="AZ402" s="889"/>
      <c r="BA402" s="889"/>
      <c r="BC402" s="889"/>
      <c r="BE402" s="889"/>
      <c r="BF402" s="889"/>
      <c r="BG402" s="889"/>
    </row>
    <row r="403" spans="18:59" x14ac:dyDescent="0.3">
      <c r="R403" s="889"/>
      <c r="S403" s="889"/>
      <c r="W403" s="889"/>
      <c r="X403" s="889"/>
      <c r="AE403" s="889"/>
      <c r="AF403" s="889"/>
      <c r="AV403" s="889"/>
      <c r="AW403" s="889"/>
      <c r="AX403" s="889"/>
      <c r="AY403" s="889"/>
      <c r="AZ403" s="889"/>
      <c r="BA403" s="889"/>
      <c r="BC403" s="889"/>
      <c r="BE403" s="889"/>
      <c r="BF403" s="889"/>
      <c r="BG403" s="889"/>
    </row>
    <row r="404" spans="18:59" x14ac:dyDescent="0.3">
      <c r="R404" s="889"/>
      <c r="S404" s="889"/>
      <c r="W404" s="889"/>
      <c r="X404" s="889"/>
      <c r="AE404" s="889"/>
      <c r="AF404" s="889"/>
      <c r="AV404" s="889"/>
      <c r="AW404" s="889"/>
      <c r="AX404" s="889"/>
      <c r="AY404" s="889"/>
      <c r="AZ404" s="889"/>
      <c r="BA404" s="889"/>
      <c r="BC404" s="889"/>
      <c r="BE404" s="889"/>
      <c r="BF404" s="889"/>
      <c r="BG404" s="889"/>
    </row>
    <row r="405" spans="18:59" x14ac:dyDescent="0.3">
      <c r="R405" s="889"/>
      <c r="S405" s="889"/>
      <c r="W405" s="889"/>
      <c r="X405" s="889"/>
      <c r="AE405" s="889"/>
      <c r="AF405" s="889"/>
      <c r="AV405" s="889"/>
      <c r="AW405" s="889"/>
      <c r="AX405" s="889"/>
      <c r="AY405" s="889"/>
      <c r="AZ405" s="889"/>
      <c r="BA405" s="889"/>
      <c r="BC405" s="889"/>
      <c r="BE405" s="889"/>
      <c r="BF405" s="889"/>
      <c r="BG405" s="889"/>
    </row>
    <row r="406" spans="18:59" x14ac:dyDescent="0.3">
      <c r="R406" s="889"/>
      <c r="S406" s="889"/>
      <c r="W406" s="889"/>
      <c r="X406" s="889"/>
      <c r="AE406" s="889"/>
      <c r="AF406" s="889"/>
      <c r="AV406" s="889"/>
      <c r="AW406" s="889"/>
      <c r="AX406" s="889"/>
      <c r="AY406" s="889"/>
      <c r="AZ406" s="889"/>
      <c r="BA406" s="889"/>
      <c r="BC406" s="889"/>
      <c r="BE406" s="889"/>
      <c r="BF406" s="889"/>
      <c r="BG406" s="889"/>
    </row>
    <row r="407" spans="18:59" x14ac:dyDescent="0.3">
      <c r="R407" s="889"/>
      <c r="S407" s="889"/>
      <c r="W407" s="889"/>
      <c r="X407" s="889"/>
      <c r="AE407" s="889"/>
      <c r="AF407" s="889"/>
      <c r="AV407" s="889"/>
      <c r="AW407" s="889"/>
      <c r="AX407" s="889"/>
      <c r="AY407" s="889"/>
      <c r="AZ407" s="889"/>
      <c r="BA407" s="889"/>
      <c r="BC407" s="889"/>
      <c r="BE407" s="889"/>
      <c r="BF407" s="889"/>
      <c r="BG407" s="889"/>
    </row>
    <row r="408" spans="18:59" x14ac:dyDescent="0.3">
      <c r="R408" s="889"/>
      <c r="S408" s="889"/>
      <c r="W408" s="889"/>
      <c r="X408" s="889"/>
      <c r="AE408" s="889"/>
      <c r="AF408" s="889"/>
      <c r="AV408" s="889"/>
      <c r="AW408" s="889"/>
      <c r="AX408" s="889"/>
      <c r="AY408" s="889"/>
      <c r="AZ408" s="889"/>
      <c r="BA408" s="889"/>
      <c r="BC408" s="889"/>
      <c r="BE408" s="889"/>
      <c r="BF408" s="889"/>
      <c r="BG408" s="889"/>
    </row>
    <row r="409" spans="18:59" x14ac:dyDescent="0.3">
      <c r="R409" s="889"/>
      <c r="S409" s="889"/>
      <c r="W409" s="889"/>
      <c r="X409" s="889"/>
      <c r="AE409" s="889"/>
      <c r="AF409" s="889"/>
      <c r="AV409" s="889"/>
      <c r="AW409" s="889"/>
      <c r="AX409" s="889"/>
      <c r="AY409" s="889"/>
      <c r="AZ409" s="889"/>
      <c r="BA409" s="889"/>
      <c r="BC409" s="889"/>
      <c r="BE409" s="889"/>
      <c r="BF409" s="889"/>
      <c r="BG409" s="889"/>
    </row>
    <row r="410" spans="18:59" x14ac:dyDescent="0.3">
      <c r="R410" s="889"/>
      <c r="S410" s="889"/>
      <c r="W410" s="889"/>
      <c r="X410" s="889"/>
      <c r="AE410" s="889"/>
      <c r="AF410" s="889"/>
      <c r="AV410" s="889"/>
      <c r="AW410" s="889"/>
      <c r="AX410" s="889"/>
      <c r="AY410" s="889"/>
      <c r="AZ410" s="889"/>
      <c r="BA410" s="889"/>
      <c r="BC410" s="889"/>
      <c r="BE410" s="889"/>
      <c r="BF410" s="889"/>
      <c r="BG410" s="889"/>
    </row>
    <row r="411" spans="18:59" x14ac:dyDescent="0.3">
      <c r="R411" s="889"/>
      <c r="S411" s="889"/>
      <c r="W411" s="889"/>
      <c r="X411" s="889"/>
      <c r="AE411" s="889"/>
      <c r="AF411" s="889"/>
      <c r="AV411" s="889"/>
      <c r="AW411" s="889"/>
      <c r="AX411" s="889"/>
      <c r="AY411" s="889"/>
      <c r="AZ411" s="889"/>
      <c r="BA411" s="889"/>
      <c r="BC411" s="889"/>
      <c r="BE411" s="889"/>
      <c r="BF411" s="889"/>
      <c r="BG411" s="889"/>
    </row>
    <row r="412" spans="18:59" x14ac:dyDescent="0.3">
      <c r="R412" s="889"/>
      <c r="S412" s="889"/>
      <c r="W412" s="889"/>
      <c r="X412" s="889"/>
      <c r="AE412" s="889"/>
      <c r="AF412" s="889"/>
      <c r="AV412" s="889"/>
      <c r="AW412" s="889"/>
      <c r="AX412" s="889"/>
      <c r="AY412" s="889"/>
      <c r="AZ412" s="889"/>
      <c r="BA412" s="889"/>
      <c r="BC412" s="889"/>
      <c r="BE412" s="889"/>
      <c r="BF412" s="889"/>
      <c r="BG412" s="889"/>
    </row>
    <row r="413" spans="18:59" x14ac:dyDescent="0.3">
      <c r="R413" s="889"/>
      <c r="S413" s="889"/>
      <c r="W413" s="889"/>
      <c r="X413" s="889"/>
      <c r="AE413" s="889"/>
      <c r="AF413" s="889"/>
      <c r="AV413" s="889"/>
      <c r="AW413" s="889"/>
      <c r="AX413" s="889"/>
      <c r="AY413" s="889"/>
      <c r="AZ413" s="889"/>
      <c r="BA413" s="889"/>
      <c r="BC413" s="889"/>
      <c r="BE413" s="889"/>
      <c r="BF413" s="889"/>
      <c r="BG413" s="889"/>
    </row>
    <row r="414" spans="18:59" x14ac:dyDescent="0.3">
      <c r="R414" s="889"/>
      <c r="S414" s="889"/>
      <c r="W414" s="889"/>
      <c r="X414" s="889"/>
      <c r="AE414" s="889"/>
      <c r="AF414" s="889"/>
      <c r="AV414" s="889"/>
      <c r="AW414" s="889"/>
      <c r="AX414" s="889"/>
      <c r="AY414" s="889"/>
      <c r="AZ414" s="889"/>
      <c r="BA414" s="889"/>
      <c r="BC414" s="889"/>
      <c r="BE414" s="889"/>
      <c r="BF414" s="889"/>
      <c r="BG414" s="889"/>
    </row>
    <row r="415" spans="18:59" x14ac:dyDescent="0.3">
      <c r="R415" s="889"/>
      <c r="S415" s="889"/>
      <c r="W415" s="889"/>
      <c r="X415" s="889"/>
      <c r="AE415" s="889"/>
      <c r="AF415" s="889"/>
      <c r="AV415" s="889"/>
      <c r="AW415" s="889"/>
      <c r="AX415" s="889"/>
      <c r="AY415" s="889"/>
      <c r="AZ415" s="889"/>
      <c r="BA415" s="889"/>
      <c r="BC415" s="889"/>
      <c r="BE415" s="889"/>
      <c r="BF415" s="889"/>
      <c r="BG415" s="889"/>
    </row>
    <row r="416" spans="18:59" x14ac:dyDescent="0.3">
      <c r="R416" s="889"/>
      <c r="S416" s="889"/>
      <c r="W416" s="889"/>
      <c r="X416" s="889"/>
      <c r="AE416" s="889"/>
      <c r="AF416" s="889"/>
      <c r="AV416" s="889"/>
      <c r="AW416" s="889"/>
      <c r="AX416" s="889"/>
      <c r="AY416" s="889"/>
      <c r="AZ416" s="889"/>
      <c r="BA416" s="889"/>
      <c r="BC416" s="889"/>
      <c r="BE416" s="889"/>
      <c r="BF416" s="889"/>
      <c r="BG416" s="889"/>
    </row>
    <row r="417" spans="18:59" x14ac:dyDescent="0.3">
      <c r="R417" s="889"/>
      <c r="S417" s="889"/>
      <c r="W417" s="889"/>
      <c r="X417" s="889"/>
      <c r="AE417" s="889"/>
      <c r="AF417" s="889"/>
      <c r="AV417" s="889"/>
      <c r="AW417" s="889"/>
      <c r="AX417" s="889"/>
      <c r="AY417" s="889"/>
      <c r="AZ417" s="889"/>
      <c r="BA417" s="889"/>
      <c r="BC417" s="889"/>
      <c r="BE417" s="889"/>
      <c r="BF417" s="889"/>
      <c r="BG417" s="889"/>
    </row>
    <row r="418" spans="18:59" x14ac:dyDescent="0.3">
      <c r="R418" s="889"/>
      <c r="S418" s="889"/>
      <c r="W418" s="889"/>
      <c r="X418" s="889"/>
      <c r="AE418" s="889"/>
      <c r="AF418" s="889"/>
      <c r="AV418" s="889"/>
      <c r="AW418" s="889"/>
      <c r="AX418" s="889"/>
      <c r="AY418" s="889"/>
      <c r="AZ418" s="889"/>
      <c r="BA418" s="889"/>
      <c r="BC418" s="889"/>
      <c r="BE418" s="889"/>
      <c r="BF418" s="889"/>
      <c r="BG418" s="889"/>
    </row>
    <row r="419" spans="18:59" x14ac:dyDescent="0.3">
      <c r="R419" s="889"/>
      <c r="S419" s="889"/>
      <c r="W419" s="889"/>
      <c r="X419" s="889"/>
      <c r="AE419" s="889"/>
      <c r="AF419" s="889"/>
      <c r="AV419" s="889"/>
      <c r="AW419" s="889"/>
      <c r="AX419" s="889"/>
      <c r="AY419" s="889"/>
      <c r="AZ419" s="889"/>
      <c r="BA419" s="889"/>
      <c r="BC419" s="889"/>
      <c r="BE419" s="889"/>
      <c r="BF419" s="889"/>
      <c r="BG419" s="889"/>
    </row>
    <row r="420" spans="18:59" x14ac:dyDescent="0.3">
      <c r="R420" s="889"/>
      <c r="S420" s="889"/>
      <c r="W420" s="889"/>
      <c r="X420" s="889"/>
      <c r="AE420" s="889"/>
      <c r="AF420" s="889"/>
      <c r="AV420" s="889"/>
      <c r="AW420" s="889"/>
      <c r="AX420" s="889"/>
      <c r="AY420" s="889"/>
      <c r="AZ420" s="889"/>
      <c r="BA420" s="889"/>
      <c r="BC420" s="889"/>
      <c r="BE420" s="889"/>
      <c r="BF420" s="889"/>
      <c r="BG420" s="889"/>
    </row>
    <row r="421" spans="18:59" x14ac:dyDescent="0.3">
      <c r="R421" s="889"/>
      <c r="S421" s="889"/>
      <c r="W421" s="889"/>
      <c r="X421" s="889"/>
      <c r="AE421" s="889"/>
      <c r="AF421" s="889"/>
      <c r="AV421" s="889"/>
      <c r="AW421" s="889"/>
      <c r="AX421" s="889"/>
      <c r="AY421" s="889"/>
      <c r="AZ421" s="889"/>
      <c r="BA421" s="889"/>
      <c r="BC421" s="889"/>
      <c r="BE421" s="889"/>
      <c r="BF421" s="889"/>
      <c r="BG421" s="889"/>
    </row>
    <row r="422" spans="18:59" x14ac:dyDescent="0.3">
      <c r="R422" s="889"/>
      <c r="S422" s="889"/>
      <c r="W422" s="889"/>
      <c r="X422" s="889"/>
      <c r="AE422" s="889"/>
      <c r="AF422" s="889"/>
      <c r="AV422" s="889"/>
      <c r="AW422" s="889"/>
      <c r="AX422" s="889"/>
      <c r="AY422" s="889"/>
      <c r="AZ422" s="889"/>
      <c r="BA422" s="889"/>
      <c r="BC422" s="889"/>
      <c r="BE422" s="889"/>
      <c r="BF422" s="889"/>
      <c r="BG422" s="889"/>
    </row>
    <row r="423" spans="18:59" x14ac:dyDescent="0.3">
      <c r="R423" s="889"/>
      <c r="S423" s="889"/>
      <c r="W423" s="889"/>
      <c r="X423" s="889"/>
      <c r="AE423" s="889"/>
      <c r="AF423" s="889"/>
      <c r="AV423" s="889"/>
      <c r="AW423" s="889"/>
      <c r="AX423" s="889"/>
      <c r="AY423" s="889"/>
      <c r="AZ423" s="889"/>
      <c r="BA423" s="889"/>
      <c r="BC423" s="889"/>
      <c r="BE423" s="889"/>
      <c r="BF423" s="889"/>
      <c r="BG423" s="889"/>
    </row>
    <row r="424" spans="18:59" x14ac:dyDescent="0.3">
      <c r="R424" s="889"/>
      <c r="S424" s="889"/>
      <c r="W424" s="889"/>
      <c r="X424" s="889"/>
      <c r="AE424" s="889"/>
      <c r="AF424" s="889"/>
      <c r="AV424" s="889"/>
      <c r="AW424" s="889"/>
      <c r="AX424" s="889"/>
      <c r="AY424" s="889"/>
      <c r="AZ424" s="889"/>
      <c r="BA424" s="889"/>
      <c r="BC424" s="889"/>
      <c r="BE424" s="889"/>
      <c r="BF424" s="889"/>
      <c r="BG424" s="889"/>
    </row>
    <row r="425" spans="18:59" x14ac:dyDescent="0.3">
      <c r="R425" s="889"/>
      <c r="S425" s="889"/>
      <c r="W425" s="889"/>
      <c r="X425" s="889"/>
      <c r="AE425" s="889"/>
      <c r="AF425" s="889"/>
      <c r="AV425" s="889"/>
      <c r="AW425" s="889"/>
      <c r="AX425" s="889"/>
      <c r="AY425" s="889"/>
      <c r="AZ425" s="889"/>
      <c r="BA425" s="889"/>
      <c r="BC425" s="889"/>
      <c r="BE425" s="889"/>
      <c r="BF425" s="889"/>
      <c r="BG425" s="889"/>
    </row>
    <row r="426" spans="18:59" x14ac:dyDescent="0.3">
      <c r="R426" s="889"/>
      <c r="S426" s="889"/>
      <c r="W426" s="889"/>
      <c r="X426" s="889"/>
      <c r="AE426" s="889"/>
      <c r="AF426" s="889"/>
      <c r="AV426" s="889"/>
      <c r="AW426" s="889"/>
      <c r="AX426" s="889"/>
      <c r="AY426" s="889"/>
      <c r="AZ426" s="889"/>
      <c r="BA426" s="889"/>
      <c r="BC426" s="889"/>
      <c r="BE426" s="889"/>
      <c r="BF426" s="889"/>
      <c r="BG426" s="889"/>
    </row>
    <row r="427" spans="18:59" x14ac:dyDescent="0.3">
      <c r="R427" s="889"/>
      <c r="S427" s="889"/>
      <c r="W427" s="889"/>
      <c r="X427" s="889"/>
      <c r="AE427" s="889"/>
      <c r="AF427" s="889"/>
      <c r="AV427" s="889"/>
      <c r="AW427" s="889"/>
      <c r="AX427" s="889"/>
      <c r="AY427" s="889"/>
      <c r="AZ427" s="889"/>
      <c r="BA427" s="889"/>
      <c r="BC427" s="889"/>
      <c r="BE427" s="889"/>
      <c r="BF427" s="889"/>
      <c r="BG427" s="889"/>
    </row>
    <row r="428" spans="18:59" x14ac:dyDescent="0.3">
      <c r="R428" s="889"/>
      <c r="S428" s="889"/>
      <c r="W428" s="889"/>
      <c r="X428" s="889"/>
      <c r="AE428" s="889"/>
      <c r="AF428" s="889"/>
      <c r="AV428" s="889"/>
      <c r="AW428" s="889"/>
      <c r="AX428" s="889"/>
      <c r="AY428" s="889"/>
      <c r="AZ428" s="889"/>
      <c r="BA428" s="889"/>
      <c r="BC428" s="889"/>
      <c r="BE428" s="889"/>
      <c r="BF428" s="889"/>
      <c r="BG428" s="889"/>
    </row>
    <row r="429" spans="18:59" x14ac:dyDescent="0.3">
      <c r="R429" s="889"/>
      <c r="S429" s="889"/>
      <c r="W429" s="889"/>
      <c r="X429" s="889"/>
      <c r="AE429" s="889"/>
      <c r="AF429" s="889"/>
      <c r="AV429" s="889"/>
      <c r="AW429" s="889"/>
      <c r="AX429" s="889"/>
      <c r="AY429" s="889"/>
      <c r="AZ429" s="889"/>
      <c r="BA429" s="889"/>
      <c r="BC429" s="889"/>
      <c r="BE429" s="889"/>
      <c r="BF429" s="889"/>
      <c r="BG429" s="889"/>
    </row>
    <row r="430" spans="18:59" x14ac:dyDescent="0.3">
      <c r="R430" s="889"/>
      <c r="S430" s="889"/>
      <c r="W430" s="889"/>
      <c r="X430" s="889"/>
      <c r="AE430" s="889"/>
      <c r="AF430" s="889"/>
      <c r="AV430" s="889"/>
      <c r="AW430" s="889"/>
      <c r="AX430" s="889"/>
      <c r="AY430" s="889"/>
      <c r="AZ430" s="889"/>
      <c r="BA430" s="889"/>
      <c r="BC430" s="889"/>
      <c r="BE430" s="889"/>
      <c r="BF430" s="889"/>
      <c r="BG430" s="889"/>
    </row>
    <row r="431" spans="18:59" x14ac:dyDescent="0.3">
      <c r="R431" s="889"/>
      <c r="S431" s="889"/>
      <c r="W431" s="889"/>
      <c r="X431" s="889"/>
      <c r="AE431" s="889"/>
      <c r="AF431" s="889"/>
      <c r="AV431" s="889"/>
      <c r="AW431" s="889"/>
      <c r="AX431" s="889"/>
      <c r="AY431" s="889"/>
      <c r="AZ431" s="889"/>
      <c r="BA431" s="889"/>
      <c r="BC431" s="889"/>
      <c r="BE431" s="889"/>
      <c r="BF431" s="889"/>
      <c r="BG431" s="889"/>
    </row>
    <row r="432" spans="18:59" x14ac:dyDescent="0.3">
      <c r="R432" s="889"/>
      <c r="S432" s="889"/>
      <c r="W432" s="889"/>
      <c r="X432" s="889"/>
      <c r="AE432" s="889"/>
      <c r="AF432" s="889"/>
      <c r="AV432" s="889"/>
      <c r="AW432" s="889"/>
      <c r="AX432" s="889"/>
      <c r="AY432" s="889"/>
      <c r="AZ432" s="889"/>
      <c r="BA432" s="889"/>
      <c r="BC432" s="889"/>
      <c r="BE432" s="889"/>
      <c r="BF432" s="889"/>
      <c r="BG432" s="889"/>
    </row>
    <row r="433" spans="18:59" x14ac:dyDescent="0.3">
      <c r="R433" s="889"/>
      <c r="S433" s="889"/>
      <c r="W433" s="889"/>
      <c r="X433" s="889"/>
      <c r="AE433" s="889"/>
      <c r="AF433" s="889"/>
      <c r="AV433" s="889"/>
      <c r="AW433" s="889"/>
      <c r="AX433" s="889"/>
      <c r="AY433" s="889"/>
      <c r="AZ433" s="889"/>
      <c r="BA433" s="889"/>
      <c r="BC433" s="889"/>
      <c r="BE433" s="889"/>
      <c r="BF433" s="889"/>
      <c r="BG433" s="889"/>
    </row>
    <row r="434" spans="18:59" x14ac:dyDescent="0.3">
      <c r="R434" s="889"/>
      <c r="S434" s="889"/>
      <c r="W434" s="889"/>
      <c r="X434" s="889"/>
      <c r="AE434" s="889"/>
      <c r="AF434" s="889"/>
      <c r="AV434" s="889"/>
      <c r="AW434" s="889"/>
      <c r="AX434" s="889"/>
      <c r="AY434" s="889"/>
      <c r="AZ434" s="889"/>
      <c r="BA434" s="889"/>
      <c r="BC434" s="889"/>
      <c r="BE434" s="889"/>
      <c r="BF434" s="889"/>
      <c r="BG434" s="889"/>
    </row>
    <row r="435" spans="18:59" x14ac:dyDescent="0.3">
      <c r="R435" s="889"/>
      <c r="S435" s="889"/>
      <c r="W435" s="889"/>
      <c r="X435" s="889"/>
      <c r="AE435" s="889"/>
      <c r="AF435" s="889"/>
      <c r="AV435" s="889"/>
      <c r="AW435" s="889"/>
      <c r="AX435" s="889"/>
      <c r="AY435" s="889"/>
      <c r="AZ435" s="889"/>
      <c r="BA435" s="889"/>
      <c r="BC435" s="889"/>
      <c r="BE435" s="889"/>
      <c r="BF435" s="889"/>
      <c r="BG435" s="889"/>
    </row>
    <row r="436" spans="18:59" x14ac:dyDescent="0.3">
      <c r="R436" s="889"/>
      <c r="S436" s="889"/>
      <c r="W436" s="889"/>
      <c r="X436" s="889"/>
      <c r="AE436" s="889"/>
      <c r="AF436" s="889"/>
      <c r="AV436" s="889"/>
      <c r="AW436" s="889"/>
      <c r="AX436" s="889"/>
      <c r="AY436" s="889"/>
      <c r="AZ436" s="889"/>
      <c r="BA436" s="889"/>
      <c r="BC436" s="889"/>
      <c r="BE436" s="889"/>
      <c r="BF436" s="889"/>
      <c r="BG436" s="889"/>
    </row>
    <row r="437" spans="18:59" x14ac:dyDescent="0.3">
      <c r="R437" s="889"/>
      <c r="S437" s="889"/>
      <c r="W437" s="889"/>
      <c r="X437" s="889"/>
      <c r="AE437" s="889"/>
      <c r="AF437" s="889"/>
      <c r="AV437" s="889"/>
      <c r="AW437" s="889"/>
      <c r="AX437" s="889"/>
      <c r="AY437" s="889"/>
      <c r="AZ437" s="889"/>
      <c r="BA437" s="889"/>
      <c r="BC437" s="889"/>
      <c r="BE437" s="889"/>
      <c r="BF437" s="889"/>
      <c r="BG437" s="889"/>
    </row>
    <row r="438" spans="18:59" x14ac:dyDescent="0.3">
      <c r="R438" s="889"/>
      <c r="S438" s="889"/>
      <c r="W438" s="889"/>
      <c r="X438" s="889"/>
      <c r="AE438" s="889"/>
      <c r="AF438" s="889"/>
      <c r="AV438" s="889"/>
      <c r="AW438" s="889"/>
      <c r="AX438" s="889"/>
      <c r="AY438" s="889"/>
      <c r="AZ438" s="889"/>
      <c r="BA438" s="889"/>
      <c r="BC438" s="889"/>
      <c r="BE438" s="889"/>
      <c r="BF438" s="889"/>
      <c r="BG438" s="889"/>
    </row>
    <row r="439" spans="18:59" x14ac:dyDescent="0.3">
      <c r="R439" s="889"/>
      <c r="S439" s="889"/>
      <c r="W439" s="889"/>
      <c r="X439" s="889"/>
      <c r="AE439" s="889"/>
      <c r="AF439" s="889"/>
      <c r="AV439" s="889"/>
      <c r="AW439" s="889"/>
      <c r="AX439" s="889"/>
      <c r="AY439" s="889"/>
      <c r="AZ439" s="889"/>
      <c r="BA439" s="889"/>
      <c r="BC439" s="889"/>
      <c r="BE439" s="889"/>
      <c r="BF439" s="889"/>
      <c r="BG439" s="889"/>
    </row>
    <row r="440" spans="18:59" x14ac:dyDescent="0.3">
      <c r="R440" s="889"/>
      <c r="S440" s="889"/>
      <c r="W440" s="889"/>
      <c r="X440" s="889"/>
      <c r="AE440" s="889"/>
      <c r="AF440" s="889"/>
      <c r="AV440" s="889"/>
      <c r="AW440" s="889"/>
      <c r="AX440" s="889"/>
      <c r="AY440" s="889"/>
      <c r="AZ440" s="889"/>
      <c r="BA440" s="889"/>
      <c r="BC440" s="889"/>
      <c r="BE440" s="889"/>
      <c r="BF440" s="889"/>
      <c r="BG440" s="889"/>
    </row>
    <row r="441" spans="18:59" x14ac:dyDescent="0.3">
      <c r="R441" s="889"/>
      <c r="S441" s="889"/>
      <c r="W441" s="889"/>
      <c r="X441" s="889"/>
      <c r="AE441" s="889"/>
      <c r="AF441" s="889"/>
      <c r="AV441" s="889"/>
      <c r="AW441" s="889"/>
      <c r="AX441" s="889"/>
      <c r="AY441" s="889"/>
      <c r="AZ441" s="889"/>
      <c r="BA441" s="889"/>
      <c r="BC441" s="889"/>
      <c r="BE441" s="889"/>
      <c r="BF441" s="889"/>
      <c r="BG441" s="889"/>
    </row>
    <row r="442" spans="18:59" x14ac:dyDescent="0.3">
      <c r="R442" s="889"/>
      <c r="S442" s="889"/>
      <c r="W442" s="889"/>
      <c r="X442" s="889"/>
      <c r="AE442" s="889"/>
      <c r="AF442" s="889"/>
      <c r="AV442" s="889"/>
      <c r="AW442" s="889"/>
      <c r="AX442" s="889"/>
      <c r="AY442" s="889"/>
      <c r="AZ442" s="889"/>
      <c r="BA442" s="889"/>
      <c r="BC442" s="889"/>
      <c r="BE442" s="889"/>
      <c r="BF442" s="889"/>
      <c r="BG442" s="889"/>
    </row>
    <row r="443" spans="18:59" x14ac:dyDescent="0.3">
      <c r="R443" s="889"/>
      <c r="S443" s="889"/>
      <c r="W443" s="889"/>
      <c r="X443" s="889"/>
      <c r="AE443" s="889"/>
      <c r="AF443" s="889"/>
      <c r="AV443" s="889"/>
      <c r="AW443" s="889"/>
      <c r="AX443" s="889"/>
      <c r="AY443" s="889"/>
      <c r="AZ443" s="889"/>
      <c r="BA443" s="889"/>
      <c r="BC443" s="889"/>
      <c r="BE443" s="889"/>
      <c r="BF443" s="889"/>
      <c r="BG443" s="889"/>
    </row>
    <row r="444" spans="18:59" x14ac:dyDescent="0.3">
      <c r="R444" s="889"/>
      <c r="S444" s="889"/>
      <c r="W444" s="889"/>
      <c r="X444" s="889"/>
      <c r="AE444" s="889"/>
      <c r="AF444" s="889"/>
      <c r="AV444" s="889"/>
      <c r="AW444" s="889"/>
      <c r="AX444" s="889"/>
      <c r="AY444" s="889"/>
      <c r="AZ444" s="889"/>
      <c r="BA444" s="889"/>
      <c r="BC444" s="889"/>
      <c r="BE444" s="889"/>
      <c r="BF444" s="889"/>
      <c r="BG444" s="889"/>
    </row>
    <row r="445" spans="18:59" x14ac:dyDescent="0.3">
      <c r="R445" s="889"/>
      <c r="S445" s="889"/>
      <c r="W445" s="889"/>
      <c r="X445" s="889"/>
      <c r="AE445" s="889"/>
      <c r="AF445" s="889"/>
      <c r="AV445" s="889"/>
      <c r="AW445" s="889"/>
      <c r="AX445" s="889"/>
      <c r="AY445" s="889"/>
      <c r="AZ445" s="889"/>
      <c r="BA445" s="889"/>
      <c r="BC445" s="889"/>
      <c r="BE445" s="889"/>
      <c r="BF445" s="889"/>
      <c r="BG445" s="889"/>
    </row>
    <row r="446" spans="18:59" x14ac:dyDescent="0.3">
      <c r="R446" s="889"/>
      <c r="S446" s="889"/>
      <c r="W446" s="889"/>
      <c r="X446" s="889"/>
      <c r="AE446" s="889"/>
      <c r="AF446" s="889"/>
      <c r="AV446" s="889"/>
      <c r="AW446" s="889"/>
      <c r="AX446" s="889"/>
      <c r="AY446" s="889"/>
      <c r="AZ446" s="889"/>
      <c r="BA446" s="889"/>
      <c r="BC446" s="889"/>
      <c r="BE446" s="889"/>
      <c r="BF446" s="889"/>
      <c r="BG446" s="889"/>
    </row>
    <row r="447" spans="18:59" x14ac:dyDescent="0.3">
      <c r="R447" s="889"/>
      <c r="S447" s="889"/>
      <c r="W447" s="889"/>
      <c r="X447" s="889"/>
      <c r="AE447" s="889"/>
      <c r="AF447" s="889"/>
      <c r="AV447" s="889"/>
      <c r="AW447" s="889"/>
      <c r="AX447" s="889"/>
      <c r="AY447" s="889"/>
      <c r="AZ447" s="889"/>
      <c r="BA447" s="889"/>
      <c r="BC447" s="889"/>
      <c r="BE447" s="889"/>
      <c r="BF447" s="889"/>
      <c r="BG447" s="889"/>
    </row>
    <row r="448" spans="18:59" x14ac:dyDescent="0.3">
      <c r="R448" s="889"/>
      <c r="S448" s="889"/>
      <c r="W448" s="889"/>
      <c r="X448" s="889"/>
      <c r="AE448" s="889"/>
      <c r="AF448" s="889"/>
      <c r="AV448" s="889"/>
      <c r="AW448" s="889"/>
      <c r="AX448" s="889"/>
      <c r="AY448" s="889"/>
      <c r="AZ448" s="889"/>
      <c r="BA448" s="889"/>
      <c r="BC448" s="889"/>
      <c r="BE448" s="889"/>
      <c r="BF448" s="889"/>
      <c r="BG448" s="889"/>
    </row>
    <row r="449" spans="18:59" x14ac:dyDescent="0.3">
      <c r="R449" s="889"/>
      <c r="S449" s="889"/>
      <c r="W449" s="889"/>
      <c r="X449" s="889"/>
      <c r="AE449" s="889"/>
      <c r="AF449" s="889"/>
      <c r="AV449" s="889"/>
      <c r="AW449" s="889"/>
      <c r="AX449" s="889"/>
      <c r="AY449" s="889"/>
      <c r="AZ449" s="889"/>
      <c r="BA449" s="889"/>
      <c r="BC449" s="889"/>
      <c r="BE449" s="889"/>
      <c r="BF449" s="889"/>
      <c r="BG449" s="889"/>
    </row>
    <row r="450" spans="18:59" x14ac:dyDescent="0.3">
      <c r="R450" s="889"/>
      <c r="S450" s="889"/>
      <c r="W450" s="889"/>
      <c r="X450" s="889"/>
      <c r="AE450" s="889"/>
      <c r="AF450" s="889"/>
      <c r="AV450" s="889"/>
      <c r="AW450" s="889"/>
      <c r="AX450" s="889"/>
      <c r="AY450" s="889"/>
      <c r="AZ450" s="889"/>
      <c r="BA450" s="889"/>
      <c r="BC450" s="889"/>
      <c r="BE450" s="889"/>
      <c r="BF450" s="889"/>
      <c r="BG450" s="889"/>
    </row>
    <row r="451" spans="18:59" x14ac:dyDescent="0.3">
      <c r="R451" s="889"/>
      <c r="S451" s="889"/>
      <c r="W451" s="889"/>
      <c r="X451" s="889"/>
      <c r="AE451" s="889"/>
      <c r="AF451" s="889"/>
      <c r="AV451" s="889"/>
      <c r="AW451" s="889"/>
      <c r="AX451" s="889"/>
      <c r="AY451" s="889"/>
      <c r="AZ451" s="889"/>
      <c r="BA451" s="889"/>
      <c r="BC451" s="889"/>
      <c r="BE451" s="889"/>
      <c r="BF451" s="889"/>
      <c r="BG451" s="889"/>
    </row>
    <row r="452" spans="18:59" x14ac:dyDescent="0.3">
      <c r="R452" s="889"/>
      <c r="S452" s="889"/>
      <c r="W452" s="889"/>
      <c r="X452" s="889"/>
      <c r="AE452" s="889"/>
      <c r="AF452" s="889"/>
      <c r="AV452" s="889"/>
      <c r="AW452" s="889"/>
      <c r="AX452" s="889"/>
      <c r="AY452" s="889"/>
      <c r="AZ452" s="889"/>
      <c r="BA452" s="889"/>
      <c r="BC452" s="889"/>
      <c r="BE452" s="889"/>
      <c r="BF452" s="889"/>
      <c r="BG452" s="889"/>
    </row>
    <row r="453" spans="18:59" x14ac:dyDescent="0.3">
      <c r="R453" s="889"/>
      <c r="S453" s="889"/>
      <c r="W453" s="889"/>
      <c r="X453" s="889"/>
      <c r="AE453" s="889"/>
      <c r="AF453" s="889"/>
      <c r="AV453" s="889"/>
      <c r="AW453" s="889"/>
      <c r="AX453" s="889"/>
      <c r="AY453" s="889"/>
      <c r="AZ453" s="889"/>
      <c r="BA453" s="889"/>
      <c r="BC453" s="889"/>
      <c r="BE453" s="889"/>
      <c r="BF453" s="889"/>
      <c r="BG453" s="889"/>
    </row>
    <row r="454" spans="18:59" x14ac:dyDescent="0.3">
      <c r="R454" s="889"/>
      <c r="S454" s="889"/>
      <c r="W454" s="889"/>
      <c r="X454" s="889"/>
      <c r="AE454" s="889"/>
      <c r="AF454" s="889"/>
      <c r="AV454" s="889"/>
      <c r="AW454" s="889"/>
      <c r="AX454" s="889"/>
      <c r="AY454" s="889"/>
      <c r="AZ454" s="889"/>
      <c r="BA454" s="889"/>
      <c r="BC454" s="889"/>
      <c r="BE454" s="889"/>
      <c r="BF454" s="889"/>
      <c r="BG454" s="889"/>
    </row>
    <row r="455" spans="18:59" x14ac:dyDescent="0.3">
      <c r="R455" s="889"/>
      <c r="S455" s="889"/>
      <c r="W455" s="889"/>
      <c r="X455" s="889"/>
      <c r="AE455" s="889"/>
      <c r="AF455" s="889"/>
      <c r="AV455" s="889"/>
      <c r="AW455" s="889"/>
      <c r="AX455" s="889"/>
      <c r="AY455" s="889"/>
      <c r="AZ455" s="889"/>
      <c r="BA455" s="889"/>
      <c r="BC455" s="889"/>
      <c r="BE455" s="889"/>
      <c r="BF455" s="889"/>
      <c r="BG455" s="889"/>
    </row>
    <row r="456" spans="18:59" x14ac:dyDescent="0.3">
      <c r="R456" s="889"/>
      <c r="S456" s="889"/>
      <c r="W456" s="889"/>
      <c r="X456" s="889"/>
      <c r="AE456" s="889"/>
      <c r="AF456" s="889"/>
      <c r="AV456" s="889"/>
      <c r="AW456" s="889"/>
      <c r="AX456" s="889"/>
      <c r="AY456" s="889"/>
      <c r="AZ456" s="889"/>
      <c r="BA456" s="889"/>
      <c r="BC456" s="889"/>
      <c r="BE456" s="889"/>
      <c r="BF456" s="889"/>
      <c r="BG456" s="889"/>
    </row>
    <row r="457" spans="18:59" x14ac:dyDescent="0.3">
      <c r="R457" s="889"/>
      <c r="S457" s="889"/>
      <c r="W457" s="889"/>
      <c r="X457" s="889"/>
      <c r="AE457" s="889"/>
      <c r="AF457" s="889"/>
      <c r="AV457" s="889"/>
      <c r="AW457" s="889"/>
      <c r="AX457" s="889"/>
      <c r="AY457" s="889"/>
      <c r="AZ457" s="889"/>
      <c r="BA457" s="889"/>
      <c r="BC457" s="889"/>
      <c r="BE457" s="889"/>
      <c r="BF457" s="889"/>
      <c r="BG457" s="889"/>
    </row>
    <row r="458" spans="18:59" x14ac:dyDescent="0.3">
      <c r="R458" s="889"/>
      <c r="S458" s="889"/>
      <c r="W458" s="889"/>
      <c r="X458" s="889"/>
      <c r="AE458" s="889"/>
      <c r="AF458" s="889"/>
      <c r="AV458" s="889"/>
      <c r="AW458" s="889"/>
      <c r="AX458" s="889"/>
      <c r="AY458" s="889"/>
      <c r="AZ458" s="889"/>
      <c r="BA458" s="889"/>
      <c r="BC458" s="889"/>
      <c r="BE458" s="889"/>
      <c r="BF458" s="889"/>
      <c r="BG458" s="889"/>
    </row>
    <row r="459" spans="18:59" x14ac:dyDescent="0.3">
      <c r="R459" s="889"/>
      <c r="S459" s="889"/>
      <c r="W459" s="889"/>
      <c r="X459" s="889"/>
      <c r="AE459" s="889"/>
      <c r="AF459" s="889"/>
      <c r="AV459" s="889"/>
      <c r="AW459" s="889"/>
      <c r="AX459" s="889"/>
      <c r="AY459" s="889"/>
      <c r="AZ459" s="889"/>
      <c r="BA459" s="889"/>
      <c r="BC459" s="889"/>
      <c r="BE459" s="889"/>
      <c r="BF459" s="889"/>
      <c r="BG459" s="889"/>
    </row>
    <row r="460" spans="18:59" x14ac:dyDescent="0.3">
      <c r="R460" s="889"/>
      <c r="S460" s="889"/>
      <c r="W460" s="889"/>
      <c r="X460" s="889"/>
      <c r="AE460" s="889"/>
      <c r="AF460" s="889"/>
      <c r="AV460" s="889"/>
      <c r="AW460" s="889"/>
      <c r="AX460" s="889"/>
      <c r="AY460" s="889"/>
      <c r="AZ460" s="889"/>
      <c r="BA460" s="889"/>
      <c r="BC460" s="889"/>
      <c r="BE460" s="889"/>
      <c r="BF460" s="889"/>
      <c r="BG460" s="889"/>
    </row>
    <row r="461" spans="18:59" x14ac:dyDescent="0.3">
      <c r="R461" s="889"/>
      <c r="S461" s="889"/>
      <c r="W461" s="889"/>
      <c r="X461" s="889"/>
      <c r="AE461" s="889"/>
      <c r="AF461" s="889"/>
      <c r="AV461" s="889"/>
      <c r="AW461" s="889"/>
      <c r="AX461" s="889"/>
      <c r="AY461" s="889"/>
      <c r="AZ461" s="889"/>
      <c r="BA461" s="889"/>
      <c r="BC461" s="889"/>
      <c r="BE461" s="889"/>
      <c r="BF461" s="889"/>
      <c r="BG461" s="889"/>
    </row>
    <row r="462" spans="18:59" x14ac:dyDescent="0.3">
      <c r="R462" s="889"/>
      <c r="S462" s="889"/>
      <c r="W462" s="889"/>
      <c r="X462" s="889"/>
      <c r="AE462" s="889"/>
      <c r="AF462" s="889"/>
      <c r="AV462" s="889"/>
      <c r="AW462" s="889"/>
      <c r="AX462" s="889"/>
      <c r="AY462" s="889"/>
      <c r="AZ462" s="889"/>
      <c r="BA462" s="889"/>
      <c r="BC462" s="889"/>
      <c r="BE462" s="889"/>
      <c r="BF462" s="889"/>
      <c r="BG462" s="889"/>
    </row>
    <row r="463" spans="18:59" x14ac:dyDescent="0.3">
      <c r="R463" s="889"/>
      <c r="S463" s="889"/>
      <c r="W463" s="889"/>
      <c r="X463" s="889"/>
      <c r="AE463" s="889"/>
      <c r="AF463" s="889"/>
      <c r="AV463" s="889"/>
      <c r="AW463" s="889"/>
      <c r="AX463" s="889"/>
      <c r="AY463" s="889"/>
      <c r="AZ463" s="889"/>
      <c r="BA463" s="889"/>
      <c r="BC463" s="889"/>
      <c r="BE463" s="889"/>
      <c r="BF463" s="889"/>
      <c r="BG463" s="889"/>
    </row>
    <row r="464" spans="18:59" x14ac:dyDescent="0.3">
      <c r="R464" s="889"/>
      <c r="S464" s="889"/>
      <c r="W464" s="889"/>
      <c r="X464" s="889"/>
      <c r="AE464" s="889"/>
      <c r="AF464" s="889"/>
      <c r="AV464" s="889"/>
      <c r="AW464" s="889"/>
      <c r="AX464" s="889"/>
      <c r="AY464" s="889"/>
      <c r="AZ464" s="889"/>
      <c r="BA464" s="889"/>
      <c r="BC464" s="889"/>
      <c r="BE464" s="889"/>
      <c r="BF464" s="889"/>
      <c r="BG464" s="889"/>
    </row>
    <row r="465" spans="18:59" x14ac:dyDescent="0.3">
      <c r="R465" s="889"/>
      <c r="S465" s="889"/>
      <c r="W465" s="889"/>
      <c r="X465" s="889"/>
      <c r="AE465" s="889"/>
      <c r="AF465" s="889"/>
      <c r="AV465" s="889"/>
      <c r="AW465" s="889"/>
      <c r="AX465" s="889"/>
      <c r="AY465" s="889"/>
      <c r="AZ465" s="889"/>
      <c r="BA465" s="889"/>
      <c r="BC465" s="889"/>
      <c r="BE465" s="889"/>
      <c r="BF465" s="889"/>
      <c r="BG465" s="889"/>
    </row>
    <row r="466" spans="18:59" x14ac:dyDescent="0.3">
      <c r="R466" s="889"/>
      <c r="S466" s="889"/>
      <c r="W466" s="889"/>
      <c r="X466" s="889"/>
      <c r="AE466" s="889"/>
      <c r="AF466" s="889"/>
      <c r="AV466" s="889"/>
      <c r="AW466" s="889"/>
      <c r="AX466" s="889"/>
      <c r="AY466" s="889"/>
      <c r="AZ466" s="889"/>
      <c r="BA466" s="889"/>
      <c r="BC466" s="889"/>
      <c r="BE466" s="889"/>
      <c r="BF466" s="889"/>
      <c r="BG466" s="889"/>
    </row>
    <row r="467" spans="18:59" x14ac:dyDescent="0.3">
      <c r="R467" s="889"/>
      <c r="S467" s="889"/>
      <c r="W467" s="889"/>
      <c r="X467" s="889"/>
      <c r="AE467" s="889"/>
      <c r="AF467" s="889"/>
      <c r="AV467" s="889"/>
      <c r="AW467" s="889"/>
      <c r="AX467" s="889"/>
      <c r="AY467" s="889"/>
      <c r="AZ467" s="889"/>
      <c r="BA467" s="889"/>
      <c r="BC467" s="889"/>
      <c r="BE467" s="889"/>
      <c r="BF467" s="889"/>
      <c r="BG467" s="889"/>
    </row>
    <row r="468" spans="18:59" x14ac:dyDescent="0.3">
      <c r="R468" s="889"/>
      <c r="S468" s="889"/>
      <c r="W468" s="889"/>
      <c r="X468" s="889"/>
      <c r="AE468" s="889"/>
      <c r="AF468" s="889"/>
      <c r="AV468" s="889"/>
      <c r="AW468" s="889"/>
      <c r="AX468" s="889"/>
      <c r="AY468" s="889"/>
      <c r="AZ468" s="889"/>
      <c r="BA468" s="889"/>
      <c r="BC468" s="889"/>
      <c r="BE468" s="889"/>
      <c r="BF468" s="889"/>
      <c r="BG468" s="889"/>
    </row>
    <row r="469" spans="18:59" x14ac:dyDescent="0.3">
      <c r="R469" s="889"/>
      <c r="S469" s="889"/>
      <c r="W469" s="889"/>
      <c r="X469" s="889"/>
      <c r="AE469" s="889"/>
      <c r="AF469" s="889"/>
      <c r="AV469" s="889"/>
      <c r="AW469" s="889"/>
      <c r="AX469" s="889"/>
      <c r="AY469" s="889"/>
      <c r="AZ469" s="889"/>
      <c r="BA469" s="889"/>
      <c r="BC469" s="889"/>
      <c r="BE469" s="889"/>
      <c r="BF469" s="889"/>
      <c r="BG469" s="889"/>
    </row>
    <row r="470" spans="18:59" x14ac:dyDescent="0.3">
      <c r="R470" s="889"/>
      <c r="S470" s="889"/>
      <c r="W470" s="889"/>
      <c r="X470" s="889"/>
      <c r="AE470" s="889"/>
      <c r="AF470" s="889"/>
      <c r="AV470" s="889"/>
      <c r="AW470" s="889"/>
      <c r="AX470" s="889"/>
      <c r="AY470" s="889"/>
      <c r="AZ470" s="889"/>
      <c r="BA470" s="889"/>
      <c r="BC470" s="889"/>
      <c r="BE470" s="889"/>
      <c r="BF470" s="889"/>
      <c r="BG470" s="889"/>
    </row>
    <row r="471" spans="18:59" x14ac:dyDescent="0.3">
      <c r="R471" s="889"/>
      <c r="S471" s="889"/>
      <c r="W471" s="889"/>
      <c r="X471" s="889"/>
      <c r="AE471" s="889"/>
      <c r="AF471" s="889"/>
      <c r="AV471" s="889"/>
      <c r="AW471" s="889"/>
      <c r="AX471" s="889"/>
      <c r="AY471" s="889"/>
      <c r="AZ471" s="889"/>
      <c r="BA471" s="889"/>
      <c r="BC471" s="889"/>
      <c r="BE471" s="889"/>
      <c r="BF471" s="889"/>
      <c r="BG471" s="889"/>
    </row>
    <row r="472" spans="18:59" x14ac:dyDescent="0.3">
      <c r="R472" s="889"/>
      <c r="S472" s="889"/>
      <c r="W472" s="889"/>
      <c r="X472" s="889"/>
      <c r="AE472" s="889"/>
      <c r="AF472" s="889"/>
      <c r="AV472" s="889"/>
      <c r="AW472" s="889"/>
      <c r="AX472" s="889"/>
      <c r="AY472" s="889"/>
      <c r="AZ472" s="889"/>
      <c r="BA472" s="889"/>
      <c r="BC472" s="889"/>
      <c r="BE472" s="889"/>
      <c r="BF472" s="889"/>
      <c r="BG472" s="889"/>
    </row>
    <row r="473" spans="18:59" x14ac:dyDescent="0.3">
      <c r="R473" s="889"/>
      <c r="S473" s="889"/>
      <c r="W473" s="889"/>
      <c r="X473" s="889"/>
      <c r="AE473" s="889"/>
      <c r="AF473" s="889"/>
      <c r="AV473" s="889"/>
      <c r="AW473" s="889"/>
      <c r="AX473" s="889"/>
      <c r="AY473" s="889"/>
      <c r="AZ473" s="889"/>
      <c r="BA473" s="889"/>
      <c r="BC473" s="889"/>
      <c r="BE473" s="889"/>
      <c r="BF473" s="889"/>
      <c r="BG473" s="889"/>
    </row>
    <row r="474" spans="18:59" x14ac:dyDescent="0.3">
      <c r="R474" s="889"/>
      <c r="S474" s="889"/>
      <c r="W474" s="889"/>
      <c r="X474" s="889"/>
      <c r="AE474" s="889"/>
      <c r="AF474" s="889"/>
      <c r="AV474" s="889"/>
      <c r="AW474" s="889"/>
      <c r="AX474" s="889"/>
      <c r="AY474" s="889"/>
      <c r="AZ474" s="889"/>
      <c r="BA474" s="889"/>
      <c r="BC474" s="889"/>
      <c r="BE474" s="889"/>
      <c r="BF474" s="889"/>
      <c r="BG474" s="889"/>
    </row>
    <row r="475" spans="18:59" x14ac:dyDescent="0.3">
      <c r="R475" s="889"/>
      <c r="S475" s="889"/>
      <c r="W475" s="889"/>
      <c r="X475" s="889"/>
      <c r="AE475" s="889"/>
      <c r="AF475" s="889"/>
      <c r="AV475" s="889"/>
      <c r="AW475" s="889"/>
      <c r="AX475" s="889"/>
      <c r="AY475" s="889"/>
      <c r="AZ475" s="889"/>
      <c r="BA475" s="889"/>
      <c r="BC475" s="889"/>
      <c r="BE475" s="889"/>
      <c r="BF475" s="889"/>
      <c r="BG475" s="889"/>
    </row>
    <row r="476" spans="18:59" x14ac:dyDescent="0.3">
      <c r="R476" s="889"/>
      <c r="S476" s="889"/>
      <c r="W476" s="889"/>
      <c r="X476" s="889"/>
      <c r="AE476" s="889"/>
      <c r="AF476" s="889"/>
      <c r="AV476" s="889"/>
      <c r="AW476" s="889"/>
      <c r="AX476" s="889"/>
      <c r="AY476" s="889"/>
      <c r="AZ476" s="889"/>
      <c r="BA476" s="889"/>
      <c r="BC476" s="889"/>
      <c r="BE476" s="889"/>
      <c r="BF476" s="889"/>
      <c r="BG476" s="889"/>
    </row>
    <row r="477" spans="18:59" x14ac:dyDescent="0.3">
      <c r="R477" s="889"/>
      <c r="S477" s="889"/>
      <c r="W477" s="889"/>
      <c r="X477" s="889"/>
      <c r="AE477" s="889"/>
      <c r="AF477" s="889"/>
      <c r="AV477" s="889"/>
      <c r="AW477" s="889"/>
      <c r="AX477" s="889"/>
      <c r="AY477" s="889"/>
      <c r="AZ477" s="889"/>
      <c r="BA477" s="889"/>
      <c r="BC477" s="889"/>
      <c r="BE477" s="889"/>
      <c r="BF477" s="889"/>
      <c r="BG477" s="889"/>
    </row>
    <row r="478" spans="18:59" x14ac:dyDescent="0.3">
      <c r="R478" s="889"/>
      <c r="S478" s="889"/>
      <c r="W478" s="889"/>
      <c r="X478" s="889"/>
      <c r="AE478" s="889"/>
      <c r="AF478" s="889"/>
      <c r="AV478" s="889"/>
      <c r="AW478" s="889"/>
      <c r="AX478" s="889"/>
      <c r="AY478" s="889"/>
      <c r="AZ478" s="889"/>
      <c r="BA478" s="889"/>
      <c r="BC478" s="889"/>
      <c r="BE478" s="889"/>
      <c r="BF478" s="889"/>
      <c r="BG478" s="889"/>
    </row>
    <row r="479" spans="18:59" x14ac:dyDescent="0.3">
      <c r="R479" s="889"/>
      <c r="S479" s="889"/>
      <c r="W479" s="889"/>
      <c r="X479" s="889"/>
      <c r="AE479" s="889"/>
      <c r="AF479" s="889"/>
      <c r="AV479" s="889"/>
      <c r="AW479" s="889"/>
      <c r="AX479" s="889"/>
      <c r="AY479" s="889"/>
      <c r="AZ479" s="889"/>
      <c r="BA479" s="889"/>
      <c r="BC479" s="889"/>
      <c r="BE479" s="889"/>
      <c r="BF479" s="889"/>
      <c r="BG479" s="889"/>
    </row>
    <row r="480" spans="18:59" x14ac:dyDescent="0.3">
      <c r="R480" s="889"/>
      <c r="S480" s="889"/>
      <c r="W480" s="889"/>
      <c r="X480" s="889"/>
      <c r="AE480" s="889"/>
      <c r="AF480" s="889"/>
      <c r="AV480" s="889"/>
      <c r="AW480" s="889"/>
      <c r="AX480" s="889"/>
      <c r="AY480" s="889"/>
      <c r="AZ480" s="889"/>
      <c r="BA480" s="889"/>
      <c r="BC480" s="889"/>
      <c r="BE480" s="889"/>
      <c r="BF480" s="889"/>
      <c r="BG480" s="889"/>
    </row>
    <row r="481" spans="18:59" x14ac:dyDescent="0.3">
      <c r="R481" s="889"/>
      <c r="S481" s="889"/>
      <c r="W481" s="889"/>
      <c r="X481" s="889"/>
      <c r="AE481" s="889"/>
      <c r="AF481" s="889"/>
      <c r="AV481" s="889"/>
      <c r="AW481" s="889"/>
      <c r="AX481" s="889"/>
      <c r="AY481" s="889"/>
      <c r="AZ481" s="889"/>
      <c r="BA481" s="889"/>
      <c r="BC481" s="889"/>
      <c r="BE481" s="889"/>
      <c r="BF481" s="889"/>
      <c r="BG481" s="889"/>
    </row>
    <row r="482" spans="18:59" x14ac:dyDescent="0.3">
      <c r="R482" s="889"/>
      <c r="S482" s="889"/>
      <c r="W482" s="889"/>
      <c r="X482" s="889"/>
      <c r="AE482" s="889"/>
      <c r="AF482" s="889"/>
      <c r="AV482" s="889"/>
      <c r="AW482" s="889"/>
      <c r="AX482" s="889"/>
      <c r="AY482" s="889"/>
      <c r="AZ482" s="889"/>
      <c r="BA482" s="889"/>
      <c r="BC482" s="889"/>
      <c r="BE482" s="889"/>
      <c r="BF482" s="889"/>
      <c r="BG482" s="889"/>
    </row>
    <row r="483" spans="18:59" x14ac:dyDescent="0.3">
      <c r="R483" s="889"/>
      <c r="S483" s="889"/>
      <c r="W483" s="889"/>
      <c r="X483" s="889"/>
      <c r="AE483" s="889"/>
      <c r="AF483" s="889"/>
      <c r="AV483" s="889"/>
      <c r="AW483" s="889"/>
      <c r="AX483" s="889"/>
      <c r="AY483" s="889"/>
      <c r="AZ483" s="889"/>
      <c r="BA483" s="889"/>
      <c r="BC483" s="889"/>
      <c r="BE483" s="889"/>
      <c r="BF483" s="889"/>
      <c r="BG483" s="889"/>
    </row>
    <row r="484" spans="18:59" x14ac:dyDescent="0.3">
      <c r="R484" s="889"/>
      <c r="S484" s="889"/>
      <c r="W484" s="889"/>
      <c r="X484" s="889"/>
      <c r="AE484" s="889"/>
      <c r="AF484" s="889"/>
      <c r="AV484" s="889"/>
      <c r="AW484" s="889"/>
      <c r="AX484" s="889"/>
      <c r="AY484" s="889"/>
      <c r="AZ484" s="889"/>
      <c r="BA484" s="889"/>
      <c r="BC484" s="889"/>
      <c r="BE484" s="889"/>
      <c r="BF484" s="889"/>
      <c r="BG484" s="889"/>
    </row>
    <row r="485" spans="18:59" x14ac:dyDescent="0.3">
      <c r="R485" s="889"/>
      <c r="S485" s="889"/>
      <c r="W485" s="889"/>
      <c r="X485" s="889"/>
      <c r="AE485" s="889"/>
      <c r="AF485" s="889"/>
      <c r="AV485" s="889"/>
      <c r="AW485" s="889"/>
      <c r="AX485" s="889"/>
      <c r="AY485" s="889"/>
      <c r="AZ485" s="889"/>
      <c r="BA485" s="889"/>
      <c r="BC485" s="889"/>
      <c r="BE485" s="889"/>
      <c r="BF485" s="889"/>
      <c r="BG485" s="889"/>
    </row>
    <row r="486" spans="18:59" x14ac:dyDescent="0.3">
      <c r="R486" s="889"/>
      <c r="S486" s="889"/>
      <c r="W486" s="889"/>
      <c r="X486" s="889"/>
      <c r="AE486" s="889"/>
      <c r="AF486" s="889"/>
      <c r="AV486" s="889"/>
      <c r="AW486" s="889"/>
      <c r="AX486" s="889"/>
      <c r="AY486" s="889"/>
      <c r="AZ486" s="889"/>
      <c r="BA486" s="889"/>
      <c r="BC486" s="889"/>
      <c r="BE486" s="889"/>
      <c r="BF486" s="889"/>
      <c r="BG486" s="889"/>
    </row>
    <row r="487" spans="18:59" x14ac:dyDescent="0.3">
      <c r="R487" s="889"/>
      <c r="S487" s="889"/>
      <c r="W487" s="889"/>
      <c r="X487" s="889"/>
      <c r="AE487" s="889"/>
      <c r="AF487" s="889"/>
      <c r="AV487" s="889"/>
      <c r="AW487" s="889"/>
      <c r="AX487" s="889"/>
      <c r="AY487" s="889"/>
      <c r="AZ487" s="889"/>
      <c r="BA487" s="889"/>
      <c r="BC487" s="889"/>
      <c r="BE487" s="889"/>
      <c r="BF487" s="889"/>
      <c r="BG487" s="889"/>
    </row>
    <row r="488" spans="18:59" x14ac:dyDescent="0.3">
      <c r="R488" s="889"/>
      <c r="S488" s="889"/>
      <c r="W488" s="889"/>
      <c r="X488" s="889"/>
      <c r="AE488" s="889"/>
      <c r="AF488" s="889"/>
      <c r="AV488" s="889"/>
      <c r="AW488" s="889"/>
      <c r="AX488" s="889"/>
      <c r="AY488" s="889"/>
      <c r="AZ488" s="889"/>
      <c r="BA488" s="889"/>
      <c r="BC488" s="889"/>
      <c r="BE488" s="889"/>
      <c r="BF488" s="889"/>
      <c r="BG488" s="889"/>
    </row>
    <row r="489" spans="18:59" x14ac:dyDescent="0.3">
      <c r="R489" s="889"/>
      <c r="S489" s="889"/>
      <c r="W489" s="889"/>
      <c r="X489" s="889"/>
      <c r="AE489" s="889"/>
      <c r="AF489" s="889"/>
      <c r="AV489" s="889"/>
      <c r="AW489" s="889"/>
      <c r="AX489" s="889"/>
      <c r="AY489" s="889"/>
      <c r="AZ489" s="889"/>
      <c r="BA489" s="889"/>
      <c r="BC489" s="889"/>
      <c r="BE489" s="889"/>
      <c r="BF489" s="889"/>
      <c r="BG489" s="889"/>
    </row>
    <row r="490" spans="18:59" x14ac:dyDescent="0.3">
      <c r="R490" s="889"/>
      <c r="S490" s="889"/>
      <c r="W490" s="889"/>
      <c r="X490" s="889"/>
      <c r="AE490" s="889"/>
      <c r="AF490" s="889"/>
      <c r="AV490" s="889"/>
      <c r="AW490" s="889"/>
      <c r="AX490" s="889"/>
      <c r="AY490" s="889"/>
      <c r="AZ490" s="889"/>
      <c r="BA490" s="889"/>
      <c r="BC490" s="889"/>
      <c r="BE490" s="889"/>
      <c r="BF490" s="889"/>
      <c r="BG490" s="889"/>
    </row>
    <row r="491" spans="18:59" x14ac:dyDescent="0.3">
      <c r="R491" s="889"/>
      <c r="S491" s="889"/>
      <c r="W491" s="889"/>
      <c r="X491" s="889"/>
      <c r="AE491" s="889"/>
      <c r="AF491" s="889"/>
      <c r="AV491" s="889"/>
      <c r="AW491" s="889"/>
      <c r="AX491" s="889"/>
      <c r="AY491" s="889"/>
      <c r="AZ491" s="889"/>
      <c r="BA491" s="889"/>
      <c r="BC491" s="889"/>
      <c r="BE491" s="889"/>
      <c r="BF491" s="889"/>
      <c r="BG491" s="889"/>
    </row>
    <row r="492" spans="18:59" x14ac:dyDescent="0.3">
      <c r="R492" s="889"/>
      <c r="S492" s="889"/>
      <c r="W492" s="889"/>
      <c r="X492" s="889"/>
      <c r="AE492" s="889"/>
      <c r="AF492" s="889"/>
      <c r="AV492" s="889"/>
      <c r="AW492" s="889"/>
      <c r="AX492" s="889"/>
      <c r="AY492" s="889"/>
      <c r="AZ492" s="889"/>
      <c r="BA492" s="889"/>
      <c r="BC492" s="889"/>
      <c r="BE492" s="889"/>
      <c r="BF492" s="889"/>
      <c r="BG492" s="889"/>
    </row>
    <row r="493" spans="18:59" x14ac:dyDescent="0.3">
      <c r="R493" s="889"/>
      <c r="S493" s="889"/>
      <c r="W493" s="889"/>
      <c r="X493" s="889"/>
      <c r="AE493" s="889"/>
      <c r="AF493" s="889"/>
      <c r="AV493" s="889"/>
      <c r="AW493" s="889"/>
      <c r="AX493" s="889"/>
      <c r="AY493" s="889"/>
      <c r="AZ493" s="889"/>
      <c r="BA493" s="889"/>
      <c r="BC493" s="889"/>
      <c r="BE493" s="889"/>
      <c r="BF493" s="889"/>
      <c r="BG493" s="889"/>
    </row>
    <row r="494" spans="18:59" x14ac:dyDescent="0.3">
      <c r="R494" s="889"/>
      <c r="S494" s="889"/>
      <c r="W494" s="889"/>
      <c r="X494" s="889"/>
      <c r="AE494" s="889"/>
      <c r="AF494" s="889"/>
      <c r="AV494" s="889"/>
      <c r="AW494" s="889"/>
      <c r="AX494" s="889"/>
      <c r="AY494" s="889"/>
      <c r="AZ494" s="889"/>
      <c r="BA494" s="889"/>
      <c r="BC494" s="889"/>
      <c r="BE494" s="889"/>
      <c r="BF494" s="889"/>
      <c r="BG494" s="889"/>
    </row>
    <row r="495" spans="18:59" x14ac:dyDescent="0.3">
      <c r="R495" s="889"/>
      <c r="S495" s="889"/>
      <c r="W495" s="889"/>
      <c r="X495" s="889"/>
      <c r="AE495" s="889"/>
      <c r="AF495" s="889"/>
      <c r="AV495" s="889"/>
      <c r="AW495" s="889"/>
      <c r="AX495" s="889"/>
      <c r="AY495" s="889"/>
      <c r="AZ495" s="889"/>
      <c r="BA495" s="889"/>
      <c r="BC495" s="889"/>
      <c r="BE495" s="889"/>
      <c r="BF495" s="889"/>
      <c r="BG495" s="889"/>
    </row>
    <row r="496" spans="18:59" x14ac:dyDescent="0.3">
      <c r="R496" s="889"/>
      <c r="S496" s="889"/>
      <c r="W496" s="889"/>
      <c r="X496" s="889"/>
      <c r="AE496" s="889"/>
      <c r="AF496" s="889"/>
      <c r="AV496" s="889"/>
      <c r="AW496" s="889"/>
      <c r="AX496" s="889"/>
      <c r="AY496" s="889"/>
      <c r="AZ496" s="889"/>
      <c r="BA496" s="889"/>
      <c r="BC496" s="889"/>
      <c r="BE496" s="889"/>
      <c r="BF496" s="889"/>
      <c r="BG496" s="889"/>
    </row>
    <row r="497" spans="18:59" x14ac:dyDescent="0.3">
      <c r="R497" s="889"/>
      <c r="S497" s="889"/>
      <c r="W497" s="889"/>
      <c r="X497" s="889"/>
      <c r="AE497" s="889"/>
      <c r="AF497" s="889"/>
      <c r="AV497" s="889"/>
      <c r="AW497" s="889"/>
      <c r="AX497" s="889"/>
      <c r="AY497" s="889"/>
      <c r="AZ497" s="889"/>
      <c r="BA497" s="889"/>
      <c r="BC497" s="889"/>
      <c r="BE497" s="889"/>
      <c r="BF497" s="889"/>
      <c r="BG497" s="889"/>
    </row>
    <row r="498" spans="18:59" x14ac:dyDescent="0.3">
      <c r="R498" s="889"/>
      <c r="S498" s="889"/>
      <c r="W498" s="889"/>
      <c r="X498" s="889"/>
      <c r="AE498" s="889"/>
      <c r="AF498" s="889"/>
      <c r="AV498" s="889"/>
      <c r="AW498" s="889"/>
      <c r="AX498" s="889"/>
      <c r="AY498" s="889"/>
      <c r="AZ498" s="889"/>
      <c r="BA498" s="889"/>
      <c r="BC498" s="889"/>
      <c r="BE498" s="889"/>
      <c r="BF498" s="889"/>
      <c r="BG498" s="889"/>
    </row>
    <row r="499" spans="18:59" x14ac:dyDescent="0.3">
      <c r="R499" s="889"/>
      <c r="S499" s="889"/>
      <c r="W499" s="889"/>
      <c r="X499" s="889"/>
      <c r="AE499" s="889"/>
      <c r="AF499" s="889"/>
      <c r="AV499" s="889"/>
      <c r="AW499" s="889"/>
      <c r="AX499" s="889"/>
      <c r="AY499" s="889"/>
      <c r="AZ499" s="889"/>
      <c r="BA499" s="889"/>
      <c r="BC499" s="889"/>
      <c r="BE499" s="889"/>
      <c r="BF499" s="889"/>
      <c r="BG499" s="889"/>
    </row>
    <row r="500" spans="18:59" x14ac:dyDescent="0.3">
      <c r="R500" s="889"/>
      <c r="S500" s="889"/>
      <c r="W500" s="889"/>
      <c r="X500" s="889"/>
      <c r="AE500" s="889"/>
      <c r="AF500" s="889"/>
      <c r="AV500" s="889"/>
      <c r="AW500" s="889"/>
      <c r="AX500" s="889"/>
      <c r="AY500" s="889"/>
      <c r="AZ500" s="889"/>
      <c r="BA500" s="889"/>
      <c r="BC500" s="889"/>
      <c r="BE500" s="889"/>
      <c r="BF500" s="889"/>
      <c r="BG500" s="889"/>
    </row>
    <row r="501" spans="18:59" x14ac:dyDescent="0.3">
      <c r="R501" s="889"/>
      <c r="S501" s="889"/>
      <c r="W501" s="889"/>
      <c r="X501" s="889"/>
      <c r="AE501" s="889"/>
      <c r="AF501" s="889"/>
      <c r="AV501" s="889"/>
      <c r="AW501" s="889"/>
      <c r="AX501" s="889"/>
      <c r="AY501" s="889"/>
      <c r="AZ501" s="889"/>
      <c r="BA501" s="889"/>
      <c r="BC501" s="889"/>
      <c r="BE501" s="889"/>
      <c r="BF501" s="889"/>
      <c r="BG501" s="889"/>
    </row>
    <row r="502" spans="18:59" x14ac:dyDescent="0.3">
      <c r="R502" s="889"/>
      <c r="S502" s="889"/>
      <c r="W502" s="889"/>
      <c r="X502" s="889"/>
      <c r="AE502" s="889"/>
      <c r="AF502" s="889"/>
      <c r="AV502" s="889"/>
      <c r="AW502" s="889"/>
      <c r="AX502" s="889"/>
      <c r="AY502" s="889"/>
      <c r="AZ502" s="889"/>
      <c r="BA502" s="889"/>
      <c r="BC502" s="889"/>
      <c r="BE502" s="889"/>
      <c r="BF502" s="889"/>
      <c r="BG502" s="88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546875" defaultRowHeight="14.4" x14ac:dyDescent="0.3"/>
  <cols>
    <col min="1" max="1" width="23.109375" customWidth="1"/>
  </cols>
  <sheetData>
    <row r="1" spans="1:22" x14ac:dyDescent="0.3">
      <c r="A1" s="894" t="s">
        <v>796</v>
      </c>
      <c r="B1" s="894"/>
      <c r="C1" s="894"/>
      <c r="D1" s="894"/>
    </row>
    <row r="2" spans="1:22" x14ac:dyDescent="0.3">
      <c r="A2" t="s">
        <v>797</v>
      </c>
      <c r="B2" s="123">
        <v>2021</v>
      </c>
      <c r="C2" s="123">
        <v>2021</v>
      </c>
      <c r="D2" s="123">
        <v>2021</v>
      </c>
      <c r="E2" s="123">
        <v>2022</v>
      </c>
      <c r="F2" s="123">
        <v>2022</v>
      </c>
      <c r="G2" s="123">
        <v>2022</v>
      </c>
      <c r="H2" s="123">
        <v>2022</v>
      </c>
      <c r="I2" s="123">
        <v>2023</v>
      </c>
      <c r="J2" s="123">
        <v>2023</v>
      </c>
      <c r="K2" s="123">
        <v>2023</v>
      </c>
      <c r="L2" s="123">
        <v>2023</v>
      </c>
      <c r="M2" s="123">
        <v>2024</v>
      </c>
      <c r="N2" s="123">
        <v>2024</v>
      </c>
      <c r="O2" s="123">
        <v>2024</v>
      </c>
      <c r="P2" s="123">
        <v>2024</v>
      </c>
      <c r="Q2" s="123">
        <v>2025</v>
      </c>
      <c r="R2" s="123">
        <v>2025</v>
      </c>
      <c r="S2" s="123">
        <v>2025</v>
      </c>
      <c r="T2" s="123">
        <v>2025</v>
      </c>
      <c r="U2" s="123">
        <v>2026</v>
      </c>
    </row>
    <row r="3" spans="1:22" x14ac:dyDescent="0.3">
      <c r="A3" s="866" t="s">
        <v>798</v>
      </c>
      <c r="B3" s="892" t="s">
        <v>799</v>
      </c>
      <c r="C3" s="892" t="s">
        <v>800</v>
      </c>
      <c r="D3" s="892" t="s">
        <v>801</v>
      </c>
      <c r="E3" s="892" t="s">
        <v>802</v>
      </c>
      <c r="F3" s="892" t="s">
        <v>803</v>
      </c>
      <c r="G3" s="892" t="s">
        <v>804</v>
      </c>
      <c r="H3" s="892" t="s">
        <v>805</v>
      </c>
      <c r="I3" s="892" t="s">
        <v>806</v>
      </c>
      <c r="J3" s="892" t="s">
        <v>807</v>
      </c>
      <c r="K3" s="892" t="s">
        <v>808</v>
      </c>
      <c r="L3" s="892" t="s">
        <v>809</v>
      </c>
      <c r="M3" s="892" t="s">
        <v>810</v>
      </c>
      <c r="N3" s="892" t="s">
        <v>811</v>
      </c>
      <c r="O3" s="892" t="s">
        <v>812</v>
      </c>
      <c r="P3" s="892" t="s">
        <v>813</v>
      </c>
      <c r="Q3" s="892" t="s">
        <v>814</v>
      </c>
      <c r="R3" s="892" t="s">
        <v>815</v>
      </c>
      <c r="S3" s="892" t="s">
        <v>816</v>
      </c>
      <c r="T3" s="892" t="s">
        <v>817</v>
      </c>
      <c r="U3" s="892" t="s">
        <v>818</v>
      </c>
    </row>
    <row r="4" spans="1:22" x14ac:dyDescent="0.3">
      <c r="A4" s="866" t="s">
        <v>819</v>
      </c>
      <c r="B4" s="892"/>
      <c r="C4" s="892"/>
      <c r="D4" s="892">
        <v>0</v>
      </c>
      <c r="E4" s="892">
        <v>0</v>
      </c>
      <c r="F4" s="892">
        <v>0.5</v>
      </c>
      <c r="G4" s="892">
        <v>0.5</v>
      </c>
      <c r="H4" s="892">
        <v>0</v>
      </c>
      <c r="I4" s="892">
        <v>0</v>
      </c>
      <c r="J4" s="892">
        <v>0</v>
      </c>
      <c r="K4" s="892">
        <v>0</v>
      </c>
      <c r="L4" s="892">
        <v>0</v>
      </c>
      <c r="M4" s="892">
        <v>0</v>
      </c>
      <c r="N4" s="892">
        <v>0</v>
      </c>
      <c r="O4" s="892">
        <v>0</v>
      </c>
      <c r="P4" s="892">
        <v>0</v>
      </c>
      <c r="Q4" s="892">
        <v>0</v>
      </c>
      <c r="R4" s="892">
        <v>0</v>
      </c>
      <c r="S4" s="892">
        <v>0</v>
      </c>
      <c r="T4" s="892">
        <v>0</v>
      </c>
      <c r="U4" s="892">
        <v>0</v>
      </c>
    </row>
    <row r="5" spans="1:22" x14ac:dyDescent="0.3">
      <c r="A5" s="866" t="s">
        <v>820</v>
      </c>
      <c r="B5" s="892">
        <v>0.04</v>
      </c>
      <c r="C5" s="892">
        <v>0.48</v>
      </c>
      <c r="D5" s="892">
        <v>0.48</v>
      </c>
      <c r="E5" s="892">
        <v>0</v>
      </c>
      <c r="F5" s="892">
        <v>0</v>
      </c>
      <c r="G5" s="892">
        <v>0</v>
      </c>
      <c r="H5" s="892">
        <v>0</v>
      </c>
      <c r="I5" s="892">
        <v>0</v>
      </c>
      <c r="J5" s="892">
        <v>0</v>
      </c>
      <c r="K5" s="892">
        <v>0</v>
      </c>
      <c r="L5" s="892">
        <v>0</v>
      </c>
      <c r="M5" s="892">
        <v>0</v>
      </c>
      <c r="N5" s="892">
        <v>0</v>
      </c>
      <c r="O5" s="892">
        <v>0</v>
      </c>
      <c r="P5" s="892">
        <v>0</v>
      </c>
      <c r="Q5" s="892">
        <v>0</v>
      </c>
      <c r="R5" s="892">
        <v>0</v>
      </c>
      <c r="S5" s="892">
        <v>0</v>
      </c>
      <c r="T5" s="892">
        <v>0</v>
      </c>
      <c r="U5" s="892">
        <v>0</v>
      </c>
    </row>
    <row r="6" spans="1:22" x14ac:dyDescent="0.3">
      <c r="A6" s="866" t="s">
        <v>821</v>
      </c>
      <c r="B6" s="892">
        <f>B8</f>
        <v>0</v>
      </c>
      <c r="C6" s="892">
        <f>C8</f>
        <v>0.43</v>
      </c>
      <c r="D6" s="892">
        <f t="shared" ref="D6:U6" si="0">D8</f>
        <v>0.56999999999999995</v>
      </c>
      <c r="E6" s="892">
        <f t="shared" si="0"/>
        <v>0.25</v>
      </c>
      <c r="F6" s="892">
        <f t="shared" si="0"/>
        <v>0.25</v>
      </c>
      <c r="G6" s="892">
        <f t="shared" si="0"/>
        <v>0.25</v>
      </c>
      <c r="H6" s="892">
        <f t="shared" si="0"/>
        <v>0.25</v>
      </c>
      <c r="I6" s="892">
        <f t="shared" si="0"/>
        <v>0.25</v>
      </c>
      <c r="J6" s="892">
        <f t="shared" si="0"/>
        <v>0.25</v>
      </c>
      <c r="K6" s="892">
        <f t="shared" si="0"/>
        <v>0.25</v>
      </c>
      <c r="L6" s="892">
        <f t="shared" si="0"/>
        <v>0.25</v>
      </c>
      <c r="M6" s="892">
        <f t="shared" si="0"/>
        <v>0.25</v>
      </c>
      <c r="N6" s="892">
        <f t="shared" si="0"/>
        <v>0.25</v>
      </c>
      <c r="O6" s="892">
        <f t="shared" si="0"/>
        <v>0.25</v>
      </c>
      <c r="P6" s="892">
        <f t="shared" si="0"/>
        <v>0.25</v>
      </c>
      <c r="Q6" s="892">
        <f t="shared" si="0"/>
        <v>0.25</v>
      </c>
      <c r="R6" s="892">
        <f t="shared" si="0"/>
        <v>0.25</v>
      </c>
      <c r="S6" s="892">
        <f t="shared" si="0"/>
        <v>0.25</v>
      </c>
      <c r="T6" s="892">
        <f t="shared" si="0"/>
        <v>0.25</v>
      </c>
      <c r="U6" s="892">
        <f t="shared" si="0"/>
        <v>0.25</v>
      </c>
    </row>
    <row r="7" spans="1:22" x14ac:dyDescent="0.3">
      <c r="A7" s="866" t="s">
        <v>822</v>
      </c>
      <c r="B7" s="892">
        <v>0</v>
      </c>
      <c r="C7" s="892">
        <v>0</v>
      </c>
      <c r="D7" s="892">
        <v>1</v>
      </c>
      <c r="E7" s="892">
        <v>0.25</v>
      </c>
      <c r="F7" s="892">
        <v>0.25</v>
      </c>
      <c r="G7" s="892">
        <v>0.25</v>
      </c>
      <c r="H7" s="892">
        <v>0.25</v>
      </c>
      <c r="I7" s="892">
        <v>0.25</v>
      </c>
      <c r="J7" s="892">
        <v>0.25</v>
      </c>
      <c r="K7" s="892">
        <v>0.25</v>
      </c>
      <c r="L7" s="892">
        <v>0.25</v>
      </c>
      <c r="M7" s="892">
        <v>0.25</v>
      </c>
      <c r="N7" s="892">
        <v>0.25</v>
      </c>
      <c r="O7" s="892">
        <v>0.25</v>
      </c>
      <c r="P7" s="892">
        <v>0.25</v>
      </c>
      <c r="Q7" s="892">
        <v>0.25</v>
      </c>
      <c r="R7" s="892">
        <v>0.25</v>
      </c>
      <c r="S7" s="892">
        <v>0.25</v>
      </c>
      <c r="T7" s="892">
        <v>0.25</v>
      </c>
      <c r="U7" s="892">
        <v>0.25</v>
      </c>
    </row>
    <row r="8" spans="1:22" x14ac:dyDescent="0.3">
      <c r="A8" s="866" t="s">
        <v>823</v>
      </c>
      <c r="B8" s="892">
        <v>0</v>
      </c>
      <c r="C8" s="892">
        <v>0.43</v>
      </c>
      <c r="D8" s="892">
        <v>0.56999999999999995</v>
      </c>
      <c r="E8" s="892">
        <v>0.25</v>
      </c>
      <c r="F8" s="892">
        <v>0.25</v>
      </c>
      <c r="G8" s="892">
        <v>0.25</v>
      </c>
      <c r="H8" s="892">
        <v>0.25</v>
      </c>
      <c r="I8" s="892">
        <v>0.25</v>
      </c>
      <c r="J8" s="892">
        <v>0.25</v>
      </c>
      <c r="K8" s="892">
        <v>0.25</v>
      </c>
      <c r="L8" s="892">
        <v>0.25</v>
      </c>
      <c r="M8" s="892">
        <v>0.25</v>
      </c>
      <c r="N8" s="892">
        <v>0.25</v>
      </c>
      <c r="O8" s="892">
        <v>0.25</v>
      </c>
      <c r="P8" s="892">
        <v>0.25</v>
      </c>
      <c r="Q8" s="892">
        <v>0.25</v>
      </c>
      <c r="R8" s="892">
        <v>0.25</v>
      </c>
      <c r="S8" s="892">
        <v>0.25</v>
      </c>
      <c r="T8" s="892">
        <v>0.25</v>
      </c>
      <c r="U8" s="892">
        <v>0.25</v>
      </c>
    </row>
    <row r="9" spans="1:22" ht="27" customHeight="1" x14ac:dyDescent="0.3">
      <c r="A9" s="866" t="s">
        <v>824</v>
      </c>
      <c r="B9" s="892">
        <v>0</v>
      </c>
      <c r="C9" s="892">
        <f>0.18</f>
        <v>0.18</v>
      </c>
      <c r="D9" s="892">
        <f>1-C9</f>
        <v>0.82000000000000006</v>
      </c>
      <c r="E9" s="892">
        <v>0.25</v>
      </c>
      <c r="F9" s="892">
        <v>0.25</v>
      </c>
      <c r="G9" s="892">
        <v>0.25</v>
      </c>
      <c r="H9" s="892">
        <v>0.25</v>
      </c>
      <c r="I9" s="892">
        <v>0.25</v>
      </c>
      <c r="J9" s="892">
        <v>0.25</v>
      </c>
      <c r="K9" s="892">
        <v>0.25</v>
      </c>
      <c r="L9" s="892">
        <v>0.25</v>
      </c>
      <c r="M9" s="892">
        <v>0.25</v>
      </c>
      <c r="N9" s="892">
        <v>0.25</v>
      </c>
      <c r="O9" s="892">
        <v>0.25</v>
      </c>
      <c r="P9" s="892">
        <v>0.25</v>
      </c>
      <c r="Q9" s="892">
        <v>0.25</v>
      </c>
      <c r="R9" s="892">
        <v>0.25</v>
      </c>
      <c r="S9" s="892">
        <v>0.25</v>
      </c>
      <c r="T9" s="892">
        <v>0.25</v>
      </c>
      <c r="U9" s="892">
        <v>0.25</v>
      </c>
    </row>
    <row r="10" spans="1:22" x14ac:dyDescent="0.3">
      <c r="A10" s="866" t="s">
        <v>825</v>
      </c>
      <c r="B10" s="892">
        <v>0</v>
      </c>
      <c r="C10" s="892">
        <v>0.5</v>
      </c>
      <c r="D10" s="892">
        <v>0.5</v>
      </c>
      <c r="E10" s="892">
        <v>0.25</v>
      </c>
      <c r="F10" s="892">
        <v>0.25</v>
      </c>
      <c r="G10" s="892">
        <v>0.25</v>
      </c>
      <c r="H10" s="892">
        <v>0.25</v>
      </c>
      <c r="I10" s="892">
        <v>0.25</v>
      </c>
      <c r="J10" s="892">
        <v>0.25</v>
      </c>
      <c r="K10" s="892">
        <v>0.25</v>
      </c>
      <c r="L10" s="892">
        <v>0.25</v>
      </c>
      <c r="M10" s="892">
        <v>0.25</v>
      </c>
      <c r="N10" s="892">
        <v>0.25</v>
      </c>
      <c r="O10" s="892">
        <v>0.25</v>
      </c>
      <c r="P10" s="892">
        <v>0.25</v>
      </c>
      <c r="Q10" s="892">
        <v>0.25</v>
      </c>
      <c r="R10" s="892">
        <v>0.25</v>
      </c>
      <c r="S10" s="892">
        <v>0.25</v>
      </c>
      <c r="T10" s="892">
        <v>0.25</v>
      </c>
      <c r="U10" s="892">
        <v>0.25</v>
      </c>
    </row>
    <row r="11" spans="1:22" x14ac:dyDescent="0.3">
      <c r="A11" s="866" t="s">
        <v>826</v>
      </c>
      <c r="B11" s="892">
        <v>0</v>
      </c>
      <c r="C11" s="892">
        <v>0.5</v>
      </c>
      <c r="D11" s="892">
        <v>0.5</v>
      </c>
      <c r="E11" s="892">
        <v>0.25</v>
      </c>
      <c r="F11" s="892">
        <v>0.25</v>
      </c>
      <c r="G11" s="892">
        <v>0.25</v>
      </c>
      <c r="H11" s="892">
        <v>0.25</v>
      </c>
      <c r="I11" s="892">
        <v>0.25</v>
      </c>
      <c r="J11" s="892">
        <v>0.25</v>
      </c>
      <c r="K11" s="892">
        <v>0.25</v>
      </c>
      <c r="L11" s="892">
        <v>0.25</v>
      </c>
      <c r="M11" s="892">
        <v>0.25</v>
      </c>
      <c r="N11" s="892">
        <v>0.25</v>
      </c>
      <c r="O11" s="892">
        <v>0.25</v>
      </c>
      <c r="P11" s="892">
        <v>0.25</v>
      </c>
      <c r="Q11" s="892">
        <v>0.25</v>
      </c>
      <c r="R11" s="892">
        <v>0.25</v>
      </c>
      <c r="S11" s="892">
        <v>0.25</v>
      </c>
      <c r="T11" s="892">
        <v>0.25</v>
      </c>
      <c r="U11" s="892">
        <v>0.25</v>
      </c>
    </row>
    <row r="12" spans="1:22" ht="14.25" customHeight="1" x14ac:dyDescent="0.3">
      <c r="A12" s="866" t="s">
        <v>827</v>
      </c>
      <c r="B12" s="892">
        <v>1</v>
      </c>
      <c r="C12" s="892"/>
      <c r="D12" s="892"/>
      <c r="E12" s="892"/>
      <c r="F12" s="892"/>
      <c r="G12" s="892"/>
      <c r="H12" s="892"/>
      <c r="I12" s="892"/>
      <c r="J12" s="892"/>
      <c r="K12" s="892"/>
      <c r="L12" s="892"/>
      <c r="M12" s="892"/>
      <c r="N12" s="892"/>
      <c r="O12" s="892"/>
      <c r="P12" s="892"/>
      <c r="Q12" s="892"/>
      <c r="R12" s="892"/>
      <c r="S12" s="892"/>
      <c r="T12" s="892"/>
      <c r="U12" s="892"/>
    </row>
    <row r="13" spans="1:22" x14ac:dyDescent="0.3">
      <c r="A13" s="866" t="s">
        <v>828</v>
      </c>
      <c r="B13" s="892">
        <v>0</v>
      </c>
      <c r="C13" s="892">
        <v>0.4</v>
      </c>
      <c r="D13" s="892">
        <v>0.6</v>
      </c>
      <c r="E13" s="892">
        <v>0.4</v>
      </c>
      <c r="F13" s="892">
        <v>0.3</v>
      </c>
      <c r="G13" s="892">
        <v>0.2</v>
      </c>
      <c r="H13" s="892">
        <v>0.1</v>
      </c>
      <c r="I13" s="892">
        <v>0.25</v>
      </c>
      <c r="J13" s="892">
        <v>0.25</v>
      </c>
      <c r="K13" s="892">
        <v>0.25</v>
      </c>
      <c r="L13" s="892">
        <v>0.25</v>
      </c>
      <c r="M13" s="892">
        <v>0.25</v>
      </c>
      <c r="N13" s="892">
        <v>0.25</v>
      </c>
      <c r="O13" s="892">
        <v>0.25</v>
      </c>
      <c r="P13" s="892">
        <v>0.25</v>
      </c>
      <c r="Q13" s="892">
        <v>0.25</v>
      </c>
      <c r="R13" s="892">
        <v>0.25</v>
      </c>
      <c r="S13" s="892">
        <v>0.25</v>
      </c>
      <c r="T13" s="892">
        <v>0.25</v>
      </c>
      <c r="U13" s="892">
        <v>0.25</v>
      </c>
    </row>
    <row r="14" spans="1:22" x14ac:dyDescent="0.3">
      <c r="A14" s="866"/>
      <c r="B14" s="892"/>
      <c r="C14" s="892"/>
      <c r="D14" s="892"/>
      <c r="E14" s="892"/>
      <c r="F14" s="892"/>
      <c r="G14" s="892"/>
      <c r="H14" s="892"/>
      <c r="I14" s="892"/>
      <c r="J14" s="892"/>
      <c r="K14" s="892"/>
      <c r="L14" s="892"/>
      <c r="M14" s="892"/>
      <c r="N14" s="892"/>
      <c r="O14" s="892"/>
      <c r="P14" s="892"/>
      <c r="Q14" s="892"/>
      <c r="R14" s="892"/>
      <c r="S14" s="892"/>
      <c r="T14" s="892"/>
      <c r="U14" s="892"/>
    </row>
    <row r="15" spans="1:22" ht="27" customHeight="1" x14ac:dyDescent="0.3">
      <c r="A15" s="893" t="s">
        <v>829</v>
      </c>
      <c r="B15" s="892">
        <v>1</v>
      </c>
      <c r="C15" s="892">
        <v>2</v>
      </c>
      <c r="D15" s="892">
        <v>3</v>
      </c>
      <c r="E15" s="892">
        <v>4</v>
      </c>
      <c r="F15" s="892">
        <v>5</v>
      </c>
      <c r="G15" s="892">
        <v>6</v>
      </c>
      <c r="H15" s="892">
        <v>7</v>
      </c>
      <c r="I15" s="892">
        <v>8</v>
      </c>
      <c r="J15" s="892">
        <v>9</v>
      </c>
      <c r="K15" s="892">
        <v>10</v>
      </c>
      <c r="L15" s="892">
        <v>11</v>
      </c>
      <c r="M15" s="892">
        <v>12</v>
      </c>
      <c r="N15" s="892">
        <v>13</v>
      </c>
      <c r="O15" s="892">
        <v>14</v>
      </c>
      <c r="P15" s="892">
        <v>15</v>
      </c>
      <c r="Q15" s="892">
        <v>16</v>
      </c>
      <c r="R15" s="892">
        <v>17</v>
      </c>
      <c r="S15" s="892">
        <v>18</v>
      </c>
      <c r="T15" s="892">
        <v>19</v>
      </c>
      <c r="U15" s="892">
        <v>20</v>
      </c>
    </row>
    <row r="16" spans="1:22" x14ac:dyDescent="0.3">
      <c r="A16" s="866" t="s">
        <v>830</v>
      </c>
      <c r="B16" s="892">
        <v>7.0000000000000007E-2</v>
      </c>
      <c r="C16" s="892">
        <v>7.0000000000000007E-2</v>
      </c>
      <c r="D16" s="892">
        <v>4.9000000000000002E-2</v>
      </c>
      <c r="E16" s="892">
        <v>4.9000000000000002E-2</v>
      </c>
      <c r="F16" s="892">
        <v>4.9000000000000002E-2</v>
      </c>
      <c r="G16" s="892">
        <v>4.9000000000000002E-2</v>
      </c>
      <c r="H16" s="892">
        <v>4.9000000000000002E-2</v>
      </c>
      <c r="I16" s="892">
        <v>4.9000000000000002E-2</v>
      </c>
      <c r="J16" s="892">
        <v>4.9000000000000002E-2</v>
      </c>
      <c r="K16" s="892">
        <v>4.9000000000000002E-2</v>
      </c>
      <c r="L16" s="892">
        <v>4.9000000000000002E-2</v>
      </c>
      <c r="M16" s="892">
        <v>4.9000000000000002E-2</v>
      </c>
      <c r="N16" s="892">
        <f t="shared" ref="N16:T16" si="1">0.0475</f>
        <v>4.7500000000000001E-2</v>
      </c>
      <c r="O16" s="892">
        <f t="shared" si="1"/>
        <v>4.7500000000000001E-2</v>
      </c>
      <c r="P16" s="892">
        <f t="shared" si="1"/>
        <v>4.7500000000000001E-2</v>
      </c>
      <c r="Q16" s="892">
        <f t="shared" si="1"/>
        <v>4.7500000000000001E-2</v>
      </c>
      <c r="R16" s="892">
        <f t="shared" si="1"/>
        <v>4.7500000000000001E-2</v>
      </c>
      <c r="S16" s="892">
        <f t="shared" si="1"/>
        <v>4.7500000000000001E-2</v>
      </c>
      <c r="T16" s="892">
        <f t="shared" si="1"/>
        <v>4.7500000000000001E-2</v>
      </c>
      <c r="U16" s="892">
        <f>0.0375</f>
        <v>3.7499999999999999E-2</v>
      </c>
      <c r="V16" s="892">
        <f>SUM(B16:U16)</f>
        <v>0.99999999999999989</v>
      </c>
    </row>
    <row r="17" spans="1:23" ht="27" customHeight="1" x14ac:dyDescent="0.3">
      <c r="A17" s="866"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92">
        <f>SUM(B17:U17)</f>
        <v>0.94000000000000006</v>
      </c>
      <c r="W17" t="s">
        <v>832</v>
      </c>
    </row>
    <row r="19" spans="1:23" x14ac:dyDescent="0.3">
      <c r="B19" s="891" t="e">
        <f>'Federal and State Purchases'!#REF!</f>
        <v>#REF!</v>
      </c>
      <c r="C19" s="891"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5546875" defaultRowHeight="14.4" x14ac:dyDescent="0.3"/>
  <cols>
    <col min="1" max="1" width="15.44140625" customWidth="1"/>
    <col min="2" max="2" width="32.44140625" customWidth="1"/>
  </cols>
  <sheetData>
    <row r="1" spans="1:23" x14ac:dyDescent="0.3">
      <c r="A1" s="904" t="s">
        <v>833</v>
      </c>
      <c r="B1" s="904" t="s">
        <v>743</v>
      </c>
      <c r="C1" s="895">
        <v>2021</v>
      </c>
      <c r="D1" s="895">
        <f>C1</f>
        <v>2021</v>
      </c>
      <c r="E1" s="895">
        <f>D1</f>
        <v>2021</v>
      </c>
      <c r="F1" s="895">
        <v>2022</v>
      </c>
      <c r="G1" s="895">
        <v>2022</v>
      </c>
      <c r="H1" s="895">
        <v>2022</v>
      </c>
      <c r="I1" s="895">
        <v>2022</v>
      </c>
      <c r="J1" s="895">
        <v>2023</v>
      </c>
      <c r="K1" s="895">
        <v>2023</v>
      </c>
      <c r="L1" s="895">
        <v>2023</v>
      </c>
      <c r="M1" s="895">
        <v>2023</v>
      </c>
      <c r="N1" s="895">
        <v>2024</v>
      </c>
      <c r="O1" s="895">
        <v>2024</v>
      </c>
      <c r="P1" s="895">
        <v>2024</v>
      </c>
      <c r="Q1" s="895">
        <v>2024</v>
      </c>
      <c r="R1" s="895">
        <v>2025</v>
      </c>
      <c r="S1" s="895">
        <v>2025</v>
      </c>
      <c r="T1" s="895">
        <v>2025</v>
      </c>
      <c r="U1" s="895">
        <v>2025</v>
      </c>
      <c r="V1" s="895">
        <v>2026</v>
      </c>
    </row>
    <row r="2" spans="1:23" x14ac:dyDescent="0.3">
      <c r="B2" s="904" t="s">
        <v>834</v>
      </c>
      <c r="C2" s="123" t="s">
        <v>295</v>
      </c>
      <c r="D2" s="123" t="s">
        <v>296</v>
      </c>
      <c r="E2" s="123" t="s">
        <v>180</v>
      </c>
      <c r="F2" s="123" t="s">
        <v>181</v>
      </c>
      <c r="G2" s="123" t="s">
        <v>182</v>
      </c>
      <c r="H2" s="123" t="s">
        <v>183</v>
      </c>
      <c r="I2" s="123" t="s">
        <v>184</v>
      </c>
      <c r="J2" s="123" t="s">
        <v>185</v>
      </c>
      <c r="K2" s="123" t="s">
        <v>186</v>
      </c>
      <c r="L2" s="123" t="s">
        <v>187</v>
      </c>
      <c r="M2" s="123" t="s">
        <v>188</v>
      </c>
      <c r="N2" s="123" t="s">
        <v>189</v>
      </c>
      <c r="O2" s="123" t="s">
        <v>190</v>
      </c>
      <c r="P2" s="123" t="s">
        <v>191</v>
      </c>
      <c r="Q2" s="123" t="s">
        <v>175</v>
      </c>
      <c r="R2" s="123" t="s">
        <v>176</v>
      </c>
      <c r="S2" s="123" t="s">
        <v>177</v>
      </c>
      <c r="T2" s="123" t="s">
        <v>835</v>
      </c>
      <c r="U2" s="123" t="s">
        <v>836</v>
      </c>
      <c r="V2" s="123" t="s">
        <v>837</v>
      </c>
    </row>
    <row r="3" spans="1:23" x14ac:dyDescent="0.3">
      <c r="A3" s="904">
        <v>3</v>
      </c>
      <c r="B3" s="904" t="s">
        <v>598</v>
      </c>
      <c r="C3" s="896">
        <f>4*'ARP Timing'!B6*VLOOKUP(C$1,'ARP Score'!$A$5:$M14,$A3)</f>
        <v>0</v>
      </c>
      <c r="D3" s="896">
        <f>4*'ARP Timing'!C6*VLOOKUP(D$1,'ARP Score'!$A$5:$M14,$A3)</f>
        <v>336.60399999999998</v>
      </c>
      <c r="E3" s="896">
        <f>4*'ARP Timing'!D6*VLOOKUP(E$1,'ARP Score'!$A$5:$M14,$A3)</f>
        <v>446.19599999999991</v>
      </c>
      <c r="F3" s="896">
        <f>4*'ARP Timing'!E6*VLOOKUP(F$1,'ARP Score'!$A$5:$M14,$A3)</f>
        <v>10.1</v>
      </c>
      <c r="G3" s="896">
        <f>4*'ARP Timing'!F6*VLOOKUP(G$1,'ARP Score'!$A$5:$M14,$A3)</f>
        <v>10.1</v>
      </c>
      <c r="H3" s="896">
        <f>4*'ARP Timing'!G6*VLOOKUP(H$1,'ARP Score'!$A$5:$M14,$A3)</f>
        <v>10.1</v>
      </c>
      <c r="I3" s="896">
        <f>4*'ARP Timing'!H6*VLOOKUP(I$1,'ARP Score'!$A$5:$M14,$A3)</f>
        <v>10.1</v>
      </c>
      <c r="J3" s="896">
        <f>4*'ARP Timing'!I6*VLOOKUP(J$1,'ARP Score'!$A$5:$M14,$A3)</f>
        <v>0</v>
      </c>
      <c r="K3" s="896">
        <f>4*'ARP Timing'!J6*VLOOKUP(K$1,'ARP Score'!$A$5:$M14,$A3)</f>
        <v>0</v>
      </c>
      <c r="L3" s="896">
        <f>4*'ARP Timing'!K6*VLOOKUP(L$1,'ARP Score'!$A$5:$M14,$A3)</f>
        <v>0</v>
      </c>
      <c r="M3" s="896">
        <f>4*'ARP Timing'!L6*VLOOKUP(M$1,'ARP Score'!$A$5:$M14,$A3)</f>
        <v>0</v>
      </c>
      <c r="N3" s="896">
        <f>4*'ARP Timing'!M6*VLOOKUP(N$1,'ARP Score'!$A$5:$M14,$A3)</f>
        <v>0</v>
      </c>
      <c r="O3" s="896">
        <f>4*'ARP Timing'!N6*VLOOKUP(O$1,'ARP Score'!$A$5:$M14,$A3)</f>
        <v>0</v>
      </c>
      <c r="P3" s="896">
        <f>4*'ARP Timing'!O6*VLOOKUP(P$1,'ARP Score'!$A$5:$M14,$A3)</f>
        <v>0</v>
      </c>
      <c r="Q3" s="896">
        <f>4*'ARP Timing'!P6*VLOOKUP(Q$1,'ARP Score'!$A$5:$M14,$A3)</f>
        <v>0</v>
      </c>
      <c r="R3" s="896">
        <f>4*'ARP Timing'!Q6*VLOOKUP(R$1,'ARP Score'!$A$5:$M14,$A3)</f>
        <v>0</v>
      </c>
      <c r="S3" s="896">
        <f>4*'ARP Timing'!R6*VLOOKUP(S$1,'ARP Score'!$A$5:$M14,$A3)</f>
        <v>0</v>
      </c>
      <c r="T3" s="896">
        <f>4*'ARP Timing'!S6*VLOOKUP(T$1,'ARP Score'!$A$5:$M14,$A3)</f>
        <v>0</v>
      </c>
      <c r="U3" s="896">
        <f>4*'ARP Timing'!T6*VLOOKUP(U$1,'ARP Score'!$A$5:$M14,$A3)</f>
        <v>0</v>
      </c>
      <c r="V3" s="896">
        <f>4*'ARP Timing'!U6*VLOOKUP(V$1,'ARP Score'!$A$5:$M14,$A3)</f>
        <v>0</v>
      </c>
      <c r="W3" s="896">
        <f>SUM(C3:U3)/4</f>
        <v>205.8</v>
      </c>
    </row>
    <row r="4" spans="1:23" x14ac:dyDescent="0.3">
      <c r="A4" s="904">
        <v>5</v>
      </c>
      <c r="B4" s="897" t="s">
        <v>745</v>
      </c>
      <c r="C4" s="896">
        <f>4*'ARP Timing'!B7*VLOOKUP(C$1,'ARP Score'!$A$5:$M15,$A4)</f>
        <v>0</v>
      </c>
      <c r="D4" s="896">
        <f>4*'ARP Timing'!C7*VLOOKUP(D$1,'ARP Score'!$A$5:$M15,$A4)</f>
        <v>0</v>
      </c>
      <c r="E4" s="896">
        <f>4*'ARP Timing'!D7*VLOOKUP(E$1,'ARP Score'!$A$5:$M15,$A4)</f>
        <v>3.1040000000000418</v>
      </c>
      <c r="F4" s="896">
        <f>4*'ARP Timing'!E7*VLOOKUP(F$1,'ARP Score'!$A$5:$M15,$A4)</f>
        <v>19.719000000000005</v>
      </c>
      <c r="G4" s="896">
        <f>4*'ARP Timing'!F7*VLOOKUP(G$1,'ARP Score'!$A$5:$M15,$A4)</f>
        <v>19.719000000000005</v>
      </c>
      <c r="H4" s="896">
        <f>4*'ARP Timing'!G7*VLOOKUP(H$1,'ARP Score'!$A$5:$M15,$A4)</f>
        <v>19.719000000000005</v>
      </c>
      <c r="I4" s="896">
        <f>4*'ARP Timing'!H7*VLOOKUP(I$1,'ARP Score'!$A$5:$M15,$A4)</f>
        <v>19.719000000000005</v>
      </c>
      <c r="J4" s="896">
        <f>4*'ARP Timing'!I7*VLOOKUP(J$1,'ARP Score'!$A$5:$M15,$A4)</f>
        <v>1.4159999999999999</v>
      </c>
      <c r="K4" s="896">
        <f>4*'ARP Timing'!J7*VLOOKUP(K$1,'ARP Score'!$A$5:$M15,$A4)</f>
        <v>1.4159999999999999</v>
      </c>
      <c r="L4" s="896">
        <f>4*'ARP Timing'!K7*VLOOKUP(L$1,'ARP Score'!$A$5:$M15,$A4)</f>
        <v>1.4159999999999999</v>
      </c>
      <c r="M4" s="896">
        <f>4*'ARP Timing'!L7*VLOOKUP(M$1,'ARP Score'!$A$5:$M15,$A4)</f>
        <v>1.4159999999999999</v>
      </c>
      <c r="N4" s="896">
        <f>4*'ARP Timing'!M7*VLOOKUP(N$1,'ARP Score'!$A$5:$M15,$A4)</f>
        <v>1.4790000000000001</v>
      </c>
      <c r="O4" s="896">
        <f>4*'ARP Timing'!N7*VLOOKUP(O$1,'ARP Score'!$A$5:$M15,$A4)</f>
        <v>1.4790000000000001</v>
      </c>
      <c r="P4" s="896">
        <f>4*'ARP Timing'!O7*VLOOKUP(P$1,'ARP Score'!$A$5:$M15,$A4)</f>
        <v>1.4790000000000001</v>
      </c>
      <c r="Q4" s="896">
        <f>4*'ARP Timing'!P7*VLOOKUP(Q$1,'ARP Score'!$A$5:$M15,$A4)</f>
        <v>1.4790000000000001</v>
      </c>
      <c r="R4" s="896">
        <f>4*'ARP Timing'!Q7*VLOOKUP(R$1,'ARP Score'!$A$5:$M15,$A4)</f>
        <v>1.63</v>
      </c>
      <c r="S4" s="896">
        <f>4*'ARP Timing'!R7*VLOOKUP(S$1,'ARP Score'!$A$5:$M15,$A4)</f>
        <v>1.63</v>
      </c>
      <c r="T4" s="896">
        <f>4*'ARP Timing'!S7*VLOOKUP(T$1,'ARP Score'!$A$5:$M15,$A4)</f>
        <v>1.63</v>
      </c>
      <c r="U4" s="896">
        <f>4*'ARP Timing'!T7*VLOOKUP(U$1,'ARP Score'!$A$5:$M15,$A4)</f>
        <v>1.63</v>
      </c>
      <c r="V4" s="896">
        <f>4*'ARP Timing'!U7*VLOOKUP(V$1,'ARP Score'!$A$5:$M15,$A4)</f>
        <v>1.671</v>
      </c>
      <c r="W4" s="896">
        <f>SUM(C4:U4)/4</f>
        <v>25.020000000000007</v>
      </c>
    </row>
    <row r="5" spans="1:23" x14ac:dyDescent="0.3">
      <c r="A5" s="904">
        <v>6</v>
      </c>
      <c r="B5" s="897" t="s">
        <v>746</v>
      </c>
      <c r="C5" s="896">
        <f>4*'ARP Timing'!B8*VLOOKUP(C$1,'ARP Score'!$A$5:$M16,$A5)</f>
        <v>0</v>
      </c>
      <c r="D5" s="896">
        <f>4*'ARP Timing'!C8*VLOOKUP(D$1,'ARP Score'!$A$5:$M16,$A5)</f>
        <v>33.921840000000024</v>
      </c>
      <c r="E5" s="896">
        <f>4*'ARP Timing'!D8*VLOOKUP(E$1,'ARP Score'!$A$5:$M16,$A5)</f>
        <v>44.966160000000031</v>
      </c>
      <c r="F5" s="896">
        <f>4*'ARP Timing'!E8*VLOOKUP(F$1,'ARP Score'!$A$5:$M16,$A5)</f>
        <v>52.756999999999998</v>
      </c>
      <c r="G5" s="896">
        <f>4*'ARP Timing'!F8*VLOOKUP(G$1,'ARP Score'!$A$5:$M16,$A5)</f>
        <v>52.756999999999998</v>
      </c>
      <c r="H5" s="896">
        <f>4*'ARP Timing'!G8*VLOOKUP(H$1,'ARP Score'!$A$5:$M16,$A5)</f>
        <v>52.756999999999998</v>
      </c>
      <c r="I5" s="896">
        <f>4*'ARP Timing'!H8*VLOOKUP(I$1,'ARP Score'!$A$5:$M16,$A5)</f>
        <v>52.756999999999998</v>
      </c>
      <c r="J5" s="896">
        <f>4*'ARP Timing'!I8*VLOOKUP(J$1,'ARP Score'!$A$5:$M16,$A5)</f>
        <v>12</v>
      </c>
      <c r="K5" s="896">
        <f>4*'ARP Timing'!J8*VLOOKUP(K$1,'ARP Score'!$A$5:$M16,$A5)</f>
        <v>12</v>
      </c>
      <c r="L5" s="896">
        <f>4*'ARP Timing'!K8*VLOOKUP(L$1,'ARP Score'!$A$5:$M16,$A5)</f>
        <v>12</v>
      </c>
      <c r="M5" s="896">
        <f>4*'ARP Timing'!L8*VLOOKUP(M$1,'ARP Score'!$A$5:$M16,$A5)</f>
        <v>12</v>
      </c>
      <c r="N5" s="896">
        <f>4*'ARP Timing'!M8*VLOOKUP(N$1,'ARP Score'!$A$5:$M16,$A5)</f>
        <v>4.2219999999999995</v>
      </c>
      <c r="O5" s="896">
        <f>4*'ARP Timing'!N8*VLOOKUP(O$1,'ARP Score'!$A$5:$M16,$A5)</f>
        <v>4.2219999999999995</v>
      </c>
      <c r="P5" s="896">
        <f>4*'ARP Timing'!O8*VLOOKUP(P$1,'ARP Score'!$A$5:$M16,$A5)</f>
        <v>4.2219999999999995</v>
      </c>
      <c r="Q5" s="896">
        <f>4*'ARP Timing'!P8*VLOOKUP(Q$1,'ARP Score'!$A$5:$M16,$A5)</f>
        <v>4.2219999999999995</v>
      </c>
      <c r="R5" s="896">
        <f>4*'ARP Timing'!Q8*VLOOKUP(R$1,'ARP Score'!$A$5:$M16,$A5)</f>
        <v>2.3719999999999999</v>
      </c>
      <c r="S5" s="896">
        <f>4*'ARP Timing'!R8*VLOOKUP(S$1,'ARP Score'!$A$5:$M16,$A5)</f>
        <v>2.3719999999999999</v>
      </c>
      <c r="T5" s="896">
        <f>4*'ARP Timing'!S8*VLOOKUP(T$1,'ARP Score'!$A$5:$M16,$A5)</f>
        <v>2.3719999999999999</v>
      </c>
      <c r="U5" s="896">
        <f>4*'ARP Timing'!T8*VLOOKUP(U$1,'ARP Score'!$A$5:$M16,$A5)</f>
        <v>2.3719999999999999</v>
      </c>
      <c r="V5" s="896">
        <f>4*'ARP Timing'!U8*VLOOKUP(V$1,'ARP Score'!$A$5:$M16,$A5)</f>
        <v>0.49</v>
      </c>
      <c r="W5" s="896">
        <f t="shared" ref="W5:W15" si="0">SUM(C5:U5)/4</f>
        <v>91.073000000000008</v>
      </c>
    </row>
    <row r="6" spans="1:23" x14ac:dyDescent="0.3">
      <c r="A6" s="904">
        <v>7</v>
      </c>
      <c r="B6" s="897" t="s">
        <v>838</v>
      </c>
      <c r="C6" s="896">
        <f>4*'ARP Timing'!B9*VLOOKUP(C$1,'ARP Score'!$A$5:$M17,$A6)</f>
        <v>0</v>
      </c>
      <c r="D6" s="896">
        <f>4*'ARP Timing'!C9*VLOOKUP(D$1,'ARP Score'!$A$5:$M17,$A6)</f>
        <v>58.782959999999989</v>
      </c>
      <c r="E6" s="896">
        <f>4*'ARP Timing'!D9*VLOOKUP(E$1,'ARP Score'!$A$5:$M17,$A6)</f>
        <v>267.78904</v>
      </c>
      <c r="F6" s="896">
        <f>4*'ARP Timing'!E9*VLOOKUP(F$1,'ARP Score'!$A$5:$M17,$A6)</f>
        <v>110.24799999999999</v>
      </c>
      <c r="G6" s="896">
        <f>4*'ARP Timing'!F9*VLOOKUP(G$1,'ARP Score'!$A$5:$M17,$A6)</f>
        <v>110.24799999999999</v>
      </c>
      <c r="H6" s="896">
        <f>4*'ARP Timing'!G9*VLOOKUP(H$1,'ARP Score'!$A$5:$M17,$A6)</f>
        <v>110.24799999999999</v>
      </c>
      <c r="I6" s="896">
        <f>4*'ARP Timing'!H9*VLOOKUP(I$1,'ARP Score'!$A$5:$M17,$A6)</f>
        <v>110.24799999999999</v>
      </c>
      <c r="J6" s="896">
        <f>4*'ARP Timing'!I9*VLOOKUP(J$1,'ARP Score'!$A$5:$M17,$A6)</f>
        <v>12.726000000000001</v>
      </c>
      <c r="K6" s="896">
        <f>4*'ARP Timing'!J9*VLOOKUP(K$1,'ARP Score'!$A$5:$M17,$A6)</f>
        <v>12.726000000000001</v>
      </c>
      <c r="L6" s="896">
        <f>4*'ARP Timing'!K9*VLOOKUP(L$1,'ARP Score'!$A$5:$M17,$A6)</f>
        <v>12.726000000000001</v>
      </c>
      <c r="M6" s="896">
        <f>4*'ARP Timing'!L9*VLOOKUP(M$1,'ARP Score'!$A$5:$M17,$A6)</f>
        <v>12.726000000000001</v>
      </c>
      <c r="N6" s="896">
        <f>4*'ARP Timing'!M9*VLOOKUP(N$1,'ARP Score'!$A$5:$M17,$A6)</f>
        <v>1.365</v>
      </c>
      <c r="O6" s="896">
        <f>4*'ARP Timing'!N9*VLOOKUP(O$1,'ARP Score'!$A$5:$M17,$A6)</f>
        <v>1.365</v>
      </c>
      <c r="P6" s="896">
        <f>4*'ARP Timing'!O9*VLOOKUP(P$1,'ARP Score'!$A$5:$M17,$A6)</f>
        <v>1.365</v>
      </c>
      <c r="Q6" s="896">
        <f>4*'ARP Timing'!P9*VLOOKUP(Q$1,'ARP Score'!$A$5:$M17,$A6)</f>
        <v>1.365</v>
      </c>
      <c r="R6" s="896">
        <f>4*'ARP Timing'!Q9*VLOOKUP(R$1,'ARP Score'!$A$5:$M17,$A6)</f>
        <v>-0.90100000000000025</v>
      </c>
      <c r="S6" s="896">
        <f>4*'ARP Timing'!R9*VLOOKUP(S$1,'ARP Score'!$A$5:$M17,$A6)</f>
        <v>-0.90100000000000025</v>
      </c>
      <c r="T6" s="896">
        <f>4*'ARP Timing'!S9*VLOOKUP(T$1,'ARP Score'!$A$5:$M17,$A6)</f>
        <v>-0.90100000000000025</v>
      </c>
      <c r="U6" s="896">
        <f>4*'ARP Timing'!T9*VLOOKUP(U$1,'ARP Score'!$A$5:$M17,$A6)</f>
        <v>-0.90100000000000025</v>
      </c>
      <c r="V6" s="896">
        <f>4*'ARP Timing'!U9*VLOOKUP(V$1,'ARP Score'!$A$5:$M17,$A6)</f>
        <v>-2.1500000000000004</v>
      </c>
      <c r="W6" s="896">
        <f t="shared" si="0"/>
        <v>205.08100000000007</v>
      </c>
    </row>
    <row r="7" spans="1:23" x14ac:dyDescent="0.3">
      <c r="A7" s="904">
        <v>8</v>
      </c>
      <c r="B7" s="897" t="s">
        <v>131</v>
      </c>
      <c r="C7" s="896">
        <f>4*'ARP Timing'!B10*VLOOKUP(C$1,'ARP Score'!$A$5:$M18,$A7)</f>
        <v>0</v>
      </c>
      <c r="D7" s="896">
        <f>4*'ARP Timing'!C10*VLOOKUP(D$1,'ARP Score'!$A$5:$M18,$A7)</f>
        <v>15.596</v>
      </c>
      <c r="E7" s="896">
        <f>4*'ARP Timing'!D10*VLOOKUP(E$1,'ARP Score'!$A$5:$M18,$A7)</f>
        <v>15.596</v>
      </c>
      <c r="F7" s="896">
        <f>4*'ARP Timing'!E10*VLOOKUP(F$1,'ARP Score'!$A$5:$M18,$A7)</f>
        <v>7.9489999999999998</v>
      </c>
      <c r="G7" s="896">
        <f>4*'ARP Timing'!F10*VLOOKUP(G$1,'ARP Score'!$A$5:$M18,$A7)</f>
        <v>7.9489999999999998</v>
      </c>
      <c r="H7" s="896">
        <f>4*'ARP Timing'!G10*VLOOKUP(H$1,'ARP Score'!$A$5:$M18,$A7)</f>
        <v>7.9489999999999998</v>
      </c>
      <c r="I7" s="896">
        <f>4*'ARP Timing'!H10*VLOOKUP(I$1,'ARP Score'!$A$5:$M18,$A7)</f>
        <v>7.9489999999999998</v>
      </c>
      <c r="J7" s="896">
        <f>4*'ARP Timing'!I10*VLOOKUP(J$1,'ARP Score'!$A$5:$M18,$A7)</f>
        <v>4.7519999999999998</v>
      </c>
      <c r="K7" s="896">
        <f>4*'ARP Timing'!J10*VLOOKUP(K$1,'ARP Score'!$A$5:$M18,$A7)</f>
        <v>4.7519999999999998</v>
      </c>
      <c r="L7" s="896">
        <f>4*'ARP Timing'!K10*VLOOKUP(L$1,'ARP Score'!$A$5:$M18,$A7)</f>
        <v>4.7519999999999998</v>
      </c>
      <c r="M7" s="896">
        <f>4*'ARP Timing'!L10*VLOOKUP(M$1,'ARP Score'!$A$5:$M18,$A7)</f>
        <v>4.7519999999999998</v>
      </c>
      <c r="N7" s="896">
        <f>4*'ARP Timing'!M10*VLOOKUP(N$1,'ARP Score'!$A$5:$M18,$A7)</f>
        <v>4.637999999999999</v>
      </c>
      <c r="O7" s="896">
        <f>4*'ARP Timing'!N10*VLOOKUP(O$1,'ARP Score'!$A$5:$M18,$A7)</f>
        <v>4.637999999999999</v>
      </c>
      <c r="P7" s="896">
        <f>4*'ARP Timing'!O10*VLOOKUP(P$1,'ARP Score'!$A$5:$M18,$A7)</f>
        <v>4.637999999999999</v>
      </c>
      <c r="Q7" s="896">
        <f>4*'ARP Timing'!P10*VLOOKUP(Q$1,'ARP Score'!$A$5:$M18,$A7)</f>
        <v>4.637999999999999</v>
      </c>
      <c r="R7" s="896">
        <f>4*'ARP Timing'!Q10*VLOOKUP(R$1,'ARP Score'!$A$5:$M18,$A7)</f>
        <v>1.8800000000000001</v>
      </c>
      <c r="S7" s="896">
        <f>4*'ARP Timing'!R10*VLOOKUP(S$1,'ARP Score'!$A$5:$M18,$A7)</f>
        <v>1.8800000000000001</v>
      </c>
      <c r="T7" s="896">
        <f>4*'ARP Timing'!S10*VLOOKUP(T$1,'ARP Score'!$A$5:$M18,$A7)</f>
        <v>1.8800000000000001</v>
      </c>
      <c r="U7" s="896">
        <f>4*'ARP Timing'!T10*VLOOKUP(U$1,'ARP Score'!$A$5:$M18,$A7)</f>
        <v>1.8800000000000001</v>
      </c>
      <c r="V7" s="896">
        <f>4*'ARP Timing'!U10*VLOOKUP(V$1,'ARP Score'!$A$5:$M18,$A7)</f>
        <v>1.446</v>
      </c>
      <c r="W7" s="896">
        <f t="shared" si="0"/>
        <v>27.016999999999996</v>
      </c>
    </row>
    <row r="8" spans="1:23" x14ac:dyDescent="0.3">
      <c r="A8" s="904">
        <v>9</v>
      </c>
      <c r="B8" s="899" t="s">
        <v>396</v>
      </c>
      <c r="C8" s="896">
        <f>4*'ARP Timing'!B$11*VLOOKUP(C$1,'ARP Score'!$A$5:$M19,$A8)</f>
        <v>0</v>
      </c>
      <c r="D8" s="896">
        <f>0.6*SUM('ARP Score'!B5:B7)*4</f>
        <v>989.16719999999987</v>
      </c>
      <c r="E8" s="895">
        <v>0</v>
      </c>
      <c r="F8" s="896">
        <v>0</v>
      </c>
      <c r="G8" s="896">
        <v>0</v>
      </c>
      <c r="H8" s="896">
        <f>D8*0.4/0.6</f>
        <v>659.44479999999999</v>
      </c>
      <c r="I8" s="896">
        <v>0</v>
      </c>
      <c r="J8" s="904">
        <v>0</v>
      </c>
      <c r="K8" s="896">
        <v>0</v>
      </c>
      <c r="L8" s="896">
        <v>0</v>
      </c>
      <c r="M8" s="896">
        <v>0</v>
      </c>
      <c r="N8" s="896">
        <v>0</v>
      </c>
      <c r="O8" s="896">
        <v>0</v>
      </c>
      <c r="P8" s="896">
        <v>0</v>
      </c>
      <c r="Q8" s="896">
        <v>0</v>
      </c>
      <c r="R8" s="896">
        <v>0</v>
      </c>
      <c r="S8" s="896">
        <v>0</v>
      </c>
      <c r="T8" s="896">
        <v>0</v>
      </c>
      <c r="U8" s="896">
        <v>0</v>
      </c>
      <c r="V8" s="896">
        <v>0</v>
      </c>
      <c r="W8" s="896">
        <f t="shared" si="0"/>
        <v>412.15299999999996</v>
      </c>
    </row>
    <row r="9" spans="1:23" x14ac:dyDescent="0.3">
      <c r="A9" s="904">
        <v>10</v>
      </c>
      <c r="B9" s="899" t="s">
        <v>150</v>
      </c>
      <c r="C9" s="896">
        <f>4*'ARP Timing'!B$11*VLOOKUP(C$1,'ARP Score'!$A$5:$M20,$A9)</f>
        <v>0</v>
      </c>
      <c r="D9" s="896">
        <f>4*'ARP Timing'!C$11*VLOOKUP(D$1,'ARP Score'!$A$5:$M20,$A9)</f>
        <v>24.693999999999999</v>
      </c>
      <c r="E9" s="896">
        <f>4*'ARP Timing'!D$11*VLOOKUP(E$1,'ARP Score'!$A$5:$M20,$A9)</f>
        <v>24.693999999999999</v>
      </c>
      <c r="F9" s="896">
        <f>4*'ARP Timing'!E$11*VLOOKUP(F$1,'ARP Score'!$A$5:$M20,$A9)</f>
        <v>46.79</v>
      </c>
      <c r="G9" s="896">
        <f>4*'ARP Timing'!F$11*VLOOKUP(G$1,'ARP Score'!$A$5:$M20,$A9)</f>
        <v>46.79</v>
      </c>
      <c r="H9" s="896">
        <f>4*'ARP Timing'!G$11*VLOOKUP(H$1,'ARP Score'!$A$5:$M20,$A9)</f>
        <v>46.79</v>
      </c>
      <c r="I9" s="896">
        <f>4*'ARP Timing'!H$11*VLOOKUP(I$1,'ARP Score'!$A$5:$M20,$A9)</f>
        <v>46.79</v>
      </c>
      <c r="J9" s="896">
        <f>4*'ARP Timing'!I$11*VLOOKUP(J$1,'ARP Score'!$A$5:$M20,$A9)</f>
        <v>38.595999999999997</v>
      </c>
      <c r="K9" s="896">
        <f>4*'ARP Timing'!J$11*VLOOKUP(K$1,'ARP Score'!$A$5:$M20,$A9)</f>
        <v>38.595999999999997</v>
      </c>
      <c r="L9" s="896">
        <f>4*'ARP Timing'!K$11*VLOOKUP(L$1,'ARP Score'!$A$5:$M20,$A9)</f>
        <v>38.595999999999997</v>
      </c>
      <c r="M9" s="896">
        <f>4*'ARP Timing'!L$11*VLOOKUP(M$1,'ARP Score'!$A$5:$M20,$A9)</f>
        <v>38.595999999999997</v>
      </c>
      <c r="N9" s="896">
        <f>4*'ARP Timing'!M$11*VLOOKUP(N$1,'ARP Score'!$A$5:$M20,$A9)</f>
        <v>31.911000000000001</v>
      </c>
      <c r="O9" s="896">
        <f>4*'ARP Timing'!N$11*VLOOKUP(O$1,'ARP Score'!$A$5:$M20,$A9)</f>
        <v>31.911000000000001</v>
      </c>
      <c r="P9" s="896">
        <f>4*'ARP Timing'!O$11*VLOOKUP(P$1,'ARP Score'!$A$5:$M20,$A9)</f>
        <v>31.911000000000001</v>
      </c>
      <c r="Q9" s="896">
        <f>4*'ARP Timing'!P$11*VLOOKUP(Q$1,'ARP Score'!$A$5:$M20,$A9)</f>
        <v>31.911000000000001</v>
      </c>
      <c r="R9" s="896">
        <f>4*'ARP Timing'!Q$11*VLOOKUP(R$1,'ARP Score'!$A$5:$M20,$A9)</f>
        <v>23.099</v>
      </c>
      <c r="S9" s="896">
        <f>4*'ARP Timing'!R$11*VLOOKUP(S$1,'ARP Score'!$A$5:$M20,$A9)</f>
        <v>23.099</v>
      </c>
      <c r="T9" s="896">
        <f>4*'ARP Timing'!S$11*VLOOKUP(T$1,'ARP Score'!$A$5:$M20,$A9)</f>
        <v>23.099</v>
      </c>
      <c r="U9" s="896">
        <f>4*'ARP Timing'!T$11*VLOOKUP(U$1,'ARP Score'!$A$5:$M20,$A9)</f>
        <v>23.099</v>
      </c>
      <c r="V9" s="896">
        <f>4*'ARP Timing'!U$11*VLOOKUP(V$1,'ARP Score'!$A$5:$M20,$A9)</f>
        <v>10.766999999999999</v>
      </c>
      <c r="W9" s="896">
        <f t="shared" si="0"/>
        <v>152.74300000000005</v>
      </c>
    </row>
    <row r="10" spans="1:23" x14ac:dyDescent="0.3">
      <c r="A10" s="903">
        <v>11</v>
      </c>
      <c r="B10" s="899" t="s">
        <v>412</v>
      </c>
      <c r="C10" s="896">
        <f>4*'ARP Timing'!B$11*VLOOKUP(C$1,'ARP Score'!$A$5:$M22,$A10)</f>
        <v>0</v>
      </c>
      <c r="D10" s="896">
        <f>4*'ARP Timing'!C$11*VLOOKUP(D$1,'ARP Score'!$A$5:$M22,$A10)</f>
        <v>59.256</v>
      </c>
      <c r="E10" s="896">
        <f>4*'ARP Timing'!D$11*VLOOKUP(E$1,'ARP Score'!$A$5:$M22,$A10)</f>
        <v>59.256</v>
      </c>
      <c r="F10" s="896">
        <f>4*'ARP Timing'!E$11*VLOOKUP(F$1,'ARP Score'!$A$5:$M22,$A10)</f>
        <v>35.671000000000006</v>
      </c>
      <c r="G10" s="896">
        <f>4*'ARP Timing'!F$11*VLOOKUP(G$1,'ARP Score'!$A$5:$M22,$A10)</f>
        <v>35.671000000000006</v>
      </c>
      <c r="H10" s="896">
        <f>4*'ARP Timing'!G$11*VLOOKUP(H$1,'ARP Score'!$A$5:$M22,$A10)</f>
        <v>35.671000000000006</v>
      </c>
      <c r="I10" s="896">
        <f>4*'ARP Timing'!H$11*VLOOKUP(I$1,'ARP Score'!$A$5:$M22,$A10)</f>
        <v>35.671000000000006</v>
      </c>
      <c r="J10" s="896">
        <f>4*'ARP Timing'!I$11*VLOOKUP(J$1,'ARP Score'!$A$5:$M22,$A10)</f>
        <v>24.216000000000001</v>
      </c>
      <c r="K10" s="896">
        <f>4*'ARP Timing'!J$11*VLOOKUP(K$1,'ARP Score'!$A$5:$M22,$A10)</f>
        <v>24.216000000000001</v>
      </c>
      <c r="L10" s="896">
        <f>4*'ARP Timing'!K$11*VLOOKUP(L$1,'ARP Score'!$A$5:$M22,$A10)</f>
        <v>24.216000000000001</v>
      </c>
      <c r="M10" s="896">
        <f>4*'ARP Timing'!L$11*VLOOKUP(M$1,'ARP Score'!$A$5:$M22,$A10)</f>
        <v>24.216000000000001</v>
      </c>
      <c r="N10" s="896">
        <f>4*'ARP Timing'!M$11*VLOOKUP(N$1,'ARP Score'!$A$5:$M22,$A10)</f>
        <v>9.6430000000000007</v>
      </c>
      <c r="O10" s="896">
        <f>4*'ARP Timing'!N$11*VLOOKUP(O$1,'ARP Score'!$A$5:$M22,$A10)</f>
        <v>9.6430000000000007</v>
      </c>
      <c r="P10" s="896">
        <f>4*'ARP Timing'!O$11*VLOOKUP(P$1,'ARP Score'!$A$5:$M22,$A10)</f>
        <v>9.6430000000000007</v>
      </c>
      <c r="Q10" s="896">
        <f>4*'ARP Timing'!P$11*VLOOKUP(Q$1,'ARP Score'!$A$5:$M22,$A10)</f>
        <v>9.6430000000000007</v>
      </c>
      <c r="R10" s="896">
        <f>4*'ARP Timing'!Q$11*VLOOKUP(R$1,'ARP Score'!$A$5:$M22,$A10)</f>
        <v>4.5789999999999997</v>
      </c>
      <c r="S10" s="896">
        <f>4*'ARP Timing'!R$11*VLOOKUP(S$1,'ARP Score'!$A$5:$M22,$A10)</f>
        <v>4.5789999999999997</v>
      </c>
      <c r="T10" s="896">
        <f>4*'ARP Timing'!S$11*VLOOKUP(T$1,'ARP Score'!$A$5:$M22,$A10)</f>
        <v>4.5789999999999997</v>
      </c>
      <c r="U10" s="896">
        <f>4*'ARP Timing'!T$11*VLOOKUP(U$1,'ARP Score'!$A$5:$M22,$A10)</f>
        <v>4.5789999999999997</v>
      </c>
      <c r="V10" s="896">
        <f>4*'ARP Timing'!U$11*VLOOKUP(V$1,'ARP Score'!$A$5:$M22,$A10)</f>
        <v>2.9130000000000003</v>
      </c>
      <c r="W10" s="896">
        <f t="shared" si="0"/>
        <v>103.73700000000002</v>
      </c>
    </row>
    <row r="11" spans="1:23" x14ac:dyDescent="0.3">
      <c r="A11" s="904">
        <v>12</v>
      </c>
      <c r="B11" s="14" t="s">
        <v>159</v>
      </c>
      <c r="C11" s="896">
        <f>4*'ARP Timing'!B12*VLOOKUP(C$1,'ARP Score'!$A$5:$M20,$A11)</f>
        <v>103</v>
      </c>
      <c r="D11" s="896">
        <f>4*'ARP Timing'!C12*VLOOKUP(D$1,'ARP Score'!$A$5:$M20,$A11)</f>
        <v>0</v>
      </c>
      <c r="E11" s="896">
        <f>4*'ARP Timing'!D12*VLOOKUP(E$1,'ARP Score'!$A$5:$M20,$A11)</f>
        <v>0</v>
      </c>
      <c r="F11" s="896">
        <f>4*'ARP Timing'!E12*VLOOKUP(F$1,'ARP Score'!$A$5:$M20,$A11)</f>
        <v>0</v>
      </c>
      <c r="G11" s="896">
        <f>4*'ARP Timing'!F12*VLOOKUP(G$1,'ARP Score'!$A$5:$M20,$A11)</f>
        <v>0</v>
      </c>
      <c r="H11" s="896">
        <f>4*'ARP Timing'!G12*VLOOKUP(H$1,'ARP Score'!$A$5:$M20,$A11)</f>
        <v>0</v>
      </c>
      <c r="I11" s="896">
        <f>4*'ARP Timing'!H12*VLOOKUP(I$1,'ARP Score'!$A$5:$M20,$A11)</f>
        <v>0</v>
      </c>
      <c r="J11" s="896">
        <f>4*'ARP Timing'!I12*VLOOKUP(J$1,'ARP Score'!$A$5:$M20,$A11)</f>
        <v>0</v>
      </c>
      <c r="K11" s="896">
        <f>4*'ARP Timing'!J12*VLOOKUP(K$1,'ARP Score'!$A$5:$M20,$A11)</f>
        <v>0</v>
      </c>
      <c r="L11" s="896">
        <f>4*'ARP Timing'!K12*VLOOKUP(L$1,'ARP Score'!$A$5:$M20,$A11)</f>
        <v>0</v>
      </c>
      <c r="M11" s="896">
        <f>4*'ARP Timing'!L12*VLOOKUP(M$1,'ARP Score'!$A$5:$M20,$A11)</f>
        <v>0</v>
      </c>
      <c r="N11" s="896">
        <f>4*'ARP Timing'!M12*VLOOKUP(N$1,'ARP Score'!$A$5:$M20,$A11)</f>
        <v>0</v>
      </c>
      <c r="O11" s="896">
        <f>4*'ARP Timing'!N12*VLOOKUP(O$1,'ARP Score'!$A$5:$M20,$A11)</f>
        <v>0</v>
      </c>
      <c r="P11" s="896">
        <f>4*'ARP Timing'!O12*VLOOKUP(P$1,'ARP Score'!$A$5:$M20,$A11)</f>
        <v>0</v>
      </c>
      <c r="Q11" s="896">
        <f>4*'ARP Timing'!P12*VLOOKUP(Q$1,'ARP Score'!$A$5:$M20,$A11)</f>
        <v>0</v>
      </c>
      <c r="R11" s="896">
        <f>4*'ARP Timing'!Q12*VLOOKUP(R$1,'ARP Score'!$A$5:$M20,$A11)</f>
        <v>0</v>
      </c>
      <c r="S11" s="896">
        <f>4*'ARP Timing'!R12*VLOOKUP(S$1,'ARP Score'!$A$5:$M20,$A11)</f>
        <v>0</v>
      </c>
      <c r="T11" s="896">
        <f>4*'ARP Timing'!S12*VLOOKUP(T$1,'ARP Score'!$A$5:$M20,$A11)</f>
        <v>0</v>
      </c>
      <c r="U11" s="896">
        <f>4*'ARP Timing'!T12*VLOOKUP(U$1,'ARP Score'!$A$5:$M20,$A11)</f>
        <v>0</v>
      </c>
      <c r="V11" s="896">
        <f>4*'ARP Timing'!U12*VLOOKUP(V$1,'ARP Score'!$A$5:$M20,$A11)</f>
        <v>0</v>
      </c>
      <c r="W11" s="896">
        <f t="shared" si="0"/>
        <v>25.75</v>
      </c>
    </row>
    <row r="12" spans="1:23" x14ac:dyDescent="0.3">
      <c r="A12" s="904">
        <v>13</v>
      </c>
      <c r="B12" s="897" t="s">
        <v>109</v>
      </c>
      <c r="C12" s="896">
        <f>4*'ARP Timing'!B13*VLOOKUP(C$1,'ARP Score'!$A$5:$M21,$A12)</f>
        <v>0</v>
      </c>
      <c r="D12" s="896">
        <f>4*'ARP Timing'!C13*VLOOKUP(D$1,'ARP Score'!$A$5:$M21,$A12)</f>
        <v>51.102400000000003</v>
      </c>
      <c r="E12" s="896">
        <f>4*'ARP Timing'!D13*VLOOKUP(E$1,'ARP Score'!$A$5:$M21,$A12)</f>
        <v>76.653599999999997</v>
      </c>
      <c r="F12" s="896">
        <f>4*'ARP Timing'!E13*VLOOKUP(F$1,'ARP Score'!$A$5:$M21,$A12)</f>
        <v>90.260800000000003</v>
      </c>
      <c r="G12" s="896">
        <f>4*'ARP Timing'!F13*VLOOKUP(G$1,'ARP Score'!$A$5:$M21,$A12)</f>
        <v>67.695599999999999</v>
      </c>
      <c r="H12" s="896">
        <f>4*'ARP Timing'!G13*VLOOKUP(H$1,'ARP Score'!$A$5:$M21,$A12)</f>
        <v>45.130400000000002</v>
      </c>
      <c r="I12" s="896">
        <f>4*'ARP Timing'!H13*VLOOKUP(I$1,'ARP Score'!$A$5:$M21,$A12)</f>
        <v>22.565200000000001</v>
      </c>
      <c r="J12" s="896">
        <f>4*'ARP Timing'!I13*VLOOKUP(J$1,'ARP Score'!$A$5:$M21,$A12)</f>
        <v>15.652999999999999</v>
      </c>
      <c r="K12" s="896">
        <f>4*'ARP Timing'!J13*VLOOKUP(K$1,'ARP Score'!$A$5:$M21,$A12)</f>
        <v>15.652999999999999</v>
      </c>
      <c r="L12" s="896">
        <f>4*'ARP Timing'!K13*VLOOKUP(L$1,'ARP Score'!$A$5:$M21,$A12)</f>
        <v>15.652999999999999</v>
      </c>
      <c r="M12" s="896">
        <f>4*'ARP Timing'!L13*VLOOKUP(M$1,'ARP Score'!$A$5:$M21,$A12)</f>
        <v>15.652999999999999</v>
      </c>
      <c r="N12" s="896">
        <f>4*'ARP Timing'!M13*VLOOKUP(N$1,'ARP Score'!$A$5:$M21,$A12)</f>
        <v>3.9320000000000004</v>
      </c>
      <c r="O12" s="896">
        <f>4*'ARP Timing'!N13*VLOOKUP(O$1,'ARP Score'!$A$5:$M21,$A12)</f>
        <v>3.9320000000000004</v>
      </c>
      <c r="P12" s="896">
        <f>4*'ARP Timing'!O13*VLOOKUP(P$1,'ARP Score'!$A$5:$M21,$A12)</f>
        <v>3.9320000000000004</v>
      </c>
      <c r="Q12" s="896">
        <f>4*'ARP Timing'!P13*VLOOKUP(Q$1,'ARP Score'!$A$5:$M21,$A12)</f>
        <v>3.9320000000000004</v>
      </c>
      <c r="R12" s="896">
        <f>4*'ARP Timing'!Q13*VLOOKUP(R$1,'ARP Score'!$A$5:$M21,$A12)</f>
        <v>-0.74299999999999988</v>
      </c>
      <c r="S12" s="896">
        <f>4*'ARP Timing'!R13*VLOOKUP(S$1,'ARP Score'!$A$5:$M21,$A12)</f>
        <v>-0.74299999999999988</v>
      </c>
      <c r="T12" s="896">
        <f>4*'ARP Timing'!S13*VLOOKUP(T$1,'ARP Score'!$A$5:$M21,$A12)</f>
        <v>-0.74299999999999988</v>
      </c>
      <c r="U12" s="896">
        <f>4*'ARP Timing'!T13*VLOOKUP(U$1,'ARP Score'!$A$5:$M21,$A12)</f>
        <v>-0.74299999999999988</v>
      </c>
      <c r="V12" s="896">
        <f>4*'ARP Timing'!U13*VLOOKUP(V$1,'ARP Score'!$A$5:$M21,$A12)</f>
        <v>-21.606000000000002</v>
      </c>
      <c r="W12" s="896">
        <f t="shared" si="0"/>
        <v>107.19400000000005</v>
      </c>
    </row>
    <row r="13" spans="1:23" x14ac:dyDescent="0.3">
      <c r="A13" s="904">
        <v>15</v>
      </c>
      <c r="B13" s="904" t="s">
        <v>839</v>
      </c>
      <c r="C13" s="896">
        <f>0.3*'ARP Score'!$N5*4*'ARP Timing'!B6</f>
        <v>0</v>
      </c>
      <c r="D13" s="896">
        <f>0.3*'ARP Score'!$N5*4*'ARP Timing'!C6</f>
        <v>1.7544</v>
      </c>
      <c r="E13" s="896">
        <f>0.3*'ARP Score'!$N5*4*'ARP Timing'!D6</f>
        <v>2.3255999999999997</v>
      </c>
      <c r="F13" s="896">
        <f>0.3*'ARP Score'!$N6*4*'ARP Timing'!E6</f>
        <v>1.5299999999999998</v>
      </c>
      <c r="G13" s="896">
        <f>0.3*'ARP Score'!$N6*4*'ARP Timing'!F6</f>
        <v>1.5299999999999998</v>
      </c>
      <c r="H13" s="896">
        <f>0.3*'ARP Score'!$N6*4*'ARP Timing'!G6</f>
        <v>1.5299999999999998</v>
      </c>
      <c r="I13" s="896">
        <f>0.3*'ARP Score'!$N6*4*'ARP Timing'!H6</f>
        <v>1.5299999999999998</v>
      </c>
      <c r="J13" s="896">
        <f>0.3*'ARP Score'!$N7*4*'ARP Timing'!I6</f>
        <v>0</v>
      </c>
      <c r="K13" s="896">
        <f>0.3*'ARP Score'!$N7*4*'ARP Timing'!J6</f>
        <v>0</v>
      </c>
      <c r="L13" s="896">
        <f>0.3*'ARP Score'!$N7*4*'ARP Timing'!K6</f>
        <v>0</v>
      </c>
      <c r="M13" s="896">
        <f>0.3*'ARP Score'!$N7*4*'ARP Timing'!L6</f>
        <v>0</v>
      </c>
      <c r="N13" s="896">
        <f>0.3*'ARP Score'!$N7*4*'ARP Timing'!M6</f>
        <v>0</v>
      </c>
      <c r="O13" s="896">
        <f>0.3*'ARP Score'!$N7*4*'ARP Timing'!N6</f>
        <v>0</v>
      </c>
      <c r="P13" s="896">
        <f>0.3*'ARP Score'!$N7*4*'ARP Timing'!O6</f>
        <v>0</v>
      </c>
      <c r="Q13" s="896">
        <f>0.3*'ARP Score'!$N7*4*'ARP Timing'!P6</f>
        <v>0</v>
      </c>
      <c r="R13" s="896">
        <f>0.3*'ARP Score'!$N7*4*'ARP Timing'!Q6</f>
        <v>0</v>
      </c>
      <c r="S13" s="896">
        <f>0.3*'ARP Score'!$N7*4*'ARP Timing'!R6</f>
        <v>0</v>
      </c>
      <c r="T13" s="896">
        <f>0.3*'ARP Score'!$N7*4*'ARP Timing'!S6</f>
        <v>0</v>
      </c>
      <c r="U13" s="896">
        <f>0.3*'ARP Score'!$N7*4*'ARP Timing'!T6</f>
        <v>0</v>
      </c>
      <c r="V13" s="896">
        <f>0.3*'ARP Score'!$N7*4*'ARP Timing'!U6</f>
        <v>0</v>
      </c>
      <c r="W13" s="896">
        <f t="shared" si="0"/>
        <v>2.5499999999999994</v>
      </c>
    </row>
    <row r="14" spans="1:23" x14ac:dyDescent="0.3">
      <c r="A14" s="904">
        <v>14</v>
      </c>
      <c r="B14" s="904" t="s">
        <v>840</v>
      </c>
      <c r="C14" s="896">
        <f>C13/0.3*0.2</f>
        <v>0</v>
      </c>
      <c r="D14" s="896">
        <f t="shared" ref="D14:F14" si="1">D13/0.3*0.2</f>
        <v>1.1696</v>
      </c>
      <c r="E14" s="896">
        <f t="shared" si="1"/>
        <v>1.5503999999999998</v>
      </c>
      <c r="F14" s="896">
        <f t="shared" si="1"/>
        <v>1.02</v>
      </c>
      <c r="G14" s="896">
        <f t="shared" ref="G14" si="2">G13/0.3*0.2</f>
        <v>1.02</v>
      </c>
      <c r="H14" s="896">
        <f t="shared" ref="H14" si="3">H13/0.3*0.2</f>
        <v>1.02</v>
      </c>
      <c r="I14" s="896">
        <f t="shared" ref="I14" si="4">I13/0.3*0.2</f>
        <v>1.02</v>
      </c>
      <c r="J14" s="896">
        <f t="shared" ref="J14" si="5">J13/0.3*0.2</f>
        <v>0</v>
      </c>
      <c r="K14" s="896">
        <f t="shared" ref="K14" si="6">K13/0.3*0.2</f>
        <v>0</v>
      </c>
      <c r="L14" s="896">
        <f t="shared" ref="L14" si="7">L13/0.3*0.2</f>
        <v>0</v>
      </c>
      <c r="M14" s="896">
        <f t="shared" ref="M14" si="8">M13/0.3*0.2</f>
        <v>0</v>
      </c>
      <c r="N14" s="896">
        <f t="shared" ref="N14" si="9">N13/0.3*0.2</f>
        <v>0</v>
      </c>
      <c r="O14" s="896">
        <f t="shared" ref="O14" si="10">O13/0.3*0.2</f>
        <v>0</v>
      </c>
      <c r="P14" s="896">
        <f t="shared" ref="P14" si="11">P13/0.3*0.2</f>
        <v>0</v>
      </c>
      <c r="Q14" s="896">
        <f t="shared" ref="Q14" si="12">Q13/0.3*0.2</f>
        <v>0</v>
      </c>
      <c r="R14" s="896">
        <f t="shared" ref="R14" si="13">R13/0.3*0.2</f>
        <v>0</v>
      </c>
      <c r="S14" s="896">
        <f t="shared" ref="S14" si="14">S13/0.3*0.2</f>
        <v>0</v>
      </c>
      <c r="T14" s="896">
        <f t="shared" ref="T14" si="15">T13/0.3*0.2</f>
        <v>0</v>
      </c>
      <c r="U14" s="896">
        <f t="shared" ref="U14" si="16">U13/0.3*0.2</f>
        <v>0</v>
      </c>
      <c r="V14" s="896">
        <f t="shared" ref="V14" si="17">V13/0.3*0.2</f>
        <v>0</v>
      </c>
      <c r="W14" s="896">
        <f t="shared" si="0"/>
        <v>1.6999999999999997</v>
      </c>
    </row>
    <row r="15" spans="1:23" x14ac:dyDescent="0.3">
      <c r="A15" s="904">
        <v>14</v>
      </c>
      <c r="B15" s="904" t="s">
        <v>534</v>
      </c>
      <c r="C15" s="896">
        <f>C14/0.2*0.5</f>
        <v>0</v>
      </c>
      <c r="D15" s="896">
        <f t="shared" ref="D15:F15" si="18">D14/0.2*0.5</f>
        <v>2.9239999999999999</v>
      </c>
      <c r="E15" s="896">
        <f t="shared" si="18"/>
        <v>3.8759999999999994</v>
      </c>
      <c r="F15" s="896">
        <f t="shared" si="18"/>
        <v>2.5499999999999998</v>
      </c>
      <c r="G15" s="896">
        <f t="shared" ref="G15" si="19">G14/0.2*0.5</f>
        <v>2.5499999999999998</v>
      </c>
      <c r="H15" s="896">
        <f t="shared" ref="H15" si="20">H14/0.2*0.5</f>
        <v>2.5499999999999998</v>
      </c>
      <c r="I15" s="896">
        <f t="shared" ref="I15" si="21">I14/0.2*0.5</f>
        <v>2.5499999999999998</v>
      </c>
      <c r="J15" s="896">
        <f t="shared" ref="J15" si="22">J14/0.2*0.5</f>
        <v>0</v>
      </c>
      <c r="K15" s="896">
        <f t="shared" ref="K15" si="23">K14/0.2*0.5</f>
        <v>0</v>
      </c>
      <c r="L15" s="896">
        <f t="shared" ref="L15" si="24">L14/0.2*0.5</f>
        <v>0</v>
      </c>
      <c r="M15" s="896">
        <f t="shared" ref="M15" si="25">M14/0.2*0.5</f>
        <v>0</v>
      </c>
      <c r="N15" s="896">
        <f t="shared" ref="N15" si="26">N14/0.2*0.5</f>
        <v>0</v>
      </c>
      <c r="O15" s="896">
        <f t="shared" ref="O15" si="27">O14/0.2*0.5</f>
        <v>0</v>
      </c>
      <c r="P15" s="896">
        <f t="shared" ref="P15" si="28">P14/0.2*0.5</f>
        <v>0</v>
      </c>
      <c r="Q15" s="896">
        <f t="shared" ref="Q15" si="29">Q14/0.2*0.5</f>
        <v>0</v>
      </c>
      <c r="R15" s="896">
        <f t="shared" ref="R15" si="30">R14/0.2*0.5</f>
        <v>0</v>
      </c>
      <c r="S15" s="896">
        <f t="shared" ref="S15" si="31">S14/0.2*0.5</f>
        <v>0</v>
      </c>
      <c r="T15" s="896">
        <f t="shared" ref="T15" si="32">T14/0.2*0.5</f>
        <v>0</v>
      </c>
      <c r="U15" s="896">
        <f t="shared" ref="U15" si="33">U14/0.2*0.5</f>
        <v>0</v>
      </c>
      <c r="V15" s="896">
        <f t="shared" ref="V15" si="34">V14/0.2*0.5</f>
        <v>0</v>
      </c>
      <c r="W15" s="896">
        <f t="shared" si="0"/>
        <v>4.25</v>
      </c>
    </row>
    <row r="16" spans="1:23" x14ac:dyDescent="0.3">
      <c r="C16" s="896"/>
      <c r="D16" s="896"/>
      <c r="E16" s="896"/>
      <c r="F16" s="896"/>
      <c r="G16" s="896"/>
      <c r="H16" s="896"/>
      <c r="I16" s="896"/>
      <c r="J16" s="896"/>
      <c r="K16" s="896"/>
      <c r="L16" s="896"/>
      <c r="M16" s="896"/>
      <c r="N16" s="896"/>
      <c r="O16" s="896"/>
      <c r="P16" s="896"/>
      <c r="Q16" s="896"/>
      <c r="R16" s="896"/>
      <c r="S16" s="896"/>
      <c r="T16" s="896"/>
      <c r="U16" s="896"/>
      <c r="V16" s="896"/>
      <c r="W16" s="896"/>
    </row>
    <row r="17" spans="1:23" x14ac:dyDescent="0.3">
      <c r="A17" s="904" t="s">
        <v>841</v>
      </c>
      <c r="C17" s="896"/>
      <c r="D17" s="896"/>
      <c r="E17" s="896"/>
      <c r="F17" s="896"/>
      <c r="G17" s="896"/>
      <c r="H17" s="896"/>
      <c r="I17" s="896"/>
      <c r="J17" s="896"/>
      <c r="K17" s="896"/>
      <c r="L17" s="896"/>
      <c r="M17" s="896"/>
      <c r="N17" s="896"/>
      <c r="O17" s="896"/>
      <c r="P17" s="896"/>
      <c r="Q17" s="896"/>
      <c r="R17" s="896"/>
      <c r="S17" s="896"/>
      <c r="T17" s="896"/>
      <c r="U17" s="896"/>
      <c r="V17" s="896"/>
      <c r="W17" s="896"/>
    </row>
    <row r="18" spans="1:23" x14ac:dyDescent="0.3">
      <c r="B18" s="487" t="s">
        <v>143</v>
      </c>
      <c r="C18" s="896">
        <f>'ARP Score'!$BG5/'ARP Score'!$G5*C6</f>
        <v>0</v>
      </c>
      <c r="D18" s="896">
        <f>'ARP Score'!$BG5/'ARP Score'!$G5*D6</f>
        <v>2.2132800000000001</v>
      </c>
      <c r="E18" s="896">
        <f>'ARP Score'!$BG5/'ARP Score'!$G5*E6</f>
        <v>10.082720000000002</v>
      </c>
      <c r="F18" s="896">
        <f>'ARP Score'!$BG6/'ARP Score'!$G6*F6</f>
        <v>7.1439999999999992</v>
      </c>
      <c r="G18" s="896">
        <f>'ARP Score'!$BG6/'ARP Score'!$G6*G6</f>
        <v>7.1439999999999992</v>
      </c>
      <c r="H18" s="896">
        <f>'ARP Score'!$BG6/'ARP Score'!$G6*H6</f>
        <v>7.1439999999999992</v>
      </c>
      <c r="I18" s="896">
        <f>'ARP Score'!$BG6/'ARP Score'!$G6*I6</f>
        <v>7.1439999999999992</v>
      </c>
      <c r="J18" s="896">
        <f>'ARP Score'!$BG7/'ARP Score'!$G7*J6</f>
        <v>0</v>
      </c>
      <c r="K18" s="896">
        <f>'ARP Score'!$BG7/'ARP Score'!$G7*K6</f>
        <v>0</v>
      </c>
      <c r="L18" s="896">
        <f>'ARP Score'!$BG7/'ARP Score'!$G7*L6</f>
        <v>0</v>
      </c>
      <c r="M18" s="896">
        <f>'ARP Score'!$BG7/'ARP Score'!$G7*M6</f>
        <v>0</v>
      </c>
      <c r="N18" s="896"/>
      <c r="O18" s="896"/>
      <c r="P18" s="896"/>
      <c r="Q18" s="896"/>
      <c r="R18" s="896"/>
      <c r="S18" s="896"/>
      <c r="T18" s="896"/>
      <c r="U18" s="896"/>
      <c r="V18" s="896"/>
      <c r="W18" s="896"/>
    </row>
    <row r="19" spans="1:23" x14ac:dyDescent="0.3">
      <c r="B19" s="487" t="s">
        <v>842</v>
      </c>
      <c r="C19" s="896">
        <f>'ARP Score'!$BI5/'ARP Score'!$G5*C6</f>
        <v>0</v>
      </c>
      <c r="D19" s="896">
        <f>'ARP Score'!$BI5/'ARP Score'!$G5*D6</f>
        <v>15.128640000000001</v>
      </c>
      <c r="E19" s="896">
        <f>'ARP Score'!$BI5/'ARP Score'!$G5*E6</f>
        <v>68.919360000000012</v>
      </c>
      <c r="F19" s="896">
        <f>'ARP Score'!$BI6/'ARP Score'!$G6*F6</f>
        <v>5.6120000000000001</v>
      </c>
      <c r="G19" s="896">
        <f>'ARP Score'!$BI6/'ARP Score'!$G6*G6</f>
        <v>5.6120000000000001</v>
      </c>
      <c r="H19" s="896">
        <f>'ARP Score'!$BI6/'ARP Score'!$G6*H6</f>
        <v>5.6120000000000001</v>
      </c>
      <c r="I19" s="896">
        <f>'ARP Score'!$BI6/'ARP Score'!$G6*I6</f>
        <v>5.6120000000000001</v>
      </c>
      <c r="J19" s="896">
        <f>'ARP Score'!$B7/'ARP Score'!$G7*J6</f>
        <v>0.48599999999999993</v>
      </c>
      <c r="K19" s="896">
        <f>'ARP Score'!$B7/'ARP Score'!$G7*K6</f>
        <v>0.48599999999999993</v>
      </c>
      <c r="L19" s="896">
        <f>'ARP Score'!$B7/'ARP Score'!$G7*L6</f>
        <v>0.48599999999999993</v>
      </c>
      <c r="M19" s="896">
        <f>'ARP Score'!$B7/'ARP Score'!$G7*M6</f>
        <v>0.48599999999999993</v>
      </c>
      <c r="N19" s="896">
        <f>'ARP Score'!$B8/'ARP Score'!$G8*N6</f>
        <v>0</v>
      </c>
      <c r="O19" s="896"/>
      <c r="P19" s="896"/>
      <c r="Q19" s="896"/>
      <c r="R19" s="896"/>
      <c r="S19" s="896"/>
      <c r="T19" s="896"/>
      <c r="U19" s="896"/>
      <c r="V19" s="896"/>
      <c r="W19" s="896"/>
    </row>
    <row r="20" spans="1:23" x14ac:dyDescent="0.3">
      <c r="B20" s="487" t="s">
        <v>148</v>
      </c>
      <c r="C20" s="896">
        <f>'ARP Score'!$BF5/'ARP Score'!$G5*C6</f>
        <v>0</v>
      </c>
      <c r="D20" s="896">
        <f>'ARP Score'!$BF5/'ARP Score'!$G5*D6</f>
        <v>3.2479199999999997</v>
      </c>
      <c r="E20" s="896">
        <f>'ARP Score'!$BF5/'ARP Score'!$G5*E6</f>
        <v>14.796080000000002</v>
      </c>
      <c r="F20" s="896">
        <f>'ARP Score'!$BF6/'ARP Score'!$G6*F6</f>
        <v>1.7329999999999999</v>
      </c>
      <c r="G20" s="896">
        <f>'ARP Score'!$BF6/'ARP Score'!$G6*G6</f>
        <v>1.7329999999999999</v>
      </c>
      <c r="H20" s="896">
        <f>'ARP Score'!$BF6/'ARP Score'!$G6*H6</f>
        <v>1.7329999999999999</v>
      </c>
      <c r="I20" s="896">
        <f>'ARP Score'!$BF6/'ARP Score'!$G6*I6</f>
        <v>1.7329999999999999</v>
      </c>
      <c r="J20" s="896">
        <f>'ARP Score'!$BF7/'ARP Score'!$G7*J6</f>
        <v>0</v>
      </c>
      <c r="K20" s="896">
        <f>'ARP Score'!$BF7/'ARP Score'!$G7*K6</f>
        <v>0</v>
      </c>
      <c r="L20" s="896">
        <f>'ARP Score'!$BF7/'ARP Score'!$G7*L6</f>
        <v>0</v>
      </c>
      <c r="M20" s="896">
        <f>'ARP Score'!$BF7/'ARP Score'!$G7*M6</f>
        <v>0</v>
      </c>
      <c r="N20" s="896"/>
      <c r="O20" s="896"/>
      <c r="P20" s="896"/>
      <c r="Q20" s="896"/>
      <c r="R20" s="896"/>
      <c r="S20" s="896"/>
      <c r="T20" s="896"/>
      <c r="U20" s="896"/>
      <c r="V20" s="896"/>
      <c r="W20" s="896"/>
    </row>
    <row r="21" spans="1:23" x14ac:dyDescent="0.3">
      <c r="B21" s="905" t="s">
        <v>475</v>
      </c>
      <c r="C21" s="896">
        <f>15/40*(C6*'ARP Score'!$BD5/'ARP Score'!$G5)</f>
        <v>0</v>
      </c>
      <c r="D21" s="896">
        <f>15/40*(D6*('ARP Score'!$BD5+'ARP Score'!$BE5)/'ARP Score'!$G5)</f>
        <v>13.2921</v>
      </c>
      <c r="E21" s="896">
        <f>15/40*(E6*('ARP Score'!$BD5+'ARP Score'!$BE5)/'ARP Score'!$G5)</f>
        <v>60.552900000000008</v>
      </c>
      <c r="F21" s="896">
        <f>15/40*(F6*('ARP Score'!$BD6+'ARP Score'!$BE6)/'ARP Score'!$G6)</f>
        <v>1.0687500000000001</v>
      </c>
      <c r="G21" s="896">
        <f>15/40*(G6*('ARP Score'!$BD6+'ARP Score'!$BE6)/'ARP Score'!$G6)</f>
        <v>1.0687500000000001</v>
      </c>
      <c r="H21" s="896">
        <f>15/40*(H6*('ARP Score'!$BD6+'ARP Score'!$BE6)/'ARP Score'!$G6)</f>
        <v>1.0687500000000001</v>
      </c>
      <c r="I21" s="896">
        <f>15/40*(I6*('ARP Score'!$BD6+'ARP Score'!$BE6)/'ARP Score'!$G6)</f>
        <v>1.0687500000000001</v>
      </c>
      <c r="J21" s="896">
        <f>15/40*(J6*('ARP Score'!$BD7+'ARP Score'!$BE7)/'ARP Score'!$G7)</f>
        <v>0.78750000000000009</v>
      </c>
      <c r="K21" s="896">
        <f>15/40*(K6*('ARP Score'!$BD7+'ARP Score'!$BE7)/'ARP Score'!$G7)</f>
        <v>0.78750000000000009</v>
      </c>
      <c r="L21" s="896">
        <f>15/40*(L6*('ARP Score'!$BD7+'ARP Score'!$BE7)/'ARP Score'!$G7)</f>
        <v>0.78750000000000009</v>
      </c>
      <c r="M21" s="896">
        <f>15/40*(M6*('ARP Score'!$BD7+'ARP Score'!$BE7)/'ARP Score'!$G7)</f>
        <v>0.78750000000000009</v>
      </c>
      <c r="N21" s="896"/>
      <c r="O21" s="896"/>
      <c r="P21" s="896"/>
      <c r="Q21" s="896"/>
      <c r="R21" s="896"/>
      <c r="S21" s="896"/>
      <c r="T21" s="896"/>
      <c r="U21" s="896"/>
      <c r="V21" s="896"/>
      <c r="W21" s="896"/>
    </row>
    <row r="22" spans="1:23" x14ac:dyDescent="0.3">
      <c r="B22" s="905" t="s">
        <v>843</v>
      </c>
      <c r="C22" s="896"/>
      <c r="D22" s="896">
        <f>D21/15*25</f>
        <v>22.153499999999998</v>
      </c>
      <c r="E22" s="896">
        <f>E21/15*25</f>
        <v>100.92150000000002</v>
      </c>
      <c r="F22" s="896">
        <f>F21/15*25</f>
        <v>1.7812500000000002</v>
      </c>
      <c r="G22" s="896">
        <f>G21/15*25</f>
        <v>1.7812500000000002</v>
      </c>
      <c r="H22" s="896">
        <f t="shared" ref="H22:J22" si="35">H21/15*25</f>
        <v>1.7812500000000002</v>
      </c>
      <c r="I22" s="896">
        <f t="shared" si="35"/>
        <v>1.7812500000000002</v>
      </c>
      <c r="J22" s="896">
        <f t="shared" si="35"/>
        <v>1.3125000000000002</v>
      </c>
      <c r="K22" s="896">
        <f t="shared" ref="K22" si="36">K21/15*25</f>
        <v>1.3125000000000002</v>
      </c>
      <c r="L22" s="896">
        <f t="shared" ref="L22" si="37">L21/15*25</f>
        <v>1.3125000000000002</v>
      </c>
      <c r="M22" s="896">
        <f t="shared" ref="M22" si="38">M21/15*25</f>
        <v>1.3125000000000002</v>
      </c>
      <c r="N22" s="896"/>
      <c r="O22" s="896"/>
      <c r="P22" s="896"/>
      <c r="Q22" s="896"/>
      <c r="R22" s="896"/>
      <c r="S22" s="896"/>
      <c r="T22" s="896"/>
      <c r="U22" s="896"/>
      <c r="V22" s="896"/>
      <c r="W22" s="896"/>
    </row>
    <row r="23" spans="1:23" x14ac:dyDescent="0.3">
      <c r="B23" s="487" t="s">
        <v>487</v>
      </c>
      <c r="C23" s="896">
        <f>'ARP Score'!$BB5/'ARP Score'!$G5*C6</f>
        <v>0</v>
      </c>
      <c r="D23" s="896">
        <f>'ARP Score'!$BB5/'ARP Score'!$G5*D6</f>
        <v>2.9519999999999995</v>
      </c>
      <c r="E23" s="896">
        <f>'ARP Score'!$BB5/'ARP Score'!$G5*E6</f>
        <v>13.448</v>
      </c>
      <c r="F23" s="896">
        <f>'ARP Score'!$BB6/'ARP Score'!$G6*F6</f>
        <v>11.3</v>
      </c>
      <c r="G23" s="896">
        <f>'ARP Score'!$BB6/'ARP Score'!$G6*G6</f>
        <v>11.3</v>
      </c>
      <c r="H23" s="896">
        <f>'ARP Score'!$BB6/'ARP Score'!$G6*H6</f>
        <v>11.3</v>
      </c>
      <c r="I23" s="896">
        <f>'ARP Score'!$BB6/'ARP Score'!$G6*I6</f>
        <v>11.3</v>
      </c>
      <c r="J23" s="896">
        <f>'ARP Score'!$BB7/'ARP Score'!$G7*J6</f>
        <v>8.4</v>
      </c>
      <c r="K23" s="896">
        <f>'ARP Score'!$BB7/'ARP Score'!$G7*K6</f>
        <v>8.4</v>
      </c>
      <c r="L23" s="896">
        <f>'ARP Score'!$BB7/'ARP Score'!$G7*L6</f>
        <v>8.4</v>
      </c>
      <c r="M23" s="896">
        <f>'ARP Score'!$BB7/'ARP Score'!$G7*M6</f>
        <v>8.4</v>
      </c>
      <c r="N23" s="896">
        <f>'ARP Score'!$BB8/'ARP Score'!$G8*N6</f>
        <v>0.2</v>
      </c>
      <c r="O23" s="896">
        <f>'ARP Score'!$BB8/'ARP Score'!$G8*O6</f>
        <v>0.2</v>
      </c>
      <c r="P23" s="896">
        <f>'ARP Score'!$BB8/'ARP Score'!$G8*P6</f>
        <v>0.2</v>
      </c>
      <c r="Q23" s="896">
        <f>'ARP Score'!$BB8/'ARP Score'!$G8*Q6</f>
        <v>0.2</v>
      </c>
      <c r="R23" s="896"/>
      <c r="S23" s="896"/>
      <c r="T23" s="896"/>
      <c r="U23" s="896"/>
      <c r="V23" s="896"/>
      <c r="W23" s="896"/>
    </row>
    <row r="24" spans="1:23" x14ac:dyDescent="0.3">
      <c r="B24" s="487" t="s">
        <v>488</v>
      </c>
      <c r="C24" s="896">
        <f>'ARP Score'!$BH5/'ARP Score'!$G5*C6</f>
        <v>0</v>
      </c>
      <c r="D24" s="896">
        <f>'ARP Score'!$BH5/'ARP Score'!$G5*D6</f>
        <v>-0.20447999999999997</v>
      </c>
      <c r="E24" s="896">
        <f>'ARP Score'!$BH5/'ARP Score'!$G5*E6</f>
        <v>-0.93152000000000001</v>
      </c>
      <c r="F24" s="896">
        <f>'ARP Score'!$BH6/'ARP Score'!$G6*F6</f>
        <v>81.608999999999995</v>
      </c>
      <c r="G24" s="896">
        <f>'ARP Score'!$BH6/'ARP Score'!$G6*G6</f>
        <v>81.608999999999995</v>
      </c>
      <c r="H24" s="896">
        <f>'ARP Score'!$BH6/'ARP Score'!$G6*H6</f>
        <v>81.608999999999995</v>
      </c>
      <c r="I24" s="896">
        <f>'ARP Score'!$BH6/'ARP Score'!$G6*I6</f>
        <v>81.608999999999995</v>
      </c>
      <c r="J24" s="896">
        <f>'ARP Score'!$BH7/'ARP Score'!$G7*J6</f>
        <v>1.3759999999999999</v>
      </c>
      <c r="K24" s="896">
        <f>'ARP Score'!$BH7/'ARP Score'!$G7*K6</f>
        <v>1.3759999999999999</v>
      </c>
      <c r="L24" s="896">
        <f>'ARP Score'!$BH7/'ARP Score'!$G7*L6</f>
        <v>1.3759999999999999</v>
      </c>
      <c r="M24" s="896">
        <f>'ARP Score'!$BH7/'ARP Score'!$G7*M6</f>
        <v>1.3759999999999999</v>
      </c>
      <c r="N24" s="896">
        <f>'ARP Score'!$BH8/'ARP Score'!$G8*N6</f>
        <v>-0.87500000000000011</v>
      </c>
      <c r="O24" s="896">
        <f>'ARP Score'!$BH8/'ARP Score'!$G8*O6</f>
        <v>-0.87500000000000011</v>
      </c>
      <c r="P24" s="896">
        <f>'ARP Score'!$BH8/'ARP Score'!$G8*P6</f>
        <v>-0.87500000000000011</v>
      </c>
      <c r="Q24" s="896">
        <f>'ARP Score'!$BH8/'ARP Score'!$G8*Q6</f>
        <v>-0.87500000000000011</v>
      </c>
      <c r="R24" s="896"/>
      <c r="S24" s="896"/>
      <c r="T24" s="896"/>
      <c r="U24" s="896"/>
      <c r="V24" s="896"/>
      <c r="W24" s="896"/>
    </row>
    <row r="25" spans="1:23" x14ac:dyDescent="0.3">
      <c r="B25" s="487" t="s">
        <v>360</v>
      </c>
      <c r="C25" s="896">
        <f>SUM(C18:C24)</f>
        <v>0</v>
      </c>
      <c r="D25" s="896">
        <f t="shared" ref="D25:Q25" si="39">SUM(D18:D24)</f>
        <v>58.782959999999996</v>
      </c>
      <c r="E25" s="896">
        <f t="shared" si="39"/>
        <v>267.78904000000006</v>
      </c>
      <c r="F25" s="896">
        <f t="shared" si="39"/>
        <v>110.24799999999999</v>
      </c>
      <c r="G25" s="896">
        <f t="shared" si="39"/>
        <v>110.24799999999999</v>
      </c>
      <c r="H25" s="896">
        <f t="shared" si="39"/>
        <v>110.24799999999999</v>
      </c>
      <c r="I25" s="896">
        <f t="shared" si="39"/>
        <v>110.24799999999999</v>
      </c>
      <c r="J25" s="896">
        <f t="shared" si="39"/>
        <v>12.362</v>
      </c>
      <c r="K25" s="896">
        <f t="shared" si="39"/>
        <v>12.362</v>
      </c>
      <c r="L25" s="896">
        <f t="shared" si="39"/>
        <v>12.362</v>
      </c>
      <c r="M25" s="896">
        <f t="shared" si="39"/>
        <v>12.362</v>
      </c>
      <c r="N25" s="896">
        <f t="shared" si="39"/>
        <v>-0.67500000000000004</v>
      </c>
      <c r="O25" s="896">
        <f t="shared" si="39"/>
        <v>-0.67500000000000004</v>
      </c>
      <c r="P25" s="896">
        <f t="shared" si="39"/>
        <v>-0.67500000000000004</v>
      </c>
      <c r="Q25" s="896">
        <f t="shared" si="39"/>
        <v>-0.67500000000000004</v>
      </c>
      <c r="R25" s="896"/>
      <c r="S25" s="896"/>
      <c r="T25" s="896"/>
      <c r="U25" s="896"/>
      <c r="V25" s="896"/>
      <c r="W25" s="896"/>
    </row>
    <row r="26" spans="1:23" x14ac:dyDescent="0.3">
      <c r="D26" s="898">
        <f>D6-D25</f>
        <v>0</v>
      </c>
      <c r="E26" s="898">
        <f t="shared" ref="E26:M26" si="40">E6-E25</f>
        <v>0</v>
      </c>
      <c r="F26" s="898">
        <f t="shared" si="40"/>
        <v>0</v>
      </c>
      <c r="G26" s="898">
        <f t="shared" si="40"/>
        <v>0</v>
      </c>
      <c r="H26" s="898">
        <f t="shared" si="40"/>
        <v>0</v>
      </c>
      <c r="I26" s="898">
        <f t="shared" si="40"/>
        <v>0</v>
      </c>
      <c r="J26" s="898">
        <f t="shared" si="40"/>
        <v>0.36400000000000077</v>
      </c>
      <c r="K26" s="898">
        <f t="shared" si="40"/>
        <v>0.36400000000000077</v>
      </c>
      <c r="L26" s="898">
        <f t="shared" si="40"/>
        <v>0.36400000000000077</v>
      </c>
      <c r="M26" s="898">
        <f t="shared" si="40"/>
        <v>0.36400000000000077</v>
      </c>
    </row>
    <row r="27" spans="1:23" x14ac:dyDescent="0.3">
      <c r="B27" s="904" t="s">
        <v>844</v>
      </c>
      <c r="D27" s="123" t="s">
        <v>296</v>
      </c>
      <c r="E27" s="123" t="s">
        <v>180</v>
      </c>
      <c r="F27" s="123" t="s">
        <v>181</v>
      </c>
      <c r="G27" s="123" t="s">
        <v>182</v>
      </c>
      <c r="H27" s="123" t="s">
        <v>183</v>
      </c>
      <c r="I27" s="123" t="s">
        <v>184</v>
      </c>
      <c r="J27" s="123" t="s">
        <v>185</v>
      </c>
      <c r="K27" s="123" t="s">
        <v>186</v>
      </c>
      <c r="L27" s="123" t="s">
        <v>187</v>
      </c>
      <c r="M27" s="123" t="s">
        <v>188</v>
      </c>
      <c r="N27" s="123" t="s">
        <v>189</v>
      </c>
      <c r="O27" s="123" t="s">
        <v>190</v>
      </c>
      <c r="P27" s="123" t="s">
        <v>191</v>
      </c>
      <c r="Q27" s="123" t="s">
        <v>175</v>
      </c>
      <c r="R27" s="123" t="s">
        <v>176</v>
      </c>
      <c r="S27" s="123" t="s">
        <v>177</v>
      </c>
      <c r="T27" s="123" t="s">
        <v>835</v>
      </c>
      <c r="U27" s="123" t="s">
        <v>836</v>
      </c>
      <c r="V27" s="123" t="s">
        <v>837</v>
      </c>
    </row>
    <row r="28" spans="1:23" x14ac:dyDescent="0.3">
      <c r="B28" s="897"/>
      <c r="C28" s="898" t="s">
        <v>360</v>
      </c>
      <c r="D28" s="900">
        <f>SUM(D29:D43)</f>
        <v>5.8765000000000009</v>
      </c>
      <c r="E28" s="900">
        <f t="shared" ref="E28:V28" si="41">SUM(E29:E43)</f>
        <v>11.753000000000002</v>
      </c>
      <c r="F28" s="900">
        <f t="shared" si="41"/>
        <v>15.762320000000003</v>
      </c>
      <c r="G28" s="900">
        <f t="shared" si="41"/>
        <v>19.771640000000005</v>
      </c>
      <c r="H28" s="900">
        <f t="shared" si="41"/>
        <v>23.812229000000006</v>
      </c>
      <c r="I28" s="900">
        <f t="shared" si="41"/>
        <v>27.852818000000006</v>
      </c>
      <c r="J28" s="900">
        <f t="shared" si="41"/>
        <v>30.517977000000005</v>
      </c>
      <c r="K28" s="900">
        <f t="shared" si="41"/>
        <v>33.183136000000005</v>
      </c>
      <c r="L28" s="900">
        <f t="shared" si="41"/>
        <v>36.260924000000003</v>
      </c>
      <c r="M28" s="900">
        <f t="shared" si="41"/>
        <v>39.338711999999994</v>
      </c>
      <c r="N28" s="900">
        <f t="shared" si="41"/>
        <v>40.928439999999995</v>
      </c>
      <c r="O28" s="900">
        <f t="shared" si="41"/>
        <v>42.518167999999996</v>
      </c>
      <c r="P28" s="900">
        <f t="shared" si="41"/>
        <v>44.428388999999996</v>
      </c>
      <c r="Q28" s="900">
        <f t="shared" si="41"/>
        <v>46.338610000000003</v>
      </c>
      <c r="R28" s="900">
        <f t="shared" si="41"/>
        <v>47.279744500000007</v>
      </c>
      <c r="S28" s="900">
        <f t="shared" si="41"/>
        <v>46.283419000000009</v>
      </c>
      <c r="T28" s="900">
        <f t="shared" si="41"/>
        <v>45.578489500000011</v>
      </c>
      <c r="U28" s="900">
        <f t="shared" si="41"/>
        <v>45.454798000000011</v>
      </c>
      <c r="V28" s="900">
        <f t="shared" si="41"/>
        <v>45.360580000000013</v>
      </c>
    </row>
    <row r="29" spans="1:23" x14ac:dyDescent="0.3">
      <c r="A29" s="904">
        <v>2021</v>
      </c>
      <c r="B29" s="897" t="s">
        <v>845</v>
      </c>
      <c r="C29" s="898"/>
      <c r="D29" s="904">
        <f>($D$9+$D$10)*'ARP Timing'!B$16</f>
        <v>5.8765000000000009</v>
      </c>
      <c r="E29" s="904">
        <f>($D$9+$D$10)*'ARP Timing'!C$16</f>
        <v>5.8765000000000009</v>
      </c>
      <c r="F29" s="904">
        <f>($D$9+$D$10)*'ARP Timing'!D$16</f>
        <v>4.11355</v>
      </c>
      <c r="G29" s="904">
        <f>($D$9+$D$10)*'ARP Timing'!E$16</f>
        <v>4.11355</v>
      </c>
      <c r="H29" s="904">
        <f>($D$9+$D$10)*'ARP Timing'!F$16</f>
        <v>4.11355</v>
      </c>
      <c r="I29" s="904">
        <f>($D$9+$D$10)*'ARP Timing'!G$16</f>
        <v>4.11355</v>
      </c>
      <c r="J29" s="904">
        <f>($D$9+$D$10)*'ARP Timing'!H$16</f>
        <v>4.11355</v>
      </c>
      <c r="K29" s="904">
        <f>($D$9+$D$10)*'ARP Timing'!I$16</f>
        <v>4.11355</v>
      </c>
      <c r="L29" s="904">
        <f>($D$9+$D$10)*'ARP Timing'!J$16</f>
        <v>4.11355</v>
      </c>
      <c r="M29" s="904">
        <f>($D$9+$D$10)*'ARP Timing'!K$16</f>
        <v>4.11355</v>
      </c>
      <c r="N29" s="904">
        <f>($D$9+$D$10)*'ARP Timing'!L$16</f>
        <v>4.11355</v>
      </c>
      <c r="O29" s="904">
        <f>($D$9+$D$10)*'ARP Timing'!M$16</f>
        <v>4.11355</v>
      </c>
      <c r="P29" s="904">
        <f>($D$9+$D$10)*'ARP Timing'!N$16</f>
        <v>3.987625</v>
      </c>
      <c r="Q29" s="904">
        <f>($D$9+$D$10)*'ARP Timing'!O$16</f>
        <v>3.987625</v>
      </c>
      <c r="R29" s="904">
        <f>($D$9+$D$10)*'ARP Timing'!P$16</f>
        <v>3.987625</v>
      </c>
      <c r="S29" s="904">
        <f>($D$9+$D$10)*'ARP Timing'!Q$16</f>
        <v>3.987625</v>
      </c>
      <c r="T29" s="904">
        <f>($D$9+$D$10)*'ARP Timing'!R$16</f>
        <v>3.987625</v>
      </c>
      <c r="U29" s="904">
        <f>($D$9+$D$10)*'ARP Timing'!S$16</f>
        <v>3.987625</v>
      </c>
      <c r="V29" s="904">
        <f>($D$9+$D$10)*'ARP Timing'!T$16</f>
        <v>3.987625</v>
      </c>
    </row>
    <row r="30" spans="1:23" x14ac:dyDescent="0.3">
      <c r="B30" s="897" t="s">
        <v>379</v>
      </c>
      <c r="C30" s="898"/>
      <c r="E30" s="904">
        <f>($E$9+$E$10)*'ARP Timing'!B$16</f>
        <v>5.8765000000000009</v>
      </c>
      <c r="F30" s="904">
        <f>($E$9+$E$10)*'ARP Timing'!C$16</f>
        <v>5.8765000000000009</v>
      </c>
      <c r="G30" s="904">
        <f>($E$9+$E$10)*'ARP Timing'!D$16</f>
        <v>4.11355</v>
      </c>
      <c r="H30" s="904">
        <f>($E$9+$E$10)*'ARP Timing'!E$16</f>
        <v>4.11355</v>
      </c>
      <c r="I30" s="904">
        <f>($E$9+$E$10)*'ARP Timing'!F$16</f>
        <v>4.11355</v>
      </c>
      <c r="J30" s="904">
        <f>($E$9+$E$10)*'ARP Timing'!G$16</f>
        <v>4.11355</v>
      </c>
      <c r="K30" s="904">
        <f>($E$9+$E$10)*'ARP Timing'!H$16</f>
        <v>4.11355</v>
      </c>
      <c r="L30" s="904">
        <f>($E$9+$E$10)*'ARP Timing'!I$16</f>
        <v>4.11355</v>
      </c>
      <c r="M30" s="904">
        <f>($E$9+$E$10)*'ARP Timing'!J$16</f>
        <v>4.11355</v>
      </c>
      <c r="N30" s="904">
        <f>($E$9+$E$10)*'ARP Timing'!K$16</f>
        <v>4.11355</v>
      </c>
      <c r="O30" s="904">
        <f>($E$9+$E$10)*'ARP Timing'!L$16</f>
        <v>4.11355</v>
      </c>
      <c r="P30" s="904">
        <f>($E$9+$E$10)*'ARP Timing'!M$16</f>
        <v>4.11355</v>
      </c>
      <c r="Q30" s="904">
        <f>($E$9+$E$10)*'ARP Timing'!N$16</f>
        <v>3.987625</v>
      </c>
      <c r="R30" s="904">
        <f>($E$9+$E$10)*'ARP Timing'!O$16</f>
        <v>3.987625</v>
      </c>
      <c r="S30" s="904">
        <f>($E$9+$E$10)*'ARP Timing'!P$16</f>
        <v>3.987625</v>
      </c>
      <c r="T30" s="904">
        <f>($E$9+$E$10)*'ARP Timing'!Q$16</f>
        <v>3.987625</v>
      </c>
      <c r="U30" s="904">
        <f>($E$9+$E$10)*'ARP Timing'!R$16</f>
        <v>3.987625</v>
      </c>
      <c r="V30" s="904">
        <f>($E$9+$E$10)*'ARP Timing'!S$16</f>
        <v>3.987625</v>
      </c>
    </row>
    <row r="31" spans="1:23" x14ac:dyDescent="0.3">
      <c r="B31" s="897" t="s">
        <v>846</v>
      </c>
      <c r="C31" s="898"/>
      <c r="F31" s="904">
        <f>($F$9+$F$10)*'ARP Timing'!B$16</f>
        <v>5.7722700000000016</v>
      </c>
      <c r="G31" s="904">
        <f>($F$9+$F$10)*'ARP Timing'!C$16</f>
        <v>5.7722700000000016</v>
      </c>
      <c r="H31" s="904">
        <f>($F$9+$F$10)*'ARP Timing'!D$16</f>
        <v>4.0405890000000007</v>
      </c>
      <c r="I31" s="904">
        <f>($F$9+$F$10)*'ARP Timing'!E$16</f>
        <v>4.0405890000000007</v>
      </c>
      <c r="J31" s="904">
        <f>($F$9+$F$10)*'ARP Timing'!F$16</f>
        <v>4.0405890000000007</v>
      </c>
      <c r="K31" s="904">
        <f>($F$9+$F$10)*'ARP Timing'!G$16</f>
        <v>4.0405890000000007</v>
      </c>
      <c r="L31" s="904">
        <f>($F$9+$F$10)*'ARP Timing'!H$16</f>
        <v>4.0405890000000007</v>
      </c>
      <c r="M31" s="904">
        <f>($F$9+$F$10)*'ARP Timing'!I$16</f>
        <v>4.0405890000000007</v>
      </c>
      <c r="N31" s="904">
        <f>($F$9+$F$10)*'ARP Timing'!J$16</f>
        <v>4.0405890000000007</v>
      </c>
      <c r="O31" s="904">
        <f>($F$9+$F$10)*'ARP Timing'!K$16</f>
        <v>4.0405890000000007</v>
      </c>
      <c r="P31" s="904">
        <f>($F$9+$F$10)*'ARP Timing'!L$16</f>
        <v>4.0405890000000007</v>
      </c>
      <c r="Q31" s="904">
        <f>($F$9+$F$10)*'ARP Timing'!M$16</f>
        <v>4.0405890000000007</v>
      </c>
      <c r="R31" s="904">
        <f>($F$9+$F$10)*'ARP Timing'!N$16</f>
        <v>3.9168975000000006</v>
      </c>
      <c r="S31" s="904">
        <f>($F$9+$F$10)*'ARP Timing'!O$16</f>
        <v>3.9168975000000006</v>
      </c>
      <c r="T31" s="904">
        <f>($F$9+$F$10)*'ARP Timing'!P$16</f>
        <v>3.9168975000000006</v>
      </c>
      <c r="U31" s="904">
        <f>($F$9+$F$10)*'ARP Timing'!Q$16</f>
        <v>3.9168975000000006</v>
      </c>
      <c r="V31" s="904">
        <f>($F$9+$F$10)*'ARP Timing'!R$16</f>
        <v>3.9168975000000006</v>
      </c>
    </row>
    <row r="32" spans="1:23" x14ac:dyDescent="0.3">
      <c r="A32" s="904">
        <v>2022</v>
      </c>
      <c r="B32" s="897" t="s">
        <v>247</v>
      </c>
      <c r="C32" s="898"/>
      <c r="G32" s="904">
        <f>($G$9+$G$10)*'ARP Timing'!B$16</f>
        <v>5.7722700000000016</v>
      </c>
      <c r="H32" s="904">
        <f>($G$9+$G$10)*'ARP Timing'!C$16</f>
        <v>5.7722700000000016</v>
      </c>
      <c r="I32" s="904">
        <f>($G$9+$G$10)*'ARP Timing'!D$16</f>
        <v>4.0405890000000007</v>
      </c>
      <c r="J32" s="904">
        <f>($G$9+$G$10)*'ARP Timing'!E$16</f>
        <v>4.0405890000000007</v>
      </c>
      <c r="K32" s="904">
        <f>($G$9+$G$10)*'ARP Timing'!F$16</f>
        <v>4.0405890000000007</v>
      </c>
      <c r="L32" s="904">
        <f>($G$9+$G$10)*'ARP Timing'!G$16</f>
        <v>4.0405890000000007</v>
      </c>
      <c r="M32" s="904">
        <f>($G$9+$G$10)*'ARP Timing'!H$16</f>
        <v>4.0405890000000007</v>
      </c>
      <c r="N32" s="904">
        <f>($G$9+$G$10)*'ARP Timing'!I$16</f>
        <v>4.0405890000000007</v>
      </c>
      <c r="O32" s="904">
        <f>($G$9+$G$10)*'ARP Timing'!J$16</f>
        <v>4.0405890000000007</v>
      </c>
      <c r="P32" s="904">
        <f>($G$9+$G$10)*'ARP Timing'!K$16</f>
        <v>4.0405890000000007</v>
      </c>
      <c r="Q32" s="904">
        <f>($G$9+$G$10)*'ARP Timing'!L$16</f>
        <v>4.0405890000000007</v>
      </c>
      <c r="R32" s="904">
        <f>($G$9+$G$10)*'ARP Timing'!M$16</f>
        <v>4.0405890000000007</v>
      </c>
      <c r="S32" s="904">
        <f>($G$9+$G$10)*'ARP Timing'!N$16</f>
        <v>3.9168975000000006</v>
      </c>
      <c r="T32" s="904">
        <f>($G$9+$G$10)*'ARP Timing'!O$16</f>
        <v>3.9168975000000006</v>
      </c>
      <c r="U32" s="904">
        <f>($G$9+$G$10)*'ARP Timing'!P$16</f>
        <v>3.9168975000000006</v>
      </c>
      <c r="V32" s="904">
        <f>($G$9+$G$10)*'ARP Timing'!Q$16</f>
        <v>3.9168975000000006</v>
      </c>
    </row>
    <row r="33" spans="1:23" x14ac:dyDescent="0.3">
      <c r="B33" s="897" t="s">
        <v>248</v>
      </c>
      <c r="C33" s="898"/>
      <c r="H33" s="904">
        <f>($H$9+$H$10)*'ARP Timing'!B$16</f>
        <v>5.7722700000000016</v>
      </c>
      <c r="I33" s="904">
        <f>($H$9+$H$10)*'ARP Timing'!C$16</f>
        <v>5.7722700000000016</v>
      </c>
      <c r="J33" s="904">
        <f>($H$9+$H$10)*'ARP Timing'!D$16</f>
        <v>4.0405890000000007</v>
      </c>
      <c r="K33" s="904">
        <f>($H$9+$H$10)*'ARP Timing'!E$16</f>
        <v>4.0405890000000007</v>
      </c>
      <c r="L33" s="904">
        <f>($H$9+$H$10)*'ARP Timing'!F$16</f>
        <v>4.0405890000000007</v>
      </c>
      <c r="M33" s="904">
        <f>($H$9+$H$10)*'ARP Timing'!G$16</f>
        <v>4.0405890000000007</v>
      </c>
      <c r="N33" s="904">
        <f>($H$9+$H$10)*'ARP Timing'!H$16</f>
        <v>4.0405890000000007</v>
      </c>
      <c r="O33" s="904">
        <f>($H$9+$H$10)*'ARP Timing'!I$16</f>
        <v>4.0405890000000007</v>
      </c>
      <c r="P33" s="904">
        <f>($H$9+$H$10)*'ARP Timing'!J$16</f>
        <v>4.0405890000000007</v>
      </c>
      <c r="Q33" s="904">
        <f>($H$9+$H$10)*'ARP Timing'!K$16</f>
        <v>4.0405890000000007</v>
      </c>
      <c r="R33" s="904">
        <f>($H$9+$H$10)*'ARP Timing'!L$16</f>
        <v>4.0405890000000007</v>
      </c>
      <c r="S33" s="904">
        <f>($H$9+$H$10)*'ARP Timing'!M$16</f>
        <v>4.0405890000000007</v>
      </c>
      <c r="T33" s="904">
        <f>($H$9+$H$10)*'ARP Timing'!N$16</f>
        <v>3.9168975000000006</v>
      </c>
      <c r="U33" s="904">
        <f>($H$9+$H$10)*'ARP Timing'!O$16</f>
        <v>3.9168975000000006</v>
      </c>
      <c r="V33" s="904">
        <f>($H$9+$H$10)*'ARP Timing'!P$16</f>
        <v>3.9168975000000006</v>
      </c>
    </row>
    <row r="34" spans="1:23" x14ac:dyDescent="0.3">
      <c r="B34" s="897" t="s">
        <v>379</v>
      </c>
      <c r="C34" s="898"/>
      <c r="H34" s="898"/>
      <c r="I34" s="904">
        <f>($I$9+$I10)*'ARP Timing'!B$16</f>
        <v>5.7722700000000016</v>
      </c>
      <c r="J34" s="904">
        <f>($I$9+$I10)*'ARP Timing'!C$16</f>
        <v>5.7722700000000016</v>
      </c>
      <c r="K34" s="904">
        <f>($I$9+$I10)*'ARP Timing'!D$16</f>
        <v>4.0405890000000007</v>
      </c>
      <c r="L34" s="904">
        <f>($I$9+$I10)*'ARP Timing'!E$16</f>
        <v>4.0405890000000007</v>
      </c>
      <c r="M34" s="904">
        <f>($I$9+$I10)*'ARP Timing'!F$16</f>
        <v>4.0405890000000007</v>
      </c>
      <c r="N34" s="904">
        <f>($I$9+$I10)*'ARP Timing'!G$16</f>
        <v>4.0405890000000007</v>
      </c>
      <c r="O34" s="904">
        <f>($I$9+$I10)*'ARP Timing'!H$16</f>
        <v>4.0405890000000007</v>
      </c>
      <c r="P34" s="904">
        <f>($I$9+$I10)*'ARP Timing'!I$16</f>
        <v>4.0405890000000007</v>
      </c>
      <c r="Q34" s="904">
        <f>($I$9+$I10)*'ARP Timing'!J$16</f>
        <v>4.0405890000000007</v>
      </c>
      <c r="R34" s="904">
        <f>($I$9+$I10)*'ARP Timing'!K$16</f>
        <v>4.0405890000000007</v>
      </c>
      <c r="S34" s="904">
        <f>($I$9+$I10)*'ARP Timing'!L$16</f>
        <v>4.0405890000000007</v>
      </c>
      <c r="T34" s="904">
        <f>($I$9+$I10)*'ARP Timing'!M$16</f>
        <v>4.0405890000000007</v>
      </c>
      <c r="U34" s="904">
        <f>($I$9+$I10)*'ARP Timing'!N$16</f>
        <v>3.9168975000000006</v>
      </c>
      <c r="V34" s="904">
        <f>($I$9+$I10)*'ARP Timing'!O$16</f>
        <v>3.9168975000000006</v>
      </c>
    </row>
    <row r="35" spans="1:23" x14ac:dyDescent="0.3">
      <c r="B35" s="897" t="s">
        <v>846</v>
      </c>
      <c r="C35" s="898"/>
      <c r="H35" s="898"/>
      <c r="J35" s="904">
        <f>($J$9+$J$10)*'ARP Timing'!B$16</f>
        <v>4.3968400000000001</v>
      </c>
      <c r="K35" s="904">
        <f>($J$9+$J$10)*'ARP Timing'!C$16</f>
        <v>4.3968400000000001</v>
      </c>
      <c r="L35" s="904">
        <f>($J$9+$J$10)*'ARP Timing'!D$16</f>
        <v>3.077788</v>
      </c>
      <c r="M35" s="904">
        <f>($J$9+$J$10)*'ARP Timing'!E$16</f>
        <v>3.077788</v>
      </c>
      <c r="N35" s="904">
        <f>($J$9+$J$10)*'ARP Timing'!F$16</f>
        <v>3.077788</v>
      </c>
      <c r="O35" s="904">
        <f>($J$9+$J$10)*'ARP Timing'!G$16</f>
        <v>3.077788</v>
      </c>
      <c r="P35" s="904">
        <f>($J$9+$J$10)*'ARP Timing'!H$16</f>
        <v>3.077788</v>
      </c>
      <c r="Q35" s="904">
        <f>($J$9+$J$10)*'ARP Timing'!I$16</f>
        <v>3.077788</v>
      </c>
      <c r="R35" s="904">
        <f>($J$9+$J$10)*'ARP Timing'!J$16</f>
        <v>3.077788</v>
      </c>
      <c r="S35" s="904">
        <f>($J$9+$J$10)*'ARP Timing'!K$16</f>
        <v>3.077788</v>
      </c>
      <c r="T35" s="904">
        <f>($J$9+$J$10)*'ARP Timing'!L$16</f>
        <v>3.077788</v>
      </c>
      <c r="U35" s="904">
        <f>($J$9+$J$10)*'ARP Timing'!M$16</f>
        <v>3.077788</v>
      </c>
      <c r="V35" s="904">
        <f>($J$9+$J$10)*'ARP Timing'!N$16</f>
        <v>2.9835699999999998</v>
      </c>
    </row>
    <row r="36" spans="1:23" x14ac:dyDescent="0.3">
      <c r="A36" s="904">
        <v>2023</v>
      </c>
      <c r="B36" s="897" t="s">
        <v>247</v>
      </c>
      <c r="C36" s="898"/>
      <c r="H36" s="898"/>
      <c r="K36" s="904">
        <f>($K$9+$K$10)*'ARP Timing'!B$16</f>
        <v>4.3968400000000001</v>
      </c>
      <c r="L36" s="904">
        <f>($K$9+$K$10)*'ARP Timing'!C$16</f>
        <v>4.3968400000000001</v>
      </c>
      <c r="M36" s="904">
        <f>($K$9+$K$10)*'ARP Timing'!D$16</f>
        <v>3.077788</v>
      </c>
      <c r="N36" s="904">
        <f>($K$9+$K$10)*'ARP Timing'!E$16</f>
        <v>3.077788</v>
      </c>
      <c r="O36" s="904">
        <f>($K$9+$K$10)*'ARP Timing'!F$16</f>
        <v>3.077788</v>
      </c>
      <c r="P36" s="904">
        <f>($K$9+$K$10)*'ARP Timing'!G$16</f>
        <v>3.077788</v>
      </c>
      <c r="Q36" s="904">
        <f>($K$9+$K$10)*'ARP Timing'!H$16</f>
        <v>3.077788</v>
      </c>
      <c r="R36" s="904">
        <f>($K$9+$K$10)*'ARP Timing'!I$16</f>
        <v>3.077788</v>
      </c>
      <c r="S36" s="904">
        <f>($K$9+$K$10)*'ARP Timing'!J$16</f>
        <v>3.077788</v>
      </c>
      <c r="T36" s="904">
        <f>($K$9+$K$10)*'ARP Timing'!K$16</f>
        <v>3.077788</v>
      </c>
      <c r="U36" s="904">
        <f>($K$9+$K$10)*'ARP Timing'!L$16</f>
        <v>3.077788</v>
      </c>
      <c r="V36" s="904">
        <f>($K$9+$K$10)*'ARP Timing'!M$16</f>
        <v>3.077788</v>
      </c>
    </row>
    <row r="37" spans="1:23" x14ac:dyDescent="0.3">
      <c r="B37" s="897" t="s">
        <v>248</v>
      </c>
      <c r="C37" s="898"/>
      <c r="H37" s="898"/>
      <c r="L37" s="904">
        <f>($L$9+$L$10)*'ARP Timing'!B$16</f>
        <v>4.3968400000000001</v>
      </c>
      <c r="M37" s="904">
        <f>($L$9+$L$10)*'ARP Timing'!C$16</f>
        <v>4.3968400000000001</v>
      </c>
      <c r="N37" s="904">
        <f>($L$9+$L$10)*'ARP Timing'!D$16</f>
        <v>3.077788</v>
      </c>
      <c r="O37" s="904">
        <f>($L$9+$L$10)*'ARP Timing'!E$16</f>
        <v>3.077788</v>
      </c>
      <c r="P37" s="904">
        <f>($L$9+$L$10)*'ARP Timing'!F$16</f>
        <v>3.077788</v>
      </c>
      <c r="Q37" s="904">
        <f>($L$9+$L$10)*'ARP Timing'!G$16</f>
        <v>3.077788</v>
      </c>
      <c r="R37" s="904">
        <f>($L$9+$L$10)*'ARP Timing'!H$16</f>
        <v>3.077788</v>
      </c>
      <c r="S37" s="904">
        <f>($L$9+$L$10)*'ARP Timing'!I$16</f>
        <v>3.077788</v>
      </c>
      <c r="T37" s="904">
        <f>($L$9+$L$10)*'ARP Timing'!J$16</f>
        <v>3.077788</v>
      </c>
      <c r="U37" s="904">
        <f>($L$9+$L$10)*'ARP Timing'!K$16</f>
        <v>3.077788</v>
      </c>
      <c r="V37" s="904">
        <f>($L$9+$L$10)*'ARP Timing'!L$16</f>
        <v>3.077788</v>
      </c>
    </row>
    <row r="38" spans="1:23" x14ac:dyDescent="0.3">
      <c r="B38" s="897" t="s">
        <v>379</v>
      </c>
      <c r="C38" s="898"/>
      <c r="H38" s="898"/>
      <c r="M38" s="904">
        <f>($M$9+$M$10)*'ARP Timing'!B$16</f>
        <v>4.3968400000000001</v>
      </c>
      <c r="N38" s="904">
        <f>($M$9+$M$10)*'ARP Timing'!C$16</f>
        <v>4.3968400000000001</v>
      </c>
      <c r="O38" s="904">
        <f>($M$9+$M$10)*'ARP Timing'!D$16</f>
        <v>3.077788</v>
      </c>
      <c r="P38" s="904">
        <f>($M$9+$M$10)*'ARP Timing'!E$16</f>
        <v>3.077788</v>
      </c>
      <c r="Q38" s="904">
        <f>($M$9+$M$10)*'ARP Timing'!F$16</f>
        <v>3.077788</v>
      </c>
      <c r="R38" s="904">
        <f>($M$9+$M$10)*'ARP Timing'!G$16</f>
        <v>3.077788</v>
      </c>
      <c r="S38" s="904">
        <f>($M$9+$M$10)*'ARP Timing'!H$16</f>
        <v>3.077788</v>
      </c>
      <c r="T38" s="904">
        <f>($M$9+$M$10)*'ARP Timing'!I$16</f>
        <v>3.077788</v>
      </c>
      <c r="U38" s="904">
        <f>($M$9+$M$10)*'ARP Timing'!J$16</f>
        <v>3.077788</v>
      </c>
      <c r="V38" s="904">
        <f>($M$9+$M$10)*'ARP Timing'!K$16</f>
        <v>3.077788</v>
      </c>
    </row>
    <row r="39" spans="1:23" x14ac:dyDescent="0.3">
      <c r="B39" s="897" t="s">
        <v>846</v>
      </c>
      <c r="C39" s="898"/>
      <c r="H39" s="898"/>
      <c r="N39" s="904">
        <f>($N$9+$N$10)*'ARP Timing'!B$16</f>
        <v>2.9087800000000006</v>
      </c>
      <c r="O39" s="904">
        <f>($N$9+$N$10)*'ARP Timing'!C$16</f>
        <v>2.9087800000000006</v>
      </c>
      <c r="P39" s="904">
        <f>($N$9+$N$10)*'ARP Timing'!D$16</f>
        <v>2.036146</v>
      </c>
      <c r="Q39" s="904">
        <f>($N$9+$N$10)*'ARP Timing'!E$16</f>
        <v>2.036146</v>
      </c>
      <c r="R39" s="904">
        <f>($N$9+$N$10)*'ARP Timing'!F$16</f>
        <v>2.036146</v>
      </c>
      <c r="S39" s="904">
        <f>($N$9+$N$10)*'ARP Timing'!G$16</f>
        <v>2.036146</v>
      </c>
      <c r="T39" s="904">
        <f>($N$9+$N$10)*'ARP Timing'!H$16</f>
        <v>2.036146</v>
      </c>
      <c r="U39" s="904">
        <f>($N$9+$N$10)*'ARP Timing'!I$16</f>
        <v>2.036146</v>
      </c>
      <c r="V39" s="904">
        <f>($N$9+$N$10)*'ARP Timing'!J$16</f>
        <v>2.036146</v>
      </c>
    </row>
    <row r="40" spans="1:23" x14ac:dyDescent="0.3">
      <c r="A40" s="904">
        <v>2024</v>
      </c>
      <c r="B40" s="897" t="s">
        <v>247</v>
      </c>
      <c r="C40" s="898"/>
      <c r="H40" s="898"/>
      <c r="O40" s="904">
        <f>($O$9+$O$10)*'ARP Timing'!B$16</f>
        <v>2.9087800000000006</v>
      </c>
      <c r="P40" s="904">
        <f>($O$9+$O$10)*'ARP Timing'!C$16</f>
        <v>2.9087800000000006</v>
      </c>
      <c r="Q40" s="904">
        <f>($O$9+$O$10)*'ARP Timing'!D$16</f>
        <v>2.036146</v>
      </c>
      <c r="R40" s="904">
        <f>($O$9+$O$10)*'ARP Timing'!E$16</f>
        <v>2.036146</v>
      </c>
      <c r="S40" s="904">
        <f>($O$9+$O$10)*'ARP Timing'!F$16</f>
        <v>2.036146</v>
      </c>
      <c r="T40" s="904">
        <f>($O$9+$O$10)*'ARP Timing'!G$16</f>
        <v>2.036146</v>
      </c>
      <c r="U40" s="904">
        <f>($O$9+$O$10)*'ARP Timing'!H$16</f>
        <v>2.036146</v>
      </c>
      <c r="V40" s="904">
        <f>($O$9+$O$10)*'ARP Timing'!I$16</f>
        <v>2.036146</v>
      </c>
    </row>
    <row r="41" spans="1:23" x14ac:dyDescent="0.3">
      <c r="B41" s="897" t="s">
        <v>248</v>
      </c>
      <c r="C41" s="898"/>
      <c r="H41" s="898"/>
      <c r="P41" s="904">
        <f>($P$9+$P$10)*'ARP Timing'!B$16</f>
        <v>2.9087800000000006</v>
      </c>
      <c r="Q41" s="904">
        <f>($P$9+$P$10)*'ARP Timing'!C$16</f>
        <v>2.9087800000000006</v>
      </c>
      <c r="R41" s="904">
        <f>($P$9+$P$10)*'ARP Timing'!D$16</f>
        <v>2.036146</v>
      </c>
      <c r="S41" s="904">
        <f>($P$9+$P$10)*'ARP Timing'!E$16</f>
        <v>2.036146</v>
      </c>
      <c r="T41" s="904">
        <f>($P$9+$P$10)*'ARP Timing'!F$16</f>
        <v>2.036146</v>
      </c>
      <c r="U41" s="904">
        <f>($P$9+$P$10)*'ARP Timing'!G$16</f>
        <v>2.036146</v>
      </c>
      <c r="V41" s="904">
        <f>($P$9+$P$10)*'ARP Timing'!H$16</f>
        <v>2.036146</v>
      </c>
    </row>
    <row r="42" spans="1:23" x14ac:dyDescent="0.3">
      <c r="B42" s="897" t="s">
        <v>379</v>
      </c>
      <c r="C42" s="898"/>
      <c r="H42" s="898"/>
      <c r="Q42" s="904">
        <f>($Q$9+$Q$10)*'ARP Timing'!B$16</f>
        <v>2.9087800000000006</v>
      </c>
      <c r="R42" s="904">
        <f>($Q$9+$Q$10)*'ARP Timing'!C$16</f>
        <v>2.9087800000000006</v>
      </c>
      <c r="S42" s="904">
        <f>($Q$9+$Q$10)*'ARP Timing'!D$16</f>
        <v>2.036146</v>
      </c>
      <c r="T42" s="904">
        <f>($Q$9+$Q$10)*'ARP Timing'!E$16</f>
        <v>2.036146</v>
      </c>
      <c r="U42" s="904">
        <f>($Q$9+$Q$10)*'ARP Timing'!F$16</f>
        <v>2.036146</v>
      </c>
      <c r="V42" s="904">
        <f>($Q$9+$Q$10)*'ARP Timing'!G$16</f>
        <v>2.036146</v>
      </c>
    </row>
    <row r="43" spans="1:23" x14ac:dyDescent="0.3">
      <c r="B43" s="897" t="s">
        <v>846</v>
      </c>
      <c r="C43" s="898"/>
      <c r="H43" s="898"/>
      <c r="R43" s="904">
        <f>($R$9+$R$10)*'ARP Timing'!B$16</f>
        <v>1.9374600000000002</v>
      </c>
      <c r="S43" s="904">
        <f>($R$9+$R$10)*'ARP Timing'!C$16</f>
        <v>1.9374600000000002</v>
      </c>
      <c r="T43" s="904">
        <f>($R$9+$R$10)*'ARP Timing'!D$16</f>
        <v>1.356222</v>
      </c>
      <c r="U43" s="904">
        <f>($R$9+$R$10)*'ARP Timing'!E$16</f>
        <v>1.356222</v>
      </c>
      <c r="V43" s="904">
        <f>($R$9+$R$10)*'ARP Timing'!F$16</f>
        <v>1.356222</v>
      </c>
    </row>
    <row r="44" spans="1:23" x14ac:dyDescent="0.3">
      <c r="S44" s="904">
        <f>($S$9+$S$10)*'ARP Timing'!B$16</f>
        <v>1.9374600000000002</v>
      </c>
      <c r="T44" s="904">
        <f>($S$9+$S$10)*'ARP Timing'!C$16</f>
        <v>1.9374600000000002</v>
      </c>
      <c r="U44" s="904">
        <f>($S$9+$S$10)*'ARP Timing'!D$16</f>
        <v>1.356222</v>
      </c>
      <c r="V44" s="904">
        <f>($S$9+$S$10)*'ARP Timing'!E$16</f>
        <v>1.356222</v>
      </c>
    </row>
    <row r="46" spans="1:23" x14ac:dyDescent="0.3">
      <c r="B46" s="904" t="s">
        <v>847</v>
      </c>
      <c r="D46" s="123" t="s">
        <v>296</v>
      </c>
      <c r="E46" s="123" t="s">
        <v>180</v>
      </c>
      <c r="F46" s="123" t="s">
        <v>181</v>
      </c>
      <c r="G46" s="123" t="s">
        <v>182</v>
      </c>
      <c r="H46" s="123" t="s">
        <v>183</v>
      </c>
      <c r="I46" s="123" t="s">
        <v>184</v>
      </c>
      <c r="J46" s="123" t="s">
        <v>185</v>
      </c>
      <c r="K46" s="123" t="s">
        <v>186</v>
      </c>
      <c r="L46" s="123" t="s">
        <v>187</v>
      </c>
      <c r="M46" s="123" t="s">
        <v>188</v>
      </c>
      <c r="N46" s="123" t="s">
        <v>189</v>
      </c>
      <c r="O46" s="123" t="s">
        <v>190</v>
      </c>
      <c r="P46" s="123" t="s">
        <v>191</v>
      </c>
      <c r="Q46" s="123" t="s">
        <v>175</v>
      </c>
      <c r="R46" s="123" t="s">
        <v>176</v>
      </c>
      <c r="S46" s="123" t="s">
        <v>177</v>
      </c>
      <c r="T46" s="123" t="s">
        <v>835</v>
      </c>
      <c r="U46" s="123" t="s">
        <v>836</v>
      </c>
      <c r="V46" s="123" t="s">
        <v>837</v>
      </c>
    </row>
    <row r="47" spans="1:23" x14ac:dyDescent="0.3">
      <c r="B47" s="897"/>
      <c r="C47" s="898" t="s">
        <v>360</v>
      </c>
      <c r="D47" s="900">
        <f t="shared" ref="D47:U47" si="42">SUM(D48:D66)</f>
        <v>0</v>
      </c>
      <c r="E47" s="900">
        <f t="shared" si="42"/>
        <v>0</v>
      </c>
      <c r="F47" s="900">
        <f t="shared" si="42"/>
        <v>34.620851999999999</v>
      </c>
      <c r="G47" s="900">
        <f t="shared" si="42"/>
        <v>50.996274799999995</v>
      </c>
      <c r="H47" s="900">
        <f t="shared" si="42"/>
        <v>69.350031999999999</v>
      </c>
      <c r="I47" s="900">
        <f t="shared" si="42"/>
        <v>79.295867999999999</v>
      </c>
      <c r="J47" s="900">
        <f t="shared" si="42"/>
        <v>80.538927999999999</v>
      </c>
      <c r="K47" s="900">
        <f t="shared" si="42"/>
        <v>80.122543199999996</v>
      </c>
      <c r="L47" s="900">
        <f t="shared" si="42"/>
        <v>88.916719999999998</v>
      </c>
      <c r="M47" s="900">
        <f t="shared" si="42"/>
        <v>92.213943999999998</v>
      </c>
      <c r="N47" s="900">
        <f t="shared" si="42"/>
        <v>92.213943999999998</v>
      </c>
      <c r="O47" s="900">
        <f t="shared" si="42"/>
        <v>94.213943999999998</v>
      </c>
      <c r="P47" s="900">
        <f t="shared" si="42"/>
        <v>98.916719999999998</v>
      </c>
      <c r="Q47" s="900">
        <f t="shared" si="42"/>
        <v>98.916719999999998</v>
      </c>
      <c r="R47" s="900">
        <f t="shared" si="42"/>
        <v>99.081581199999988</v>
      </c>
      <c r="S47" s="900">
        <f t="shared" si="42"/>
        <v>93.146578000000005</v>
      </c>
      <c r="T47" s="900">
        <f t="shared" si="42"/>
        <v>86.552129999999991</v>
      </c>
      <c r="U47" s="900">
        <f t="shared" si="42"/>
        <v>86.552129999999991</v>
      </c>
      <c r="V47" s="900">
        <f>SUM(V48:V66)</f>
        <v>82.265738799999994</v>
      </c>
      <c r="W47" s="904">
        <f>SUM(G47:V47)/4</f>
        <v>343.32344900000004</v>
      </c>
    </row>
    <row r="48" spans="1:23" x14ac:dyDescent="0.3">
      <c r="A48" s="904">
        <v>2021</v>
      </c>
      <c r="B48" s="897" t="s">
        <v>845</v>
      </c>
      <c r="C48" s="898"/>
      <c r="D48" s="904">
        <f>($D$8)*'ARP Timing'!B17</f>
        <v>0</v>
      </c>
      <c r="E48" s="904">
        <f>($D$8)*'ARP Timing'!C17</f>
        <v>0</v>
      </c>
      <c r="F48" s="904">
        <f>($D$8)*'ARP Timing'!D17</f>
        <v>34.620851999999999</v>
      </c>
      <c r="G48" s="904">
        <f>($D$8)*'ARP Timing'!E17</f>
        <v>45.996274799999995</v>
      </c>
      <c r="H48" s="904">
        <f>($D$8)*'ARP Timing'!F17</f>
        <v>59.350031999999992</v>
      </c>
      <c r="I48" s="904">
        <f>($D$8)*'ARP Timing'!G17</f>
        <v>64.295867999999999</v>
      </c>
      <c r="J48" s="904">
        <f>($D$8)*'ARP Timing'!H17</f>
        <v>49.458359999999999</v>
      </c>
      <c r="K48" s="904">
        <f>($D$8)*'ARP Timing'!I17</f>
        <v>49.458359999999999</v>
      </c>
      <c r="L48" s="904">
        <f>($D$8)*'ARP Timing'!J17</f>
        <v>59.350031999999992</v>
      </c>
      <c r="M48" s="904">
        <f>($D$8)*'ARP Timing'!K17</f>
        <v>59.350031999999992</v>
      </c>
      <c r="N48" s="904">
        <f>($D$8)*'ARP Timing'!L17</f>
        <v>69.241703999999999</v>
      </c>
      <c r="O48" s="904">
        <f>($D$8)*'ARP Timing'!M17</f>
        <v>69.241703999999999</v>
      </c>
      <c r="P48" s="904">
        <f>($D$8)*'ARP Timing'!N17</f>
        <v>59.350031999999992</v>
      </c>
      <c r="Q48" s="904">
        <f>($D$8)*'ARP Timing'!O17</f>
        <v>59.350031999999992</v>
      </c>
      <c r="R48" s="904">
        <f>($D$8)*'ARP Timing'!P17</f>
        <v>52.920445199999989</v>
      </c>
      <c r="S48" s="904">
        <f>($D$8)*'ARP Timing'!Q17</f>
        <v>46.985441999999992</v>
      </c>
      <c r="T48" s="904">
        <f>($D$8)*'ARP Timing'!R17</f>
        <v>46.985441999999992</v>
      </c>
      <c r="U48" s="904">
        <f>($D$8)*'ARP Timing'!S17</f>
        <v>46.985441999999992</v>
      </c>
      <c r="V48" s="904">
        <f>($D$8)*'ARP Timing'!T17</f>
        <v>46.985441999999992</v>
      </c>
    </row>
    <row r="49" spans="1:22" x14ac:dyDescent="0.3">
      <c r="B49" s="897" t="s">
        <v>379</v>
      </c>
      <c r="C49" s="898"/>
      <c r="E49" s="904">
        <f>($E$8)*'ARP Timing'!B$17</f>
        <v>0</v>
      </c>
      <c r="F49" s="904">
        <f>($E$8)*'ARP Timing'!C$16</f>
        <v>0</v>
      </c>
      <c r="G49" s="904">
        <f>($E$8)*'ARP Timing'!D$16</f>
        <v>0</v>
      </c>
      <c r="H49" s="904">
        <f>($E$8)*'ARP Timing'!E$16</f>
        <v>0</v>
      </c>
      <c r="I49" s="904">
        <f>($E$8)*'ARP Timing'!F$16</f>
        <v>0</v>
      </c>
      <c r="J49" s="904">
        <f>($E$8)*'ARP Timing'!G$16</f>
        <v>0</v>
      </c>
      <c r="K49" s="904">
        <f>($E$8)*'ARP Timing'!H$16</f>
        <v>0</v>
      </c>
      <c r="L49" s="904">
        <f>($E$8)*'ARP Timing'!I$16</f>
        <v>0</v>
      </c>
      <c r="M49" s="904">
        <f>($E$8)*'ARP Timing'!J$16</f>
        <v>0</v>
      </c>
      <c r="N49" s="904">
        <f>($E$8)*'ARP Timing'!K$16</f>
        <v>0</v>
      </c>
      <c r="O49" s="904">
        <f>($E$8)*'ARP Timing'!L$16</f>
        <v>0</v>
      </c>
      <c r="P49" s="904">
        <f>($E$8)*'ARP Timing'!M$16</f>
        <v>0</v>
      </c>
      <c r="Q49" s="904">
        <f>($E$8)*'ARP Timing'!N$16</f>
        <v>0</v>
      </c>
      <c r="R49" s="904">
        <f>($E$8)*'ARP Timing'!O$16</f>
        <v>0</v>
      </c>
      <c r="S49" s="904">
        <f>($E$8)*'ARP Timing'!P$16</f>
        <v>0</v>
      </c>
      <c r="T49" s="904">
        <f>($E$8)*'ARP Timing'!Q$16</f>
        <v>0</v>
      </c>
      <c r="U49" s="904">
        <f>($E$8)*'ARP Timing'!R$16</f>
        <v>0</v>
      </c>
      <c r="V49" s="904">
        <f>($E$8)*'ARP Timing'!S$16</f>
        <v>0</v>
      </c>
    </row>
    <row r="50" spans="1:22" x14ac:dyDescent="0.3">
      <c r="B50" s="897" t="s">
        <v>846</v>
      </c>
      <c r="C50" s="898"/>
      <c r="F50" s="904">
        <f>($F$8)*'ARP Timing'!C$17</f>
        <v>0</v>
      </c>
      <c r="G50" s="904">
        <f>($F$8)*'ARP Timing'!D$17</f>
        <v>0</v>
      </c>
      <c r="H50" s="904">
        <f>($F$8)*'ARP Timing'!E$17</f>
        <v>0</v>
      </c>
      <c r="I50" s="904">
        <f>($F$8)*'ARP Timing'!F$17</f>
        <v>0</v>
      </c>
      <c r="J50" s="904">
        <f>($F$8)*'ARP Timing'!G$17</f>
        <v>0</v>
      </c>
      <c r="K50" s="904">
        <f>($F$8)*'ARP Timing'!H$17</f>
        <v>0</v>
      </c>
      <c r="L50" s="904">
        <f>($F$8)*'ARP Timing'!I$17</f>
        <v>0</v>
      </c>
      <c r="M50" s="904">
        <f>($F$8)*'ARP Timing'!J$17</f>
        <v>0</v>
      </c>
      <c r="N50" s="904">
        <f>($F$8)*'ARP Timing'!K$17</f>
        <v>0</v>
      </c>
      <c r="O50" s="904">
        <f>($F$8)*'ARP Timing'!L$17</f>
        <v>0</v>
      </c>
      <c r="P50" s="904">
        <f>($F$8)*'ARP Timing'!M$17</f>
        <v>0</v>
      </c>
      <c r="Q50" s="904">
        <f>($F$8)*'ARP Timing'!N$17</f>
        <v>0</v>
      </c>
      <c r="R50" s="904">
        <f>($F$8)*'ARP Timing'!O$17</f>
        <v>0</v>
      </c>
      <c r="S50" s="904">
        <f>($F$8)*'ARP Timing'!P$17</f>
        <v>0</v>
      </c>
      <c r="T50" s="904">
        <f>($F$8)*'ARP Timing'!Q$17</f>
        <v>0</v>
      </c>
      <c r="U50" s="904">
        <f>($F$8)*'ARP Timing'!R$17</f>
        <v>0</v>
      </c>
      <c r="V50" s="904">
        <f>($F$8)*'ARP Timing'!S$17</f>
        <v>0</v>
      </c>
    </row>
    <row r="51" spans="1:22" x14ac:dyDescent="0.3">
      <c r="A51" s="904">
        <v>2022</v>
      </c>
      <c r="B51" s="897" t="s">
        <v>247</v>
      </c>
      <c r="C51" s="898"/>
      <c r="G51" s="904">
        <f>($G$8)*'ARP Timing'!D$17</f>
        <v>0</v>
      </c>
      <c r="H51" s="904">
        <f>($G$8)*'ARP Timing'!E$17</f>
        <v>0</v>
      </c>
      <c r="I51" s="904">
        <f>($G$8)*'ARP Timing'!F$17</f>
        <v>0</v>
      </c>
      <c r="J51" s="904">
        <f>($G$8)*'ARP Timing'!G$17</f>
        <v>0</v>
      </c>
      <c r="K51" s="904">
        <f>($G$8)*'ARP Timing'!H$17</f>
        <v>0</v>
      </c>
      <c r="L51" s="904">
        <f>($G$8)*'ARP Timing'!I$17</f>
        <v>0</v>
      </c>
      <c r="M51" s="904">
        <f>($G$8)*'ARP Timing'!J$17</f>
        <v>0</v>
      </c>
      <c r="N51" s="904">
        <f>($G$8)*'ARP Timing'!K$17</f>
        <v>0</v>
      </c>
      <c r="O51" s="904">
        <f>($G$8)*'ARP Timing'!L$17</f>
        <v>0</v>
      </c>
      <c r="P51" s="904">
        <f>($G$8)*'ARP Timing'!M$17</f>
        <v>0</v>
      </c>
      <c r="Q51" s="904">
        <f>($G$8)*'ARP Timing'!N$17</f>
        <v>0</v>
      </c>
      <c r="R51" s="904">
        <f>($G$8)*'ARP Timing'!O$17</f>
        <v>0</v>
      </c>
      <c r="S51" s="904">
        <f>($G$8)*'ARP Timing'!P$17</f>
        <v>0</v>
      </c>
      <c r="T51" s="904">
        <f>($G$8)*'ARP Timing'!Q$17</f>
        <v>0</v>
      </c>
      <c r="U51" s="904">
        <f>($G$8)*'ARP Timing'!R$17</f>
        <v>0</v>
      </c>
      <c r="V51" s="904">
        <f>($G$8)*'ARP Timing'!S$17</f>
        <v>0</v>
      </c>
    </row>
    <row r="52" spans="1:22" x14ac:dyDescent="0.3">
      <c r="B52" s="897" t="s">
        <v>248</v>
      </c>
      <c r="C52" s="898"/>
      <c r="H52" s="904">
        <f>($H$8)*'ARP Timing'!B$17</f>
        <v>0</v>
      </c>
      <c r="I52" s="904">
        <f>($H$8)*'ARP Timing'!C$17</f>
        <v>0</v>
      </c>
      <c r="J52" s="904">
        <f>($H$8)*'ARP Timing'!D$17</f>
        <v>23.080568000000003</v>
      </c>
      <c r="K52" s="904">
        <f>($H$8)*'ARP Timing'!E$17</f>
        <v>30.6641832</v>
      </c>
      <c r="L52" s="904">
        <f>($H$8)*'ARP Timing'!F$17</f>
        <v>39.566687999999999</v>
      </c>
      <c r="M52" s="904">
        <f>($H$8)*'ARP Timing'!G$17</f>
        <v>42.863911999999999</v>
      </c>
      <c r="N52" s="904">
        <f>($H$8)*'ARP Timing'!H$17</f>
        <v>32.972239999999999</v>
      </c>
      <c r="O52" s="904">
        <f>($H$8)*'ARP Timing'!I$17</f>
        <v>32.972239999999999</v>
      </c>
      <c r="P52" s="904">
        <f>($H$8)*'ARP Timing'!J$17</f>
        <v>39.566687999999999</v>
      </c>
      <c r="Q52" s="904">
        <f>($H$8)*'ARP Timing'!K$17</f>
        <v>39.566687999999999</v>
      </c>
      <c r="R52" s="904">
        <f>($H$8)*'ARP Timing'!L$17</f>
        <v>46.161136000000006</v>
      </c>
      <c r="S52" s="904">
        <f>($H$8)*'ARP Timing'!M$17</f>
        <v>46.161136000000006</v>
      </c>
      <c r="T52" s="904">
        <f>($H$8)*'ARP Timing'!N$17</f>
        <v>39.566687999999999</v>
      </c>
      <c r="U52" s="904">
        <f>($H$8)*'ARP Timing'!O$17</f>
        <v>39.566687999999999</v>
      </c>
      <c r="V52" s="904">
        <f>($H$8)*'ARP Timing'!P$17</f>
        <v>35.280296800000002</v>
      </c>
    </row>
    <row r="53" spans="1:22" x14ac:dyDescent="0.3">
      <c r="B53" s="897" t="s">
        <v>379</v>
      </c>
      <c r="C53" s="898"/>
      <c r="H53" s="898"/>
      <c r="I53" s="904">
        <f>($I$8)*'ARP Timing'!B$17</f>
        <v>0</v>
      </c>
      <c r="J53" s="904">
        <f>($I$8)*'ARP Timing'!C$17</f>
        <v>0</v>
      </c>
      <c r="K53" s="904">
        <f>($I$8)*'ARP Timing'!D$17</f>
        <v>0</v>
      </c>
      <c r="L53" s="904">
        <f>($I$8)*'ARP Timing'!E$17</f>
        <v>0</v>
      </c>
      <c r="M53" s="904">
        <f>($I$8)*'ARP Timing'!F$17</f>
        <v>0</v>
      </c>
      <c r="N53" s="904">
        <f>($I$8)*'ARP Timing'!G$17</f>
        <v>0</v>
      </c>
      <c r="O53" s="904">
        <f>($I$8)*'ARP Timing'!H$17</f>
        <v>0</v>
      </c>
      <c r="P53" s="904">
        <f>($I$8)*'ARP Timing'!I$17</f>
        <v>0</v>
      </c>
      <c r="Q53" s="904">
        <f>($I$8)*'ARP Timing'!J$17</f>
        <v>0</v>
      </c>
      <c r="R53" s="904">
        <f>($I$8)*'ARP Timing'!K$17</f>
        <v>0</v>
      </c>
      <c r="S53" s="904">
        <f>($I$8)*'ARP Timing'!L$17</f>
        <v>0</v>
      </c>
      <c r="T53" s="904">
        <f>($I$8)*'ARP Timing'!M$17</f>
        <v>0</v>
      </c>
      <c r="U53" s="904">
        <f>($I$8)*'ARP Timing'!N$17</f>
        <v>0</v>
      </c>
      <c r="V53" s="904">
        <f>($I$8)*'ARP Timing'!O$17</f>
        <v>0</v>
      </c>
    </row>
    <row r="54" spans="1:22" x14ac:dyDescent="0.3">
      <c r="B54" s="897" t="s">
        <v>846</v>
      </c>
      <c r="C54" s="898"/>
      <c r="H54" s="898"/>
    </row>
    <row r="55" spans="1:22" x14ac:dyDescent="0.3">
      <c r="A55" s="904">
        <v>2023</v>
      </c>
      <c r="B55" s="897" t="s">
        <v>247</v>
      </c>
      <c r="C55" s="898"/>
      <c r="H55" s="898"/>
    </row>
    <row r="56" spans="1:22" x14ac:dyDescent="0.3">
      <c r="B56" s="897" t="s">
        <v>248</v>
      </c>
      <c r="C56" s="898"/>
      <c r="H56" s="898"/>
    </row>
    <row r="57" spans="1:22" x14ac:dyDescent="0.3">
      <c r="B57" s="897" t="s">
        <v>379</v>
      </c>
      <c r="C57" s="898"/>
      <c r="H57" s="898"/>
    </row>
    <row r="58" spans="1:22" x14ac:dyDescent="0.3">
      <c r="B58" s="897" t="s">
        <v>846</v>
      </c>
      <c r="C58" s="898"/>
      <c r="H58" s="898"/>
    </row>
    <row r="59" spans="1:22" x14ac:dyDescent="0.3">
      <c r="A59" s="904">
        <v>2024</v>
      </c>
      <c r="B59" s="897" t="s">
        <v>247</v>
      </c>
      <c r="C59" s="898"/>
      <c r="H59" s="898"/>
    </row>
    <row r="60" spans="1:22" x14ac:dyDescent="0.3">
      <c r="B60" s="897" t="s">
        <v>248</v>
      </c>
      <c r="C60" s="898"/>
      <c r="H60" s="898"/>
    </row>
    <row r="61" spans="1:22" x14ac:dyDescent="0.3">
      <c r="B61" s="897" t="s">
        <v>379</v>
      </c>
      <c r="C61" s="898"/>
      <c r="H61" s="898"/>
    </row>
    <row r="62" spans="1:22" x14ac:dyDescent="0.3">
      <c r="B62" s="897" t="s">
        <v>846</v>
      </c>
      <c r="C62" s="898"/>
      <c r="H62" s="898"/>
    </row>
    <row r="63" spans="1:22" x14ac:dyDescent="0.3">
      <c r="A63" t="s">
        <v>974</v>
      </c>
      <c r="B63" s="897"/>
      <c r="C63" s="898"/>
      <c r="G63">
        <v>5</v>
      </c>
      <c r="H63" s="898">
        <v>10</v>
      </c>
      <c r="I63">
        <v>15</v>
      </c>
      <c r="J63">
        <v>8</v>
      </c>
      <c r="K63">
        <v>0</v>
      </c>
      <c r="L63">
        <v>-10</v>
      </c>
      <c r="M63">
        <v>-10</v>
      </c>
      <c r="N63">
        <v>-10</v>
      </c>
      <c r="O63">
        <v>-8</v>
      </c>
    </row>
    <row r="64" spans="1:22" x14ac:dyDescent="0.3">
      <c r="B64" s="897"/>
      <c r="C64" s="898"/>
      <c r="H64" s="898"/>
    </row>
    <row r="65" spans="2:24" x14ac:dyDescent="0.3">
      <c r="B65" s="897"/>
      <c r="C65" s="898"/>
      <c r="H65" s="898"/>
    </row>
    <row r="66" spans="2:24" x14ac:dyDescent="0.3">
      <c r="B66" s="897"/>
      <c r="C66" s="898"/>
      <c r="H66" s="898"/>
    </row>
    <row r="67" spans="2:24" x14ac:dyDescent="0.3">
      <c r="B67" s="897"/>
      <c r="C67" s="898"/>
      <c r="H67" s="898"/>
    </row>
    <row r="68" spans="2:24" x14ac:dyDescent="0.3">
      <c r="B68" s="897"/>
      <c r="C68" s="898"/>
      <c r="H68" s="898"/>
    </row>
    <row r="69" spans="2:24" x14ac:dyDescent="0.3">
      <c r="B69" s="897"/>
      <c r="C69" s="898"/>
      <c r="H69" s="898"/>
    </row>
    <row r="70" spans="2:24" x14ac:dyDescent="0.3">
      <c r="B70" s="897"/>
      <c r="C70" s="898"/>
      <c r="H70" s="898"/>
    </row>
    <row r="71" spans="2:24" x14ac:dyDescent="0.3">
      <c r="B71" s="897"/>
      <c r="C71" s="898"/>
      <c r="H71" s="898"/>
    </row>
    <row r="72" spans="2:24" x14ac:dyDescent="0.3">
      <c r="B72" s="897"/>
      <c r="C72" s="898"/>
      <c r="H72" s="898"/>
    </row>
    <row r="73" spans="2:24" x14ac:dyDescent="0.3">
      <c r="B73" s="897" t="s">
        <v>848</v>
      </c>
      <c r="C73" s="895">
        <v>2021</v>
      </c>
      <c r="D73" s="895">
        <v>2022</v>
      </c>
      <c r="E73" s="895">
        <v>2023</v>
      </c>
      <c r="F73" s="895">
        <v>2024</v>
      </c>
      <c r="G73" s="895">
        <v>2025</v>
      </c>
      <c r="H73" s="898"/>
    </row>
    <row r="74" spans="2:24" x14ac:dyDescent="0.3">
      <c r="B74" s="897" t="s">
        <v>745</v>
      </c>
      <c r="C74" s="901">
        <f t="shared" ref="C74:C85" si="43">SUM(C4:E4)/4</f>
        <v>0.77600000000001046</v>
      </c>
      <c r="D74" s="901">
        <f t="shared" ref="D74:D85" si="44">SUM(F4:I4)/4</f>
        <v>19.719000000000005</v>
      </c>
      <c r="E74" s="901">
        <f t="shared" ref="E74:E85" si="45">SUM(J4:M4)/4</f>
        <v>1.4159999999999999</v>
      </c>
      <c r="F74" s="901">
        <f t="shared" ref="F74:F85" si="46">SUM(N4:Q4)/4</f>
        <v>1.4790000000000001</v>
      </c>
      <c r="G74" s="901">
        <f t="shared" ref="G74:G85" si="47">SUM(R4:U4)/4</f>
        <v>1.63</v>
      </c>
    </row>
    <row r="75" spans="2:24" x14ac:dyDescent="0.3">
      <c r="B75" s="897" t="s">
        <v>746</v>
      </c>
      <c r="C75" s="901">
        <f t="shared" si="43"/>
        <v>19.722000000000016</v>
      </c>
      <c r="D75" s="901">
        <f t="shared" si="44"/>
        <v>52.756999999999998</v>
      </c>
      <c r="E75" s="901">
        <f t="shared" si="45"/>
        <v>12</v>
      </c>
      <c r="F75" s="901">
        <f t="shared" si="46"/>
        <v>4.2219999999999995</v>
      </c>
      <c r="G75" s="901">
        <f t="shared" si="47"/>
        <v>2.3719999999999999</v>
      </c>
      <c r="H75" s="898"/>
    </row>
    <row r="76" spans="2:24" x14ac:dyDescent="0.3">
      <c r="B76" s="897" t="s">
        <v>52</v>
      </c>
      <c r="C76" s="901">
        <f t="shared" si="43"/>
        <v>81.643000000000001</v>
      </c>
      <c r="D76" s="901">
        <f t="shared" si="44"/>
        <v>110.24799999999999</v>
      </c>
      <c r="E76" s="901">
        <f t="shared" si="45"/>
        <v>12.726000000000001</v>
      </c>
      <c r="F76" s="901">
        <f t="shared" si="46"/>
        <v>1.365</v>
      </c>
      <c r="G76" s="901">
        <f t="shared" si="47"/>
        <v>-0.90100000000000025</v>
      </c>
      <c r="H76" s="898"/>
      <c r="O76" s="897"/>
      <c r="P76" s="897"/>
      <c r="Q76" s="897"/>
      <c r="R76" s="897"/>
      <c r="S76" s="902"/>
      <c r="T76" s="902"/>
      <c r="U76" s="902"/>
      <c r="V76" s="14"/>
      <c r="W76" s="897"/>
      <c r="X76" s="897"/>
    </row>
    <row r="77" spans="2:24" x14ac:dyDescent="0.3">
      <c r="B77" s="897" t="s">
        <v>131</v>
      </c>
      <c r="C77" s="901">
        <f t="shared" si="43"/>
        <v>7.798</v>
      </c>
      <c r="D77" s="901">
        <f t="shared" si="44"/>
        <v>7.9489999999999998</v>
      </c>
      <c r="E77" s="901">
        <f t="shared" si="45"/>
        <v>4.7519999999999998</v>
      </c>
      <c r="F77" s="901">
        <f t="shared" si="46"/>
        <v>4.637999999999999</v>
      </c>
      <c r="G77" s="901">
        <f t="shared" si="47"/>
        <v>1.8800000000000001</v>
      </c>
      <c r="H77" s="898"/>
    </row>
    <row r="78" spans="2:24" x14ac:dyDescent="0.3">
      <c r="B78" s="899" t="s">
        <v>396</v>
      </c>
      <c r="C78" s="901">
        <f t="shared" si="43"/>
        <v>247.29179999999997</v>
      </c>
      <c r="D78" s="901">
        <f t="shared" si="44"/>
        <v>164.8612</v>
      </c>
      <c r="E78" s="901">
        <f t="shared" si="45"/>
        <v>0</v>
      </c>
      <c r="F78" s="901">
        <f t="shared" si="46"/>
        <v>0</v>
      </c>
      <c r="G78" s="901">
        <f t="shared" si="47"/>
        <v>0</v>
      </c>
      <c r="H78" s="898"/>
      <c r="R78" s="867"/>
      <c r="S78" s="867"/>
    </row>
    <row r="79" spans="2:24" x14ac:dyDescent="0.3">
      <c r="B79" s="899" t="s">
        <v>150</v>
      </c>
      <c r="C79" s="901">
        <f t="shared" si="43"/>
        <v>12.347</v>
      </c>
      <c r="D79" s="901">
        <f t="shared" si="44"/>
        <v>46.79</v>
      </c>
      <c r="E79" s="901">
        <f t="shared" si="45"/>
        <v>38.595999999999997</v>
      </c>
      <c r="F79" s="901">
        <f t="shared" si="46"/>
        <v>31.911000000000001</v>
      </c>
      <c r="G79" s="901">
        <f t="shared" si="47"/>
        <v>23.099</v>
      </c>
      <c r="H79" s="898"/>
      <c r="R79" s="867"/>
      <c r="S79" s="867"/>
    </row>
    <row r="80" spans="2:24" x14ac:dyDescent="0.3">
      <c r="B80" s="899" t="s">
        <v>412</v>
      </c>
      <c r="C80" s="901">
        <f t="shared" si="43"/>
        <v>29.628</v>
      </c>
      <c r="D80" s="901">
        <f t="shared" si="44"/>
        <v>35.671000000000006</v>
      </c>
      <c r="E80" s="901">
        <f t="shared" si="45"/>
        <v>24.216000000000001</v>
      </c>
      <c r="F80" s="901">
        <f t="shared" si="46"/>
        <v>9.6430000000000007</v>
      </c>
      <c r="G80" s="901">
        <f t="shared" si="47"/>
        <v>4.5789999999999997</v>
      </c>
      <c r="H80" s="898"/>
      <c r="R80" s="867"/>
      <c r="S80" s="867"/>
    </row>
    <row r="81" spans="2:19" x14ac:dyDescent="0.3">
      <c r="B81" s="14" t="s">
        <v>159</v>
      </c>
      <c r="C81" s="901">
        <f t="shared" si="43"/>
        <v>25.75</v>
      </c>
      <c r="D81" s="901">
        <f t="shared" si="44"/>
        <v>0</v>
      </c>
      <c r="E81" s="901">
        <f t="shared" si="45"/>
        <v>0</v>
      </c>
      <c r="F81" s="901">
        <f t="shared" si="46"/>
        <v>0</v>
      </c>
      <c r="G81" s="901">
        <f t="shared" si="47"/>
        <v>0</v>
      </c>
      <c r="H81" s="898"/>
      <c r="R81" s="867"/>
      <c r="S81" s="867"/>
    </row>
    <row r="82" spans="2:19" x14ac:dyDescent="0.3">
      <c r="B82" s="897" t="s">
        <v>109</v>
      </c>
      <c r="C82" s="901">
        <f t="shared" si="43"/>
        <v>31.939</v>
      </c>
      <c r="D82" s="901">
        <f t="shared" si="44"/>
        <v>56.413000000000004</v>
      </c>
      <c r="E82" s="901">
        <f t="shared" si="45"/>
        <v>15.652999999999999</v>
      </c>
      <c r="F82" s="901">
        <f t="shared" si="46"/>
        <v>3.9320000000000004</v>
      </c>
      <c r="G82" s="901">
        <f t="shared" si="47"/>
        <v>-0.74299999999999988</v>
      </c>
      <c r="R82" s="867"/>
      <c r="S82" s="867"/>
    </row>
    <row r="83" spans="2:19" x14ac:dyDescent="0.3">
      <c r="B83" s="904" t="s">
        <v>839</v>
      </c>
      <c r="C83" s="901">
        <f t="shared" si="43"/>
        <v>1.02</v>
      </c>
      <c r="D83" s="901">
        <f t="shared" si="44"/>
        <v>1.5299999999999998</v>
      </c>
      <c r="E83" s="901">
        <f t="shared" si="45"/>
        <v>0</v>
      </c>
      <c r="F83" s="901">
        <f t="shared" si="46"/>
        <v>0</v>
      </c>
      <c r="G83" s="901">
        <f t="shared" si="47"/>
        <v>0</v>
      </c>
      <c r="R83" s="867"/>
      <c r="S83" s="867"/>
    </row>
    <row r="84" spans="2:19" x14ac:dyDescent="0.3">
      <c r="B84" s="904" t="s">
        <v>840</v>
      </c>
      <c r="C84" s="901">
        <f t="shared" si="43"/>
        <v>0.67999999999999994</v>
      </c>
      <c r="D84" s="901">
        <f t="shared" si="44"/>
        <v>1.02</v>
      </c>
      <c r="E84" s="901">
        <f t="shared" si="45"/>
        <v>0</v>
      </c>
      <c r="F84" s="901">
        <f t="shared" si="46"/>
        <v>0</v>
      </c>
      <c r="G84" s="901">
        <f t="shared" si="47"/>
        <v>0</v>
      </c>
      <c r="R84" s="867"/>
      <c r="S84" s="867"/>
    </row>
    <row r="85" spans="2:19" x14ac:dyDescent="0.3">
      <c r="B85" s="904" t="s">
        <v>534</v>
      </c>
      <c r="C85" s="901">
        <f t="shared" si="43"/>
        <v>1.6999999999999997</v>
      </c>
      <c r="D85" s="901">
        <f t="shared" si="44"/>
        <v>2.5499999999999998</v>
      </c>
      <c r="E85" s="901">
        <f t="shared" si="45"/>
        <v>0</v>
      </c>
      <c r="F85" s="901">
        <f t="shared" si="46"/>
        <v>0</v>
      </c>
      <c r="G85" s="901">
        <f t="shared" si="47"/>
        <v>0</v>
      </c>
      <c r="R85" s="867"/>
      <c r="S85" s="867"/>
    </row>
    <row r="86" spans="2:19" x14ac:dyDescent="0.3">
      <c r="C86" s="895">
        <v>2021</v>
      </c>
      <c r="D86" s="895">
        <v>2022</v>
      </c>
      <c r="E86" s="895">
        <v>2023</v>
      </c>
      <c r="F86" s="895">
        <v>2024</v>
      </c>
      <c r="G86" s="895">
        <v>2025</v>
      </c>
      <c r="R86" s="867"/>
      <c r="S86" s="867"/>
    </row>
    <row r="87" spans="2:19" x14ac:dyDescent="0.3">
      <c r="B87" s="904" t="s">
        <v>849</v>
      </c>
      <c r="C87" s="900">
        <f>SUM(C83:C85)</f>
        <v>3.3999999999999995</v>
      </c>
      <c r="D87" s="900">
        <f t="shared" ref="D87:G87" si="48">SUM(D83:D85)</f>
        <v>5.0999999999999996</v>
      </c>
      <c r="E87" s="900">
        <f t="shared" si="48"/>
        <v>0</v>
      </c>
      <c r="F87" s="900">
        <f t="shared" si="48"/>
        <v>0</v>
      </c>
      <c r="G87" s="900">
        <f t="shared" si="48"/>
        <v>0</v>
      </c>
      <c r="R87" s="867"/>
      <c r="S87" s="867"/>
    </row>
    <row r="90" spans="2:19" x14ac:dyDescent="0.3">
      <c r="B90" s="904" t="s">
        <v>745</v>
      </c>
      <c r="C90" s="901">
        <v>26.636000000000024</v>
      </c>
      <c r="D90" s="901">
        <v>98.978999999999999</v>
      </c>
      <c r="E90" s="901">
        <v>2.1159999999999997</v>
      </c>
      <c r="F90" s="901">
        <v>2.1789999999999998</v>
      </c>
      <c r="G90" s="901">
        <v>2.33</v>
      </c>
      <c r="H90" s="901"/>
      <c r="I90" s="901"/>
      <c r="J90" s="901"/>
      <c r="K90" s="901"/>
      <c r="L90" s="901"/>
      <c r="M90" s="901"/>
    </row>
    <row r="91" spans="2:19" x14ac:dyDescent="0.3">
      <c r="B91" s="904" t="s">
        <v>746</v>
      </c>
      <c r="C91" s="901">
        <v>47.722000000000016</v>
      </c>
      <c r="D91" s="901">
        <v>52.756999999999998</v>
      </c>
      <c r="E91" s="901">
        <v>12</v>
      </c>
      <c r="F91" s="901">
        <v>4.2219999999999995</v>
      </c>
      <c r="G91" s="901">
        <v>2.3719999999999999</v>
      </c>
      <c r="H91" s="901"/>
      <c r="I91" s="901"/>
      <c r="J91" s="901"/>
      <c r="K91" s="901"/>
      <c r="L91" s="901"/>
      <c r="M91" s="901"/>
    </row>
    <row r="92" spans="2:19" x14ac:dyDescent="0.3">
      <c r="B92" s="904" t="s">
        <v>52</v>
      </c>
      <c r="C92" s="901">
        <v>81.842999999999989</v>
      </c>
      <c r="D92" s="901">
        <v>110.24799999999999</v>
      </c>
      <c r="E92" s="901">
        <v>12.726000000000001</v>
      </c>
      <c r="F92" s="901">
        <v>1.365</v>
      </c>
      <c r="G92" s="901">
        <v>-0.90100000000000025</v>
      </c>
      <c r="H92" s="901"/>
      <c r="I92" s="901"/>
      <c r="J92" s="901"/>
      <c r="K92" s="901"/>
      <c r="L92" s="901"/>
      <c r="M92" s="901"/>
    </row>
    <row r="93" spans="2:19" x14ac:dyDescent="0.3">
      <c r="B93" s="904" t="s">
        <v>131</v>
      </c>
      <c r="C93" s="901">
        <v>7.798</v>
      </c>
      <c r="D93" s="901">
        <v>7.9489999999999998</v>
      </c>
      <c r="E93" s="901">
        <v>4.7519999999999998</v>
      </c>
      <c r="F93" s="901">
        <v>4.637999999999999</v>
      </c>
      <c r="G93" s="901">
        <v>1.8800000000000001</v>
      </c>
      <c r="H93" s="901"/>
      <c r="I93" s="901"/>
      <c r="J93" s="901"/>
      <c r="K93" s="901"/>
      <c r="L93" s="901"/>
      <c r="M93" s="901"/>
    </row>
    <row r="94" spans="2:19" x14ac:dyDescent="0.3">
      <c r="B94" s="904" t="s">
        <v>396</v>
      </c>
      <c r="C94" s="901">
        <v>283.95749999999998</v>
      </c>
      <c r="D94" s="901">
        <v>77.092500000000001</v>
      </c>
      <c r="E94" s="901">
        <v>1</v>
      </c>
      <c r="F94" s="901">
        <v>0</v>
      </c>
      <c r="G94" s="901">
        <v>0</v>
      </c>
      <c r="H94" s="901"/>
      <c r="I94" s="901"/>
      <c r="J94" s="901"/>
      <c r="K94" s="901"/>
      <c r="L94" s="901"/>
      <c r="M94" s="901"/>
    </row>
    <row r="95" spans="2:19" x14ac:dyDescent="0.3">
      <c r="B95" s="904" t="s">
        <v>150</v>
      </c>
      <c r="C95" s="901">
        <v>12.347</v>
      </c>
      <c r="D95" s="901">
        <v>46.79</v>
      </c>
      <c r="E95" s="901">
        <v>38.595999999999997</v>
      </c>
      <c r="F95" s="901">
        <v>31.911000000000001</v>
      </c>
      <c r="G95" s="901">
        <v>23.099</v>
      </c>
      <c r="H95" s="901"/>
      <c r="I95" s="901"/>
      <c r="J95" s="901"/>
      <c r="K95" s="901"/>
      <c r="L95" s="901"/>
      <c r="M95" s="901"/>
    </row>
    <row r="96" spans="2:19" x14ac:dyDescent="0.3">
      <c r="B96" s="904" t="s">
        <v>412</v>
      </c>
      <c r="C96" s="901">
        <v>2.286</v>
      </c>
      <c r="D96" s="901">
        <v>4.6049999999999995</v>
      </c>
      <c r="E96" s="901">
        <v>1.349</v>
      </c>
      <c r="F96" s="901">
        <v>0.441</v>
      </c>
      <c r="G96" s="901">
        <v>0.313</v>
      </c>
      <c r="H96" s="901"/>
      <c r="I96" s="901"/>
      <c r="J96" s="901"/>
      <c r="K96" s="901"/>
      <c r="L96" s="901"/>
      <c r="M96" s="901"/>
    </row>
    <row r="97" spans="2:13" x14ac:dyDescent="0.3">
      <c r="B97" s="904" t="s">
        <v>159</v>
      </c>
      <c r="C97" s="901">
        <v>25.75</v>
      </c>
      <c r="D97" s="901">
        <v>0</v>
      </c>
      <c r="E97" s="901">
        <v>0</v>
      </c>
      <c r="F97" s="901">
        <v>0</v>
      </c>
      <c r="G97" s="901">
        <v>0</v>
      </c>
      <c r="H97" s="901"/>
      <c r="I97" s="901"/>
      <c r="J97" s="901"/>
      <c r="K97" s="901"/>
      <c r="L97" s="901"/>
      <c r="M97" s="901"/>
    </row>
    <row r="98" spans="2:13" x14ac:dyDescent="0.3">
      <c r="B98" s="904" t="s">
        <v>109</v>
      </c>
      <c r="C98" s="901">
        <v>60.441000000000003</v>
      </c>
      <c r="D98" s="901">
        <v>91.678999999999988</v>
      </c>
      <c r="E98" s="901">
        <v>41.220000000000006</v>
      </c>
      <c r="F98" s="901">
        <v>14.004000000000003</v>
      </c>
      <c r="G98" s="901">
        <v>3.8530000000000006</v>
      </c>
      <c r="H98" s="901"/>
      <c r="I98" s="901"/>
      <c r="J98" s="901"/>
      <c r="K98" s="901"/>
      <c r="L98" s="901"/>
      <c r="M98" s="901"/>
    </row>
    <row r="99" spans="2:13" x14ac:dyDescent="0.3">
      <c r="C99" s="895">
        <v>3.4</v>
      </c>
      <c r="D99" s="895">
        <v>5.0999999999999996</v>
      </c>
      <c r="E99" s="895">
        <v>0</v>
      </c>
      <c r="F99" s="895">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A211" sqref="A211:XFD211"/>
    </sheetView>
  </sheetViews>
  <sheetFormatPr defaultColWidth="11.5546875" defaultRowHeight="14.4" x14ac:dyDescent="0.3"/>
  <cols>
    <col min="1" max="2" width="12" customWidth="1"/>
    <col min="3" max="12" width="26.5546875" customWidth="1"/>
  </cols>
  <sheetData>
    <row r="1" spans="1:12" ht="28.95" customHeight="1" x14ac:dyDescent="0.3">
      <c r="A1" s="1085" t="str">
        <f>Deflators_original!K1</f>
        <v>date</v>
      </c>
      <c r="B1" s="1085" t="str">
        <f>Deflators_original!L1</f>
        <v>id</v>
      </c>
      <c r="C1" s="1086" t="str">
        <f>Deflators_original!A1</f>
        <v>gdp_deflator</v>
      </c>
      <c r="D1" s="1086" t="str">
        <f>Deflators_original!B1</f>
        <v>gdp_growth</v>
      </c>
      <c r="E1" s="1086" t="str">
        <f>Deflators_original!C1</f>
        <v>consumption_deflator</v>
      </c>
      <c r="F1" s="1086" t="str">
        <f>Deflators_original!D1</f>
        <v>consumption_deflator_growth</v>
      </c>
      <c r="G1" s="1086" t="str">
        <f>Deflators_original!E1</f>
        <v>federal_purchases_deflator</v>
      </c>
      <c r="H1" s="1086" t="str">
        <f>Deflators_original!F1</f>
        <v>federal_purchases_deflator_growth</v>
      </c>
      <c r="I1" s="1086" t="str">
        <f>Deflators_original!G1</f>
        <v>consumption_grants_deflator</v>
      </c>
      <c r="J1" s="1086" t="str">
        <f>Deflators_original!H1</f>
        <v>consumption_grants_deflator_growth</v>
      </c>
      <c r="K1" s="1086" t="str">
        <f>Deflators_original!I1</f>
        <v>investment_grants_deflator</v>
      </c>
      <c r="L1" s="1086" t="str">
        <f>Deflators_original!J1</f>
        <v>investment_grants_deflator_growth</v>
      </c>
    </row>
    <row r="2" spans="1:12" x14ac:dyDescent="0.3">
      <c r="A2" s="1085" t="str">
        <f>Deflators_original!K2</f>
        <v>1970 Q1</v>
      </c>
      <c r="B2" s="1085" t="str">
        <f>Deflators_original!L2</f>
        <v>historical</v>
      </c>
      <c r="C2" s="1087">
        <f>Deflators_original!A2</f>
        <v>21.271999999999998</v>
      </c>
      <c r="D2" s="1087">
        <f>Deflators_original!B2</f>
        <v>0</v>
      </c>
      <c r="E2" s="1087">
        <f>Deflators_original!C2</f>
        <v>20.57</v>
      </c>
      <c r="F2" s="1087">
        <f>Deflators_original!D2</f>
        <v>1.1084103062712699E-2</v>
      </c>
      <c r="G2" s="1087">
        <f>Deflators_original!E2</f>
        <v>18.704000000000001</v>
      </c>
      <c r="H2" s="1087">
        <f>Deflators_original!F2</f>
        <v>1.32057313943541E-2</v>
      </c>
      <c r="I2" s="1087">
        <f>Deflators_original!G2</f>
        <v>13.106999999999999</v>
      </c>
      <c r="J2" s="1087">
        <f>Deflators_original!H2</f>
        <v>1.9913023575188999E-2</v>
      </c>
      <c r="K2" s="1087">
        <f>Deflators_original!I2</f>
        <v>16.824999999999999</v>
      </c>
      <c r="L2" s="1087">
        <f>Deflators_original!J2</f>
        <v>2.51411589895989E-2</v>
      </c>
    </row>
    <row r="3" spans="1:12" x14ac:dyDescent="0.3">
      <c r="A3" s="1085" t="str">
        <f>Deflators_original!K3</f>
        <v>1970 Q2</v>
      </c>
      <c r="B3" s="1085" t="str">
        <f>Deflators_original!L3</f>
        <v>historical</v>
      </c>
      <c r="C3" s="1087">
        <f>Deflators_original!A3</f>
        <v>21.579000000000001</v>
      </c>
      <c r="D3" s="1087">
        <f>Deflators_original!B3</f>
        <v>0</v>
      </c>
      <c r="E3" s="1087">
        <f>Deflators_original!C3</f>
        <v>20.797999999999998</v>
      </c>
      <c r="F3" s="1087">
        <f>Deflators_original!D3</f>
        <v>1.1084103062712699E-2</v>
      </c>
      <c r="G3" s="1087">
        <f>Deflators_original!E3</f>
        <v>18.951000000000001</v>
      </c>
      <c r="H3" s="1087">
        <f>Deflators_original!F3</f>
        <v>1.32057313943541E-2</v>
      </c>
      <c r="I3" s="1087">
        <f>Deflators_original!G3</f>
        <v>13.368</v>
      </c>
      <c r="J3" s="1087">
        <f>Deflators_original!H3</f>
        <v>1.9913023575188999E-2</v>
      </c>
      <c r="K3" s="1087">
        <f>Deflators_original!I3</f>
        <v>17.248000000000001</v>
      </c>
      <c r="L3" s="1087">
        <f>Deflators_original!J3</f>
        <v>2.51411589895989E-2</v>
      </c>
    </row>
    <row r="4" spans="1:12" x14ac:dyDescent="0.3">
      <c r="A4" s="1085" t="str">
        <f>Deflators_original!K4</f>
        <v>1970 Q3</v>
      </c>
      <c r="B4" s="1085" t="str">
        <f>Deflators_original!L4</f>
        <v>historical</v>
      </c>
      <c r="C4" s="1087">
        <f>Deflators_original!A4</f>
        <v>21.756</v>
      </c>
      <c r="D4" s="1087">
        <f>Deflators_original!B4</f>
        <v>0</v>
      </c>
      <c r="E4" s="1087">
        <f>Deflators_original!C4</f>
        <v>21</v>
      </c>
      <c r="F4" s="1087">
        <f>Deflators_original!D4</f>
        <v>9.7124723531110107E-3</v>
      </c>
      <c r="G4" s="1087">
        <f>Deflators_original!E4</f>
        <v>19.274000000000001</v>
      </c>
      <c r="H4" s="1087">
        <f>Deflators_original!F4</f>
        <v>1.7043955464091501E-2</v>
      </c>
      <c r="I4" s="1087">
        <f>Deflators_original!G4</f>
        <v>13.603999999999999</v>
      </c>
      <c r="J4" s="1087">
        <f>Deflators_original!H4</f>
        <v>1.7654099341711402E-2</v>
      </c>
      <c r="K4" s="1087">
        <f>Deflators_original!I4</f>
        <v>17.582000000000001</v>
      </c>
      <c r="L4" s="1087">
        <f>Deflators_original!J4</f>
        <v>1.9364564007421099E-2</v>
      </c>
    </row>
    <row r="5" spans="1:12" x14ac:dyDescent="0.3">
      <c r="A5" s="1085" t="str">
        <f>Deflators_original!K5</f>
        <v>1970 Q4</v>
      </c>
      <c r="B5" s="1085" t="str">
        <f>Deflators_original!L5</f>
        <v>historical</v>
      </c>
      <c r="C5" s="1087">
        <f>Deflators_original!A5</f>
        <v>22.041</v>
      </c>
      <c r="D5" s="1087">
        <f>Deflators_original!B5</f>
        <v>0</v>
      </c>
      <c r="E5" s="1087">
        <f>Deflators_original!C5</f>
        <v>21.271999999999998</v>
      </c>
      <c r="F5" s="1087">
        <f>Deflators_original!D5</f>
        <v>1.29523809523808E-2</v>
      </c>
      <c r="G5" s="1087">
        <f>Deflators_original!E5</f>
        <v>19.518999999999998</v>
      </c>
      <c r="H5" s="1087">
        <f>Deflators_original!F5</f>
        <v>1.2711424717235501E-2</v>
      </c>
      <c r="I5" s="1087">
        <f>Deflators_original!G5</f>
        <v>13.833</v>
      </c>
      <c r="J5" s="1087">
        <f>Deflators_original!H5</f>
        <v>1.6833284328138898E-2</v>
      </c>
      <c r="K5" s="1087">
        <f>Deflators_original!I5</f>
        <v>18.027999999999999</v>
      </c>
      <c r="L5" s="1087">
        <f>Deflators_original!J5</f>
        <v>2.5366852462745899E-2</v>
      </c>
    </row>
    <row r="6" spans="1:12" x14ac:dyDescent="0.3">
      <c r="A6" s="1085" t="str">
        <f>Deflators_original!K6</f>
        <v>1971 Q1</v>
      </c>
      <c r="B6" s="1085" t="str">
        <f>Deflators_original!L6</f>
        <v>historical</v>
      </c>
      <c r="C6" s="1087">
        <f>Deflators_original!A6</f>
        <v>22.375</v>
      </c>
      <c r="D6" s="1087">
        <f>Deflators_original!B6</f>
        <v>0</v>
      </c>
      <c r="E6" s="1087">
        <f>Deflators_original!C6</f>
        <v>21.474</v>
      </c>
      <c r="F6" s="1087">
        <f>Deflators_original!D6</f>
        <v>9.4960511470478792E-3</v>
      </c>
      <c r="G6" s="1087">
        <f>Deflators_original!E6</f>
        <v>20.137</v>
      </c>
      <c r="H6" s="1087">
        <f>Deflators_original!F6</f>
        <v>3.1661458066499303E-2</v>
      </c>
      <c r="I6" s="1087">
        <f>Deflators_original!G6</f>
        <v>14.173999999999999</v>
      </c>
      <c r="J6" s="1087">
        <f>Deflators_original!H6</f>
        <v>2.4651196414371399E-2</v>
      </c>
      <c r="K6" s="1087">
        <f>Deflators_original!I6</f>
        <v>18.332000000000001</v>
      </c>
      <c r="L6" s="1087">
        <f>Deflators_original!J6</f>
        <v>1.6862658087419598E-2</v>
      </c>
    </row>
    <row r="7" spans="1:12" x14ac:dyDescent="0.3">
      <c r="A7" s="1085" t="str">
        <f>Deflators_original!K7</f>
        <v>1971 Q2</v>
      </c>
      <c r="B7" s="1085" t="str">
        <f>Deflators_original!L7</f>
        <v>historical</v>
      </c>
      <c r="C7" s="1087">
        <f>Deflators_original!A7</f>
        <v>22.673999999999999</v>
      </c>
      <c r="D7" s="1087">
        <f>Deflators_original!B7</f>
        <v>0</v>
      </c>
      <c r="E7" s="1087">
        <f>Deflators_original!C7</f>
        <v>21.718</v>
      </c>
      <c r="F7" s="1087">
        <f>Deflators_original!D7</f>
        <v>1.1362578001303801E-2</v>
      </c>
      <c r="G7" s="1087">
        <f>Deflators_original!E7</f>
        <v>20.513000000000002</v>
      </c>
      <c r="H7" s="1087">
        <f>Deflators_original!F7</f>
        <v>1.86720961414313E-2</v>
      </c>
      <c r="I7" s="1087">
        <f>Deflators_original!G7</f>
        <v>14.439</v>
      </c>
      <c r="J7" s="1087">
        <f>Deflators_original!H7</f>
        <v>1.8696204317764999E-2</v>
      </c>
      <c r="K7" s="1087">
        <f>Deflators_original!I7</f>
        <v>18.625</v>
      </c>
      <c r="L7" s="1087">
        <f>Deflators_original!J7</f>
        <v>1.59829805804057E-2</v>
      </c>
    </row>
    <row r="8" spans="1:12" x14ac:dyDescent="0.3">
      <c r="A8" s="1085" t="str">
        <f>Deflators_original!K8</f>
        <v>1971 Q3</v>
      </c>
      <c r="B8" s="1085" t="str">
        <f>Deflators_original!L8</f>
        <v>historical</v>
      </c>
      <c r="C8" s="1087">
        <f>Deflators_original!A8</f>
        <v>22.902999999999999</v>
      </c>
      <c r="D8" s="1087">
        <f>Deflators_original!B8</f>
        <v>0</v>
      </c>
      <c r="E8" s="1087">
        <f>Deflators_original!C8</f>
        <v>21.931999999999999</v>
      </c>
      <c r="F8" s="1087">
        <f>Deflators_original!D8</f>
        <v>9.8535776775023898E-3</v>
      </c>
      <c r="G8" s="1087">
        <f>Deflators_original!E8</f>
        <v>20.81</v>
      </c>
      <c r="H8" s="1087">
        <f>Deflators_original!F8</f>
        <v>1.4478623312046E-2</v>
      </c>
      <c r="I8" s="1087">
        <f>Deflators_original!G8</f>
        <v>14.657</v>
      </c>
      <c r="J8" s="1087">
        <f>Deflators_original!H8</f>
        <v>1.5097998476348899E-2</v>
      </c>
      <c r="K8" s="1087">
        <f>Deflators_original!I8</f>
        <v>18.827999999999999</v>
      </c>
      <c r="L8" s="1087">
        <f>Deflators_original!J8</f>
        <v>1.0899328859060401E-2</v>
      </c>
    </row>
    <row r="9" spans="1:12" x14ac:dyDescent="0.3">
      <c r="A9" s="1085" t="str">
        <f>Deflators_original!K9</f>
        <v>1971 Q4</v>
      </c>
      <c r="B9" s="1085" t="str">
        <f>Deflators_original!L9</f>
        <v>historical</v>
      </c>
      <c r="C9" s="1087">
        <f>Deflators_original!A9</f>
        <v>23.091999999999999</v>
      </c>
      <c r="D9" s="1087">
        <f>Deflators_original!B9</f>
        <v>0</v>
      </c>
      <c r="E9" s="1087">
        <f>Deflators_original!C9</f>
        <v>22.068000000000001</v>
      </c>
      <c r="F9" s="1087">
        <f>Deflators_original!D9</f>
        <v>6.2009848623016898E-3</v>
      </c>
      <c r="G9" s="1087">
        <f>Deflators_original!E9</f>
        <v>21.233000000000001</v>
      </c>
      <c r="H9" s="1087">
        <f>Deflators_original!F9</f>
        <v>2.03267659778954E-2</v>
      </c>
      <c r="I9" s="1087">
        <f>Deflators_original!G9</f>
        <v>14.79</v>
      </c>
      <c r="J9" s="1087">
        <f>Deflators_original!H9</f>
        <v>9.0741625162038507E-3</v>
      </c>
      <c r="K9" s="1087">
        <f>Deflators_original!I9</f>
        <v>19.152999999999999</v>
      </c>
      <c r="L9" s="1087">
        <f>Deflators_original!J9</f>
        <v>1.7261525387720401E-2</v>
      </c>
    </row>
    <row r="10" spans="1:12" x14ac:dyDescent="0.3">
      <c r="A10" s="1085" t="str">
        <f>Deflators_original!K10</f>
        <v>1972 Q1</v>
      </c>
      <c r="B10" s="1085" t="str">
        <f>Deflators_original!L10</f>
        <v>historical</v>
      </c>
      <c r="C10" s="1087">
        <f>Deflators_original!A10</f>
        <v>23.463000000000001</v>
      </c>
      <c r="D10" s="1087">
        <f>Deflators_original!B10</f>
        <v>0</v>
      </c>
      <c r="E10" s="1087">
        <f>Deflators_original!C10</f>
        <v>22.300999999999998</v>
      </c>
      <c r="F10" s="1087">
        <f>Deflators_original!D10</f>
        <v>1.05582744245059E-2</v>
      </c>
      <c r="G10" s="1087">
        <f>Deflators_original!E10</f>
        <v>22.106999999999999</v>
      </c>
      <c r="H10" s="1087">
        <f>Deflators_original!F10</f>
        <v>4.11623416380162E-2</v>
      </c>
      <c r="I10" s="1087">
        <f>Deflators_original!G10</f>
        <v>15.162000000000001</v>
      </c>
      <c r="J10" s="1087">
        <f>Deflators_original!H10</f>
        <v>2.5152129817444399E-2</v>
      </c>
      <c r="K10" s="1087">
        <f>Deflators_original!I10</f>
        <v>19.398</v>
      </c>
      <c r="L10" s="1087">
        <f>Deflators_original!J10</f>
        <v>1.27917297551299E-2</v>
      </c>
    </row>
    <row r="11" spans="1:12" x14ac:dyDescent="0.3">
      <c r="A11" s="1085" t="str">
        <f>Deflators_original!K11</f>
        <v>1972 Q2</v>
      </c>
      <c r="B11" s="1085" t="str">
        <f>Deflators_original!L11</f>
        <v>historical</v>
      </c>
      <c r="C11" s="1087">
        <f>Deflators_original!A11</f>
        <v>23.606000000000002</v>
      </c>
      <c r="D11" s="1087">
        <f>Deflators_original!B11</f>
        <v>0</v>
      </c>
      <c r="E11" s="1087">
        <f>Deflators_original!C11</f>
        <v>22.428999999999998</v>
      </c>
      <c r="F11" s="1087">
        <f>Deflators_original!D11</f>
        <v>5.7396529303619399E-3</v>
      </c>
      <c r="G11" s="1087">
        <f>Deflators_original!E11</f>
        <v>22.33</v>
      </c>
      <c r="H11" s="1087">
        <f>Deflators_original!F11</f>
        <v>1.00873026643145E-2</v>
      </c>
      <c r="I11" s="1087">
        <f>Deflators_original!G11</f>
        <v>15.361000000000001</v>
      </c>
      <c r="J11" s="1087">
        <f>Deflators_original!H11</f>
        <v>1.3124917557050499E-2</v>
      </c>
      <c r="K11" s="1087">
        <f>Deflators_original!I11</f>
        <v>19.533999999999999</v>
      </c>
      <c r="L11" s="1087">
        <f>Deflators_original!J11</f>
        <v>7.0110320651612899E-3</v>
      </c>
    </row>
    <row r="12" spans="1:12" x14ac:dyDescent="0.3">
      <c r="A12" s="1085" t="str">
        <f>Deflators_original!K12</f>
        <v>1972 Q3</v>
      </c>
      <c r="B12" s="1085" t="str">
        <f>Deflators_original!L12</f>
        <v>historical</v>
      </c>
      <c r="C12" s="1087">
        <f>Deflators_original!A12</f>
        <v>23.82</v>
      </c>
      <c r="D12" s="1087">
        <f>Deflators_original!B12</f>
        <v>0</v>
      </c>
      <c r="E12" s="1087">
        <f>Deflators_original!C12</f>
        <v>22.626000000000001</v>
      </c>
      <c r="F12" s="1087">
        <f>Deflators_original!D12</f>
        <v>8.7832716572295907E-3</v>
      </c>
      <c r="G12" s="1087">
        <f>Deflators_original!E12</f>
        <v>22.513000000000002</v>
      </c>
      <c r="H12" s="1087">
        <f>Deflators_original!F12</f>
        <v>8.1952530228392995E-3</v>
      </c>
      <c r="I12" s="1087">
        <f>Deflators_original!G12</f>
        <v>15.6</v>
      </c>
      <c r="J12" s="1087">
        <f>Deflators_original!H12</f>
        <v>1.5558882885228701E-2</v>
      </c>
      <c r="K12" s="1087">
        <f>Deflators_original!I12</f>
        <v>19.805</v>
      </c>
      <c r="L12" s="1087">
        <f>Deflators_original!J12</f>
        <v>1.38732466468721E-2</v>
      </c>
    </row>
    <row r="13" spans="1:12" x14ac:dyDescent="0.3">
      <c r="A13" s="1085" t="str">
        <f>Deflators_original!K13</f>
        <v>1972 Q4</v>
      </c>
      <c r="B13" s="1085" t="str">
        <f>Deflators_original!L13</f>
        <v>historical</v>
      </c>
      <c r="C13" s="1087">
        <f>Deflators_original!A13</f>
        <v>24.09</v>
      </c>
      <c r="D13" s="1087">
        <f>Deflators_original!B13</f>
        <v>0</v>
      </c>
      <c r="E13" s="1087">
        <f>Deflators_original!C13</f>
        <v>22.811</v>
      </c>
      <c r="F13" s="1087">
        <f>Deflators_original!D13</f>
        <v>8.1764341907539801E-3</v>
      </c>
      <c r="G13" s="1087">
        <f>Deflators_original!E13</f>
        <v>23.003</v>
      </c>
      <c r="H13" s="1087">
        <f>Deflators_original!F13</f>
        <v>2.17652023275441E-2</v>
      </c>
      <c r="I13" s="1087">
        <f>Deflators_original!G13</f>
        <v>15.794</v>
      </c>
      <c r="J13" s="1087">
        <f>Deflators_original!H13</f>
        <v>1.2435897435897601E-2</v>
      </c>
      <c r="K13" s="1087">
        <f>Deflators_original!I13</f>
        <v>20.175000000000001</v>
      </c>
      <c r="L13" s="1087">
        <f>Deflators_original!J13</f>
        <v>1.8682150971976799E-2</v>
      </c>
    </row>
    <row r="14" spans="1:12" x14ac:dyDescent="0.3">
      <c r="A14" s="1085" t="str">
        <f>Deflators_original!K14</f>
        <v>1973 Q1</v>
      </c>
      <c r="B14" s="1085" t="str">
        <f>Deflators_original!L14</f>
        <v>historical</v>
      </c>
      <c r="C14" s="1087">
        <f>Deflators_original!A14</f>
        <v>24.396000000000001</v>
      </c>
      <c r="D14" s="1087">
        <f>Deflators_original!B14</f>
        <v>0</v>
      </c>
      <c r="E14" s="1087">
        <f>Deflators_original!C14</f>
        <v>23.085999999999999</v>
      </c>
      <c r="F14" s="1087">
        <f>Deflators_original!D14</f>
        <v>1.20555872166936E-2</v>
      </c>
      <c r="G14" s="1087">
        <f>Deflators_original!E14</f>
        <v>23.373000000000001</v>
      </c>
      <c r="H14" s="1087">
        <f>Deflators_original!F14</f>
        <v>1.60848584967179E-2</v>
      </c>
      <c r="I14" s="1087">
        <f>Deflators_original!G14</f>
        <v>16.106000000000002</v>
      </c>
      <c r="J14" s="1087">
        <f>Deflators_original!H14</f>
        <v>1.9754337090034199E-2</v>
      </c>
      <c r="K14" s="1087">
        <f>Deflators_original!I14</f>
        <v>20.564</v>
      </c>
      <c r="L14" s="1087">
        <f>Deflators_original!J14</f>
        <v>1.9281288723668001E-2</v>
      </c>
    </row>
    <row r="15" spans="1:12" x14ac:dyDescent="0.3">
      <c r="A15" s="1085" t="str">
        <f>Deflators_original!K15</f>
        <v>1973 Q2</v>
      </c>
      <c r="B15" s="1085" t="str">
        <f>Deflators_original!L15</f>
        <v>historical</v>
      </c>
      <c r="C15" s="1087">
        <f>Deflators_original!A15</f>
        <v>24.8</v>
      </c>
      <c r="D15" s="1087">
        <f>Deflators_original!B15</f>
        <v>0</v>
      </c>
      <c r="E15" s="1087">
        <f>Deflators_original!C15</f>
        <v>23.53</v>
      </c>
      <c r="F15" s="1087">
        <f>Deflators_original!D15</f>
        <v>1.9232435242138201E-2</v>
      </c>
      <c r="G15" s="1087">
        <f>Deflators_original!E15</f>
        <v>23.78</v>
      </c>
      <c r="H15" s="1087">
        <f>Deflators_original!F15</f>
        <v>1.74132546100201E-2</v>
      </c>
      <c r="I15" s="1087">
        <f>Deflators_original!G15</f>
        <v>16.378</v>
      </c>
      <c r="J15" s="1087">
        <f>Deflators_original!H15</f>
        <v>1.68881162299763E-2</v>
      </c>
      <c r="K15" s="1087">
        <f>Deflators_original!I15</f>
        <v>20.997</v>
      </c>
      <c r="L15" s="1087">
        <f>Deflators_original!J15</f>
        <v>2.1056214744213299E-2</v>
      </c>
    </row>
    <row r="16" spans="1:12" x14ac:dyDescent="0.3">
      <c r="A16" s="1085" t="str">
        <f>Deflators_original!K16</f>
        <v>1973 Q3</v>
      </c>
      <c r="B16" s="1085" t="str">
        <f>Deflators_original!L16</f>
        <v>historical</v>
      </c>
      <c r="C16" s="1087">
        <f>Deflators_original!A16</f>
        <v>25.273</v>
      </c>
      <c r="D16" s="1087">
        <f>Deflators_original!B16</f>
        <v>0</v>
      </c>
      <c r="E16" s="1087">
        <f>Deflators_original!C16</f>
        <v>23.957999999999998</v>
      </c>
      <c r="F16" s="1087">
        <f>Deflators_original!D16</f>
        <v>1.81895452613683E-2</v>
      </c>
      <c r="G16" s="1087">
        <f>Deflators_original!E16</f>
        <v>24.271999999999998</v>
      </c>
      <c r="H16" s="1087">
        <f>Deflators_original!F16</f>
        <v>2.0689655172413599E-2</v>
      </c>
      <c r="I16" s="1087">
        <f>Deflators_original!G16</f>
        <v>16.568000000000001</v>
      </c>
      <c r="J16" s="1087">
        <f>Deflators_original!H16</f>
        <v>1.1600928074246E-2</v>
      </c>
      <c r="K16" s="1087">
        <f>Deflators_original!I16</f>
        <v>21.425000000000001</v>
      </c>
      <c r="L16" s="1087">
        <f>Deflators_original!J16</f>
        <v>2.03838643615755E-2</v>
      </c>
    </row>
    <row r="17" spans="1:12" x14ac:dyDescent="0.3">
      <c r="A17" s="1085" t="str">
        <f>Deflators_original!K17</f>
        <v>1973 Q4</v>
      </c>
      <c r="B17" s="1085" t="str">
        <f>Deflators_original!L17</f>
        <v>historical</v>
      </c>
      <c r="C17" s="1087">
        <f>Deflators_original!A17</f>
        <v>25.710999999999999</v>
      </c>
      <c r="D17" s="1087">
        <f>Deflators_original!B17</f>
        <v>0</v>
      </c>
      <c r="E17" s="1087">
        <f>Deflators_original!C17</f>
        <v>24.448</v>
      </c>
      <c r="F17" s="1087">
        <f>Deflators_original!D17</f>
        <v>2.0452458468987599E-2</v>
      </c>
      <c r="G17" s="1087">
        <f>Deflators_original!E17</f>
        <v>24.791</v>
      </c>
      <c r="H17" s="1087">
        <f>Deflators_original!F17</f>
        <v>2.13826631509559E-2</v>
      </c>
      <c r="I17" s="1087">
        <f>Deflators_original!G17</f>
        <v>16.846</v>
      </c>
      <c r="J17" s="1087">
        <f>Deflators_original!H17</f>
        <v>1.6779333655238898E-2</v>
      </c>
      <c r="K17" s="1087">
        <f>Deflators_original!I17</f>
        <v>22</v>
      </c>
      <c r="L17" s="1087">
        <f>Deflators_original!J17</f>
        <v>2.68378063010501E-2</v>
      </c>
    </row>
    <row r="18" spans="1:12" x14ac:dyDescent="0.3">
      <c r="A18" s="1085" t="str">
        <f>Deflators_original!K18</f>
        <v>1974 Q1</v>
      </c>
      <c r="B18" s="1085" t="str">
        <f>Deflators_original!L18</f>
        <v>historical</v>
      </c>
      <c r="C18" s="1087">
        <f>Deflators_original!A18</f>
        <v>26.231999999999999</v>
      </c>
      <c r="D18" s="1087">
        <f>Deflators_original!B18</f>
        <v>0</v>
      </c>
      <c r="E18" s="1087">
        <f>Deflators_original!C18</f>
        <v>25.175999999999998</v>
      </c>
      <c r="F18" s="1087">
        <f>Deflators_original!D18</f>
        <v>2.9777486910994602E-2</v>
      </c>
      <c r="G18" s="1087">
        <f>Deflators_original!E18</f>
        <v>25.045000000000002</v>
      </c>
      <c r="H18" s="1087">
        <f>Deflators_original!F18</f>
        <v>1.0245653664636501E-2</v>
      </c>
      <c r="I18" s="1087">
        <f>Deflators_original!G18</f>
        <v>17.254999999999999</v>
      </c>
      <c r="J18" s="1087">
        <f>Deflators_original!H18</f>
        <v>2.42787605366259E-2</v>
      </c>
      <c r="K18" s="1087">
        <f>Deflators_original!I18</f>
        <v>23.02</v>
      </c>
      <c r="L18" s="1087">
        <f>Deflators_original!J18</f>
        <v>4.6363636363636399E-2</v>
      </c>
    </row>
    <row r="19" spans="1:12" x14ac:dyDescent="0.3">
      <c r="A19" s="1085" t="str">
        <f>Deflators_original!K19</f>
        <v>1974 Q2</v>
      </c>
      <c r="B19" s="1085" t="str">
        <f>Deflators_original!L19</f>
        <v>historical</v>
      </c>
      <c r="C19" s="1087">
        <f>Deflators_original!A19</f>
        <v>26.815000000000001</v>
      </c>
      <c r="D19" s="1087">
        <f>Deflators_original!B19</f>
        <v>0</v>
      </c>
      <c r="E19" s="1087">
        <f>Deflators_original!C19</f>
        <v>25.888999999999999</v>
      </c>
      <c r="F19" s="1087">
        <f>Deflators_original!D19</f>
        <v>2.8320622815379799E-2</v>
      </c>
      <c r="G19" s="1087">
        <f>Deflators_original!E19</f>
        <v>25.498000000000001</v>
      </c>
      <c r="H19" s="1087">
        <f>Deflators_original!F19</f>
        <v>1.8087442603314002E-2</v>
      </c>
      <c r="I19" s="1087">
        <f>Deflators_original!G19</f>
        <v>17.719000000000001</v>
      </c>
      <c r="J19" s="1087">
        <f>Deflators_original!H19</f>
        <v>2.68907563025211E-2</v>
      </c>
      <c r="K19" s="1087">
        <f>Deflators_original!I19</f>
        <v>24.466999999999999</v>
      </c>
      <c r="L19" s="1087">
        <f>Deflators_original!J19</f>
        <v>6.2858384013900995E-2</v>
      </c>
    </row>
    <row r="20" spans="1:12" x14ac:dyDescent="0.3">
      <c r="A20" s="1085" t="str">
        <f>Deflators_original!K20</f>
        <v>1974 Q3</v>
      </c>
      <c r="B20" s="1085" t="str">
        <f>Deflators_original!L20</f>
        <v>historical</v>
      </c>
      <c r="C20" s="1087">
        <f>Deflators_original!A20</f>
        <v>27.640999999999998</v>
      </c>
      <c r="D20" s="1087">
        <f>Deflators_original!B20</f>
        <v>0</v>
      </c>
      <c r="E20" s="1087">
        <f>Deflators_original!C20</f>
        <v>26.587</v>
      </c>
      <c r="F20" s="1087">
        <f>Deflators_original!D20</f>
        <v>2.69612576770057E-2</v>
      </c>
      <c r="G20" s="1087">
        <f>Deflators_original!E20</f>
        <v>26.242000000000001</v>
      </c>
      <c r="H20" s="1087">
        <f>Deflators_original!F20</f>
        <v>2.9178759118362301E-2</v>
      </c>
      <c r="I20" s="1087">
        <f>Deflators_original!G20</f>
        <v>18.228000000000002</v>
      </c>
      <c r="J20" s="1087">
        <f>Deflators_original!H20</f>
        <v>2.8726226084993398E-2</v>
      </c>
      <c r="K20" s="1087">
        <f>Deflators_original!I20</f>
        <v>26.030999999999999</v>
      </c>
      <c r="L20" s="1087">
        <f>Deflators_original!J20</f>
        <v>6.3922834838762405E-2</v>
      </c>
    </row>
    <row r="21" spans="1:12" x14ac:dyDescent="0.3">
      <c r="A21" s="1085" t="str">
        <f>Deflators_original!K21</f>
        <v>1974 Q4</v>
      </c>
      <c r="B21" s="1085" t="str">
        <f>Deflators_original!L21</f>
        <v>historical</v>
      </c>
      <c r="C21" s="1087">
        <f>Deflators_original!A21</f>
        <v>28.478999999999999</v>
      </c>
      <c r="D21" s="1087">
        <f>Deflators_original!B21</f>
        <v>0</v>
      </c>
      <c r="E21" s="1087">
        <f>Deflators_original!C21</f>
        <v>27.263000000000002</v>
      </c>
      <c r="F21" s="1087">
        <f>Deflators_original!D21</f>
        <v>2.5425960055666299E-2</v>
      </c>
      <c r="G21" s="1087">
        <f>Deflators_original!E21</f>
        <v>27.114000000000001</v>
      </c>
      <c r="H21" s="1087">
        <f>Deflators_original!F21</f>
        <v>3.32291746055942E-2</v>
      </c>
      <c r="I21" s="1087">
        <f>Deflators_original!G21</f>
        <v>18.704000000000001</v>
      </c>
      <c r="J21" s="1087">
        <f>Deflators_original!H21</f>
        <v>2.6113671274961399E-2</v>
      </c>
      <c r="K21" s="1087">
        <f>Deflators_original!I21</f>
        <v>27.113</v>
      </c>
      <c r="L21" s="1087">
        <f>Deflators_original!J21</f>
        <v>4.15658253620683E-2</v>
      </c>
    </row>
    <row r="22" spans="1:12" x14ac:dyDescent="0.3">
      <c r="A22" s="1085" t="str">
        <f>Deflators_original!K22</f>
        <v>1975 Q1</v>
      </c>
      <c r="B22" s="1085" t="str">
        <f>Deflators_original!L22</f>
        <v>historical</v>
      </c>
      <c r="C22" s="1087">
        <f>Deflators_original!A22</f>
        <v>29.123999999999999</v>
      </c>
      <c r="D22" s="1087">
        <f>Deflators_original!B22</f>
        <v>0</v>
      </c>
      <c r="E22" s="1087">
        <f>Deflators_original!C22</f>
        <v>27.776</v>
      </c>
      <c r="F22" s="1087">
        <f>Deflators_original!D22</f>
        <v>1.8816711293694801E-2</v>
      </c>
      <c r="G22" s="1087">
        <f>Deflators_original!E22</f>
        <v>27.606999999999999</v>
      </c>
      <c r="H22" s="1087">
        <f>Deflators_original!F22</f>
        <v>1.8182488751198499E-2</v>
      </c>
      <c r="I22" s="1087">
        <f>Deflators_original!G22</f>
        <v>19.077999999999999</v>
      </c>
      <c r="J22" s="1087">
        <f>Deflators_original!H22</f>
        <v>1.99957228400343E-2</v>
      </c>
      <c r="K22" s="1087">
        <f>Deflators_original!I22</f>
        <v>27.689</v>
      </c>
      <c r="L22" s="1087">
        <f>Deflators_original!J22</f>
        <v>2.1244421495223698E-2</v>
      </c>
    </row>
    <row r="23" spans="1:12" x14ac:dyDescent="0.3">
      <c r="A23" s="1085" t="str">
        <f>Deflators_original!K23</f>
        <v>1975 Q2</v>
      </c>
      <c r="B23" s="1085" t="str">
        <f>Deflators_original!L23</f>
        <v>historical</v>
      </c>
      <c r="C23" s="1087">
        <f>Deflators_original!A23</f>
        <v>29.545999999999999</v>
      </c>
      <c r="D23" s="1087">
        <f>Deflators_original!B23</f>
        <v>0</v>
      </c>
      <c r="E23" s="1087">
        <f>Deflators_original!C23</f>
        <v>28.117000000000001</v>
      </c>
      <c r="F23" s="1087">
        <f>Deflators_original!D23</f>
        <v>1.2276785714285801E-2</v>
      </c>
      <c r="G23" s="1087">
        <f>Deflators_original!E23</f>
        <v>28.006</v>
      </c>
      <c r="H23" s="1087">
        <f>Deflators_original!F23</f>
        <v>1.4452856159669699E-2</v>
      </c>
      <c r="I23" s="1087">
        <f>Deflators_original!G23</f>
        <v>19.538</v>
      </c>
      <c r="J23" s="1087">
        <f>Deflators_original!H23</f>
        <v>2.4111542090365898E-2</v>
      </c>
      <c r="K23" s="1087">
        <f>Deflators_original!I23</f>
        <v>27.826000000000001</v>
      </c>
      <c r="L23" s="1087">
        <f>Deflators_original!J23</f>
        <v>4.9478132110223304E-3</v>
      </c>
    </row>
    <row r="24" spans="1:12" x14ac:dyDescent="0.3">
      <c r="A24" s="1085" t="str">
        <f>Deflators_original!K24</f>
        <v>1975 Q3</v>
      </c>
      <c r="B24" s="1085" t="str">
        <f>Deflators_original!L24</f>
        <v>historical</v>
      </c>
      <c r="C24" s="1087">
        <f>Deflators_original!A24</f>
        <v>30.068000000000001</v>
      </c>
      <c r="D24" s="1087">
        <f>Deflators_original!B24</f>
        <v>0</v>
      </c>
      <c r="E24" s="1087">
        <f>Deflators_original!C24</f>
        <v>28.643000000000001</v>
      </c>
      <c r="F24" s="1087">
        <f>Deflators_original!D24</f>
        <v>1.8707543479034E-2</v>
      </c>
      <c r="G24" s="1087">
        <f>Deflators_original!E24</f>
        <v>28.384</v>
      </c>
      <c r="H24" s="1087">
        <f>Deflators_original!F24</f>
        <v>1.34971077626223E-2</v>
      </c>
      <c r="I24" s="1087">
        <f>Deflators_original!G24</f>
        <v>19.838000000000001</v>
      </c>
      <c r="J24" s="1087">
        <f>Deflators_original!H24</f>
        <v>1.5354693417954699E-2</v>
      </c>
      <c r="K24" s="1087">
        <f>Deflators_original!I24</f>
        <v>27.914000000000001</v>
      </c>
      <c r="L24" s="1087">
        <f>Deflators_original!J24</f>
        <v>3.16250988284339E-3</v>
      </c>
    </row>
    <row r="25" spans="1:12" x14ac:dyDescent="0.3">
      <c r="A25" s="1085" t="str">
        <f>Deflators_original!K25</f>
        <v>1975 Q4</v>
      </c>
      <c r="B25" s="1085" t="str">
        <f>Deflators_original!L25</f>
        <v>historical</v>
      </c>
      <c r="C25" s="1087">
        <f>Deflators_original!A25</f>
        <v>30.57</v>
      </c>
      <c r="D25" s="1087">
        <f>Deflators_original!B25</f>
        <v>0</v>
      </c>
      <c r="E25" s="1087">
        <f>Deflators_original!C25</f>
        <v>29.123999999999999</v>
      </c>
      <c r="F25" s="1087">
        <f>Deflators_original!D25</f>
        <v>1.6792933701078799E-2</v>
      </c>
      <c r="G25" s="1087">
        <f>Deflators_original!E25</f>
        <v>29.036000000000001</v>
      </c>
      <c r="H25" s="1087">
        <f>Deflators_original!F25</f>
        <v>2.29706877113867E-2</v>
      </c>
      <c r="I25" s="1087">
        <f>Deflators_original!G25</f>
        <v>20.126999999999999</v>
      </c>
      <c r="J25" s="1087">
        <f>Deflators_original!H25</f>
        <v>1.45680008065328E-2</v>
      </c>
      <c r="K25" s="1087">
        <f>Deflators_original!I25</f>
        <v>28.084</v>
      </c>
      <c r="L25" s="1087">
        <f>Deflators_original!J25</f>
        <v>6.0901339829475499E-3</v>
      </c>
    </row>
    <row r="26" spans="1:12" x14ac:dyDescent="0.3">
      <c r="A26" s="1085" t="str">
        <f>Deflators_original!K26</f>
        <v>1976 Q1</v>
      </c>
      <c r="B26" s="1085" t="str">
        <f>Deflators_original!L26</f>
        <v>historical</v>
      </c>
      <c r="C26" s="1087">
        <f>Deflators_original!A26</f>
        <v>30.905000000000001</v>
      </c>
      <c r="D26" s="1087">
        <f>Deflators_original!B26</f>
        <v>0</v>
      </c>
      <c r="E26" s="1087">
        <f>Deflators_original!C26</f>
        <v>29.443999999999999</v>
      </c>
      <c r="F26" s="1087">
        <f>Deflators_original!D26</f>
        <v>1.0987501716797099E-2</v>
      </c>
      <c r="G26" s="1087">
        <f>Deflators_original!E26</f>
        <v>29.46</v>
      </c>
      <c r="H26" s="1087">
        <f>Deflators_original!F26</f>
        <v>1.4602562336409899E-2</v>
      </c>
      <c r="I26" s="1087">
        <f>Deflators_original!G26</f>
        <v>20.388999999999999</v>
      </c>
      <c r="J26" s="1087">
        <f>Deflators_original!H26</f>
        <v>1.30173398916877E-2</v>
      </c>
      <c r="K26" s="1087">
        <f>Deflators_original!I26</f>
        <v>28.222000000000001</v>
      </c>
      <c r="L26" s="1087">
        <f>Deflators_original!J26</f>
        <v>4.91382993875522E-3</v>
      </c>
    </row>
    <row r="27" spans="1:12" x14ac:dyDescent="0.3">
      <c r="A27" s="1085" t="str">
        <f>Deflators_original!K27</f>
        <v>1976 Q2</v>
      </c>
      <c r="B27" s="1085" t="str">
        <f>Deflators_original!L27</f>
        <v>historical</v>
      </c>
      <c r="C27" s="1087">
        <f>Deflators_original!A27</f>
        <v>31.213000000000001</v>
      </c>
      <c r="D27" s="1087">
        <f>Deflators_original!B27</f>
        <v>0</v>
      </c>
      <c r="E27" s="1087">
        <f>Deflators_original!C27</f>
        <v>29.690999999999999</v>
      </c>
      <c r="F27" s="1087">
        <f>Deflators_original!D27</f>
        <v>8.3888058687677809E-3</v>
      </c>
      <c r="G27" s="1087">
        <f>Deflators_original!E27</f>
        <v>29.707000000000001</v>
      </c>
      <c r="H27" s="1087">
        <f>Deflators_original!F27</f>
        <v>8.3842498302784101E-3</v>
      </c>
      <c r="I27" s="1087">
        <f>Deflators_original!G27</f>
        <v>20.655000000000001</v>
      </c>
      <c r="J27" s="1087">
        <f>Deflators_original!H27</f>
        <v>1.3046250429153101E-2</v>
      </c>
      <c r="K27" s="1087">
        <f>Deflators_original!I27</f>
        <v>28.463999999999999</v>
      </c>
      <c r="L27" s="1087">
        <f>Deflators_original!J27</f>
        <v>8.5748706682728902E-3</v>
      </c>
    </row>
    <row r="28" spans="1:12" x14ac:dyDescent="0.3">
      <c r="A28" s="1085" t="str">
        <f>Deflators_original!K28</f>
        <v>1976 Q3</v>
      </c>
      <c r="B28" s="1085" t="str">
        <f>Deflators_original!L28</f>
        <v>historical</v>
      </c>
      <c r="C28" s="1087">
        <f>Deflators_original!A28</f>
        <v>31.611000000000001</v>
      </c>
      <c r="D28" s="1087">
        <f>Deflators_original!B28</f>
        <v>0</v>
      </c>
      <c r="E28" s="1087">
        <f>Deflators_original!C28</f>
        <v>30.141999999999999</v>
      </c>
      <c r="F28" s="1087">
        <f>Deflators_original!D28</f>
        <v>1.5189788151291701E-2</v>
      </c>
      <c r="G28" s="1087">
        <f>Deflators_original!E28</f>
        <v>30.047000000000001</v>
      </c>
      <c r="H28" s="1087">
        <f>Deflators_original!F28</f>
        <v>1.1445113946208001E-2</v>
      </c>
      <c r="I28" s="1087">
        <f>Deflators_original!G28</f>
        <v>20.835999999999999</v>
      </c>
      <c r="J28" s="1087">
        <f>Deflators_original!H28</f>
        <v>8.7630113773904394E-3</v>
      </c>
      <c r="K28" s="1087">
        <f>Deflators_original!I28</f>
        <v>28.526</v>
      </c>
      <c r="L28" s="1087">
        <f>Deflators_original!J28</f>
        <v>2.17818999437891E-3</v>
      </c>
    </row>
    <row r="29" spans="1:12" x14ac:dyDescent="0.3">
      <c r="A29" s="1085" t="str">
        <f>Deflators_original!K29</f>
        <v>1976 Q4</v>
      </c>
      <c r="B29" s="1085" t="str">
        <f>Deflators_original!L29</f>
        <v>historical</v>
      </c>
      <c r="C29" s="1087">
        <f>Deflators_original!A29</f>
        <v>32.148000000000003</v>
      </c>
      <c r="D29" s="1087">
        <f>Deflators_original!B29</f>
        <v>0</v>
      </c>
      <c r="E29" s="1087">
        <f>Deflators_original!C29</f>
        <v>30.617999999999999</v>
      </c>
      <c r="F29" s="1087">
        <f>Deflators_original!D29</f>
        <v>1.5791918253599501E-2</v>
      </c>
      <c r="G29" s="1087">
        <f>Deflators_original!E29</f>
        <v>30.850999999999999</v>
      </c>
      <c r="H29" s="1087">
        <f>Deflators_original!F29</f>
        <v>2.67580790095516E-2</v>
      </c>
      <c r="I29" s="1087">
        <f>Deflators_original!G29</f>
        <v>21.111000000000001</v>
      </c>
      <c r="J29" s="1087">
        <f>Deflators_original!H29</f>
        <v>1.31983106162412E-2</v>
      </c>
      <c r="K29" s="1087">
        <f>Deflators_original!I29</f>
        <v>28.72</v>
      </c>
      <c r="L29" s="1087">
        <f>Deflators_original!J29</f>
        <v>6.8008132931360902E-3</v>
      </c>
    </row>
    <row r="30" spans="1:12" x14ac:dyDescent="0.3">
      <c r="A30" s="1085" t="str">
        <f>Deflators_original!K30</f>
        <v>1977 Q1</v>
      </c>
      <c r="B30" s="1085" t="str">
        <f>Deflators_original!L30</f>
        <v>historical</v>
      </c>
      <c r="C30" s="1087">
        <f>Deflators_original!A30</f>
        <v>32.667999999999999</v>
      </c>
      <c r="D30" s="1087">
        <f>Deflators_original!B30</f>
        <v>0</v>
      </c>
      <c r="E30" s="1087">
        <f>Deflators_original!C30</f>
        <v>31.17</v>
      </c>
      <c r="F30" s="1087">
        <f>Deflators_original!D30</f>
        <v>1.8028610621203301E-2</v>
      </c>
      <c r="G30" s="1087">
        <f>Deflators_original!E30</f>
        <v>31.286999999999999</v>
      </c>
      <c r="H30" s="1087">
        <f>Deflators_original!F30</f>
        <v>1.41324430326408E-2</v>
      </c>
      <c r="I30" s="1087">
        <f>Deflators_original!G30</f>
        <v>21.54</v>
      </c>
      <c r="J30" s="1087">
        <f>Deflators_original!H30</f>
        <v>2.0321159585050302E-2</v>
      </c>
      <c r="K30" s="1087">
        <f>Deflators_original!I30</f>
        <v>29.091999999999999</v>
      </c>
      <c r="L30" s="1087">
        <f>Deflators_original!J30</f>
        <v>1.2952646239554401E-2</v>
      </c>
    </row>
    <row r="31" spans="1:12" x14ac:dyDescent="0.3">
      <c r="A31" s="1085" t="str">
        <f>Deflators_original!K31</f>
        <v>1977 Q2</v>
      </c>
      <c r="B31" s="1085" t="str">
        <f>Deflators_original!L31</f>
        <v>historical</v>
      </c>
      <c r="C31" s="1087">
        <f>Deflators_original!A31</f>
        <v>33.183999999999997</v>
      </c>
      <c r="D31" s="1087">
        <f>Deflators_original!B31</f>
        <v>0</v>
      </c>
      <c r="E31" s="1087">
        <f>Deflators_original!C31</f>
        <v>31.704000000000001</v>
      </c>
      <c r="F31" s="1087">
        <f>Deflators_original!D31</f>
        <v>1.7131857555341599E-2</v>
      </c>
      <c r="G31" s="1087">
        <f>Deflators_original!E31</f>
        <v>31.643000000000001</v>
      </c>
      <c r="H31" s="1087">
        <f>Deflators_original!F31</f>
        <v>1.1378527823057601E-2</v>
      </c>
      <c r="I31" s="1087">
        <f>Deflators_original!G31</f>
        <v>21.968</v>
      </c>
      <c r="J31" s="1087">
        <f>Deflators_original!H31</f>
        <v>1.9870009285051001E-2</v>
      </c>
      <c r="K31" s="1087">
        <f>Deflators_original!I31</f>
        <v>29.379000000000001</v>
      </c>
      <c r="L31" s="1087">
        <f>Deflators_original!J31</f>
        <v>9.8652550529356696E-3</v>
      </c>
    </row>
    <row r="32" spans="1:12" x14ac:dyDescent="0.3">
      <c r="A32" s="1085" t="str">
        <f>Deflators_original!K32</f>
        <v>1977 Q3</v>
      </c>
      <c r="B32" s="1085" t="str">
        <f>Deflators_original!L32</f>
        <v>historical</v>
      </c>
      <c r="C32" s="1087">
        <f>Deflators_original!A32</f>
        <v>33.640999999999998</v>
      </c>
      <c r="D32" s="1087">
        <f>Deflators_original!B32</f>
        <v>0</v>
      </c>
      <c r="E32" s="1087">
        <f>Deflators_original!C32</f>
        <v>32.180999999999997</v>
      </c>
      <c r="F32" s="1087">
        <f>Deflators_original!D32</f>
        <v>1.50454201362602E-2</v>
      </c>
      <c r="G32" s="1087">
        <f>Deflators_original!E32</f>
        <v>31.798999999999999</v>
      </c>
      <c r="H32" s="1087">
        <f>Deflators_original!F32</f>
        <v>4.9300003160255299E-3</v>
      </c>
      <c r="I32" s="1087">
        <f>Deflators_original!G32</f>
        <v>22.361000000000001</v>
      </c>
      <c r="J32" s="1087">
        <f>Deflators_original!H32</f>
        <v>1.7889657683903801E-2</v>
      </c>
      <c r="K32" s="1087">
        <f>Deflators_original!I32</f>
        <v>29.774000000000001</v>
      </c>
      <c r="L32" s="1087">
        <f>Deflators_original!J32</f>
        <v>1.3444977705163501E-2</v>
      </c>
    </row>
    <row r="33" spans="1:12" x14ac:dyDescent="0.3">
      <c r="A33" s="1085" t="str">
        <f>Deflators_original!K33</f>
        <v>1977 Q4</v>
      </c>
      <c r="B33" s="1085" t="str">
        <f>Deflators_original!L33</f>
        <v>historical</v>
      </c>
      <c r="C33" s="1087">
        <f>Deflators_original!A33</f>
        <v>34.203000000000003</v>
      </c>
      <c r="D33" s="1087">
        <f>Deflators_original!B33</f>
        <v>0</v>
      </c>
      <c r="E33" s="1087">
        <f>Deflators_original!C33</f>
        <v>32.637999999999998</v>
      </c>
      <c r="F33" s="1087">
        <f>Deflators_original!D33</f>
        <v>1.4200926012243299E-2</v>
      </c>
      <c r="G33" s="1087">
        <f>Deflators_original!E33</f>
        <v>32.720999999999997</v>
      </c>
      <c r="H33" s="1087">
        <f>Deflators_original!F33</f>
        <v>2.89946224724047E-2</v>
      </c>
      <c r="I33" s="1087">
        <f>Deflators_original!G33</f>
        <v>22.771000000000001</v>
      </c>
      <c r="J33" s="1087">
        <f>Deflators_original!H33</f>
        <v>1.83354948347569E-2</v>
      </c>
      <c r="K33" s="1087">
        <f>Deflators_original!I33</f>
        <v>30.091999999999999</v>
      </c>
      <c r="L33" s="1087">
        <f>Deflators_original!J33</f>
        <v>1.0680459461274799E-2</v>
      </c>
    </row>
    <row r="34" spans="1:12" x14ac:dyDescent="0.3">
      <c r="A34" s="1085" t="str">
        <f>Deflators_original!K34</f>
        <v>1978 Q1</v>
      </c>
      <c r="B34" s="1085" t="str">
        <f>Deflators_original!L34</f>
        <v>historical</v>
      </c>
      <c r="C34" s="1087">
        <f>Deflators_original!A34</f>
        <v>34.762999999999998</v>
      </c>
      <c r="D34" s="1087">
        <f>Deflators_original!B34</f>
        <v>0</v>
      </c>
      <c r="E34" s="1087">
        <f>Deflators_original!C34</f>
        <v>33.173999999999999</v>
      </c>
      <c r="F34" s="1087">
        <f>Deflators_original!D34</f>
        <v>1.6422574912678501E-2</v>
      </c>
      <c r="G34" s="1087">
        <f>Deflators_original!E34</f>
        <v>33.094999999999999</v>
      </c>
      <c r="H34" s="1087">
        <f>Deflators_original!F34</f>
        <v>1.14299685217445E-2</v>
      </c>
      <c r="I34" s="1087">
        <f>Deflators_original!G34</f>
        <v>23.102</v>
      </c>
      <c r="J34" s="1087">
        <f>Deflators_original!H34</f>
        <v>1.4536032673137E-2</v>
      </c>
      <c r="K34" s="1087">
        <f>Deflators_original!I34</f>
        <v>30.465</v>
      </c>
      <c r="L34" s="1087">
        <f>Deflators_original!J34</f>
        <v>1.23953210155523E-2</v>
      </c>
    </row>
    <row r="35" spans="1:12" x14ac:dyDescent="0.3">
      <c r="A35" s="1085" t="str">
        <f>Deflators_original!K35</f>
        <v>1978 Q2</v>
      </c>
      <c r="B35" s="1085" t="str">
        <f>Deflators_original!L35</f>
        <v>historical</v>
      </c>
      <c r="C35" s="1087">
        <f>Deflators_original!A35</f>
        <v>35.457000000000001</v>
      </c>
      <c r="D35" s="1087">
        <f>Deflators_original!B35</f>
        <v>0</v>
      </c>
      <c r="E35" s="1087">
        <f>Deflators_original!C35</f>
        <v>33.854999999999997</v>
      </c>
      <c r="F35" s="1087">
        <f>Deflators_original!D35</f>
        <v>2.05281244347983E-2</v>
      </c>
      <c r="G35" s="1087">
        <f>Deflators_original!E35</f>
        <v>33.744999999999997</v>
      </c>
      <c r="H35" s="1087">
        <f>Deflators_original!F35</f>
        <v>1.9640429067834898E-2</v>
      </c>
      <c r="I35" s="1087">
        <f>Deflators_original!G35</f>
        <v>23.472000000000001</v>
      </c>
      <c r="J35" s="1087">
        <f>Deflators_original!H35</f>
        <v>1.6015929356765699E-2</v>
      </c>
      <c r="K35" s="1087">
        <f>Deflators_original!I35</f>
        <v>31.064</v>
      </c>
      <c r="L35" s="1087">
        <f>Deflators_original!J35</f>
        <v>1.9661907106515601E-2</v>
      </c>
    </row>
    <row r="36" spans="1:12" x14ac:dyDescent="0.3">
      <c r="A36" s="1085" t="str">
        <f>Deflators_original!K36</f>
        <v>1978 Q3</v>
      </c>
      <c r="B36" s="1085" t="str">
        <f>Deflators_original!L36</f>
        <v>historical</v>
      </c>
      <c r="C36" s="1087">
        <f>Deflators_original!A36</f>
        <v>36.082999999999998</v>
      </c>
      <c r="D36" s="1087">
        <f>Deflators_original!B36</f>
        <v>0</v>
      </c>
      <c r="E36" s="1087">
        <f>Deflators_original!C36</f>
        <v>34.448999999999998</v>
      </c>
      <c r="F36" s="1087">
        <f>Deflators_original!D36</f>
        <v>1.7545414266725699E-2</v>
      </c>
      <c r="G36" s="1087">
        <f>Deflators_original!E36</f>
        <v>34.308999999999997</v>
      </c>
      <c r="H36" s="1087">
        <f>Deflators_original!F36</f>
        <v>1.6713587198103501E-2</v>
      </c>
      <c r="I36" s="1087">
        <f>Deflators_original!G36</f>
        <v>23.808</v>
      </c>
      <c r="J36" s="1087">
        <f>Deflators_original!H36</f>
        <v>1.4314928425357899E-2</v>
      </c>
      <c r="K36" s="1087">
        <f>Deflators_original!I36</f>
        <v>31.658000000000001</v>
      </c>
      <c r="L36" s="1087">
        <f>Deflators_original!J36</f>
        <v>1.9121813031161401E-2</v>
      </c>
    </row>
    <row r="37" spans="1:12" x14ac:dyDescent="0.3">
      <c r="A37" s="1085" t="str">
        <f>Deflators_original!K37</f>
        <v>1978 Q4</v>
      </c>
      <c r="B37" s="1085" t="str">
        <f>Deflators_original!L37</f>
        <v>historical</v>
      </c>
      <c r="C37" s="1087">
        <f>Deflators_original!A37</f>
        <v>36.795999999999999</v>
      </c>
      <c r="D37" s="1087">
        <f>Deflators_original!B37</f>
        <v>0</v>
      </c>
      <c r="E37" s="1087">
        <f>Deflators_original!C37</f>
        <v>35.1</v>
      </c>
      <c r="F37" s="1087">
        <f>Deflators_original!D37</f>
        <v>1.8897500653139599E-2</v>
      </c>
      <c r="G37" s="1087">
        <f>Deflators_original!E37</f>
        <v>34.901000000000003</v>
      </c>
      <c r="H37" s="1087">
        <f>Deflators_original!F37</f>
        <v>1.7254947681366602E-2</v>
      </c>
      <c r="I37" s="1087">
        <f>Deflators_original!G37</f>
        <v>24.126999999999999</v>
      </c>
      <c r="J37" s="1087">
        <f>Deflators_original!H37</f>
        <v>1.33988575268817E-2</v>
      </c>
      <c r="K37" s="1087">
        <f>Deflators_original!I37</f>
        <v>32.223999999999997</v>
      </c>
      <c r="L37" s="1087">
        <f>Deflators_original!J37</f>
        <v>1.78785772948384E-2</v>
      </c>
    </row>
    <row r="38" spans="1:12" x14ac:dyDescent="0.3">
      <c r="A38" s="1085" t="str">
        <f>Deflators_original!K38</f>
        <v>1979 Q1</v>
      </c>
      <c r="B38" s="1085" t="str">
        <f>Deflators_original!L38</f>
        <v>historical</v>
      </c>
      <c r="C38" s="1087">
        <f>Deflators_original!A38</f>
        <v>37.482999999999997</v>
      </c>
      <c r="D38" s="1087">
        <f>Deflators_original!B38</f>
        <v>0</v>
      </c>
      <c r="E38" s="1087">
        <f>Deflators_original!C38</f>
        <v>35.762</v>
      </c>
      <c r="F38" s="1087">
        <f>Deflators_original!D38</f>
        <v>1.8860398860398801E-2</v>
      </c>
      <c r="G38" s="1087">
        <f>Deflators_original!E38</f>
        <v>35.543999999999997</v>
      </c>
      <c r="H38" s="1087">
        <f>Deflators_original!F38</f>
        <v>1.8423540872754201E-2</v>
      </c>
      <c r="I38" s="1087">
        <f>Deflators_original!G38</f>
        <v>24.719000000000001</v>
      </c>
      <c r="J38" s="1087">
        <f>Deflators_original!H38</f>
        <v>2.4536825962614601E-2</v>
      </c>
      <c r="K38" s="1087">
        <f>Deflators_original!I38</f>
        <v>32.889000000000003</v>
      </c>
      <c r="L38" s="1087">
        <f>Deflators_original!J38</f>
        <v>2.0636792452830299E-2</v>
      </c>
    </row>
    <row r="39" spans="1:12" x14ac:dyDescent="0.3">
      <c r="A39" s="1085" t="str">
        <f>Deflators_original!K39</f>
        <v>1979 Q2</v>
      </c>
      <c r="B39" s="1085" t="str">
        <f>Deflators_original!L39</f>
        <v>historical</v>
      </c>
      <c r="C39" s="1087">
        <f>Deflators_original!A39</f>
        <v>38.387999999999998</v>
      </c>
      <c r="D39" s="1087">
        <f>Deflators_original!B39</f>
        <v>0</v>
      </c>
      <c r="E39" s="1087">
        <f>Deflators_original!C39</f>
        <v>36.738999999999997</v>
      </c>
      <c r="F39" s="1087">
        <f>Deflators_original!D39</f>
        <v>2.7319501146468202E-2</v>
      </c>
      <c r="G39" s="1087">
        <f>Deflators_original!E39</f>
        <v>36.081000000000003</v>
      </c>
      <c r="H39" s="1087">
        <f>Deflators_original!F39</f>
        <v>1.51080351114115E-2</v>
      </c>
      <c r="I39" s="1087">
        <f>Deflators_original!G39</f>
        <v>25.259</v>
      </c>
      <c r="J39" s="1087">
        <f>Deflators_original!H39</f>
        <v>2.18455439135887E-2</v>
      </c>
      <c r="K39" s="1087">
        <f>Deflators_original!I39</f>
        <v>33.781999999999996</v>
      </c>
      <c r="L39" s="1087">
        <f>Deflators_original!J39</f>
        <v>2.7151935297515601E-2</v>
      </c>
    </row>
    <row r="40" spans="1:12" x14ac:dyDescent="0.3">
      <c r="A40" s="1085" t="str">
        <f>Deflators_original!K40</f>
        <v>1979 Q3</v>
      </c>
      <c r="B40" s="1085" t="str">
        <f>Deflators_original!L40</f>
        <v>historical</v>
      </c>
      <c r="C40" s="1087">
        <f>Deflators_original!A40</f>
        <v>39.19</v>
      </c>
      <c r="D40" s="1087">
        <f>Deflators_original!B40</f>
        <v>0</v>
      </c>
      <c r="E40" s="1087">
        <f>Deflators_original!C40</f>
        <v>37.65</v>
      </c>
      <c r="F40" s="1087">
        <f>Deflators_original!D40</f>
        <v>2.4796537739187201E-2</v>
      </c>
      <c r="G40" s="1087">
        <f>Deflators_original!E40</f>
        <v>36.923000000000002</v>
      </c>
      <c r="H40" s="1087">
        <f>Deflators_original!F40</f>
        <v>2.3336382029322901E-2</v>
      </c>
      <c r="I40" s="1087">
        <f>Deflators_original!G40</f>
        <v>26.146000000000001</v>
      </c>
      <c r="J40" s="1087">
        <f>Deflators_original!H40</f>
        <v>3.5116196207292602E-2</v>
      </c>
      <c r="K40" s="1087">
        <f>Deflators_original!I40</f>
        <v>34.768000000000001</v>
      </c>
      <c r="L40" s="1087">
        <f>Deflators_original!J40</f>
        <v>2.9187141081049101E-2</v>
      </c>
    </row>
    <row r="41" spans="1:12" x14ac:dyDescent="0.3">
      <c r="A41" s="1085" t="str">
        <f>Deflators_original!K41</f>
        <v>1979 Q4</v>
      </c>
      <c r="B41" s="1085" t="str">
        <f>Deflators_original!L41</f>
        <v>historical</v>
      </c>
      <c r="C41" s="1087">
        <f>Deflators_original!A41</f>
        <v>39.905000000000001</v>
      </c>
      <c r="D41" s="1087">
        <f>Deflators_original!B41</f>
        <v>0</v>
      </c>
      <c r="E41" s="1087">
        <f>Deflators_original!C41</f>
        <v>38.561999999999998</v>
      </c>
      <c r="F41" s="1087">
        <f>Deflators_original!D41</f>
        <v>2.4223107569721E-2</v>
      </c>
      <c r="G41" s="1087">
        <f>Deflators_original!E41</f>
        <v>37.735999999999997</v>
      </c>
      <c r="H41" s="1087">
        <f>Deflators_original!F41</f>
        <v>2.2018795872491299E-2</v>
      </c>
      <c r="I41" s="1087">
        <f>Deflators_original!G41</f>
        <v>26.596</v>
      </c>
      <c r="J41" s="1087">
        <f>Deflators_original!H41</f>
        <v>1.7211045666641198E-2</v>
      </c>
      <c r="K41" s="1087">
        <f>Deflators_original!I41</f>
        <v>35.753999999999998</v>
      </c>
      <c r="L41" s="1087">
        <f>Deflators_original!J41</f>
        <v>2.83594109526E-2</v>
      </c>
    </row>
    <row r="42" spans="1:12" x14ac:dyDescent="0.3">
      <c r="A42" s="1085" t="str">
        <f>Deflators_original!K42</f>
        <v>1980 Q1</v>
      </c>
      <c r="B42" s="1085" t="str">
        <f>Deflators_original!L42</f>
        <v>historical</v>
      </c>
      <c r="C42" s="1087">
        <f>Deflators_original!A42</f>
        <v>40.777000000000001</v>
      </c>
      <c r="D42" s="1087">
        <f>Deflators_original!B42</f>
        <v>0</v>
      </c>
      <c r="E42" s="1087">
        <f>Deflators_original!C42</f>
        <v>39.719000000000001</v>
      </c>
      <c r="F42" s="1087">
        <f>Deflators_original!D42</f>
        <v>3.0003630517089399E-2</v>
      </c>
      <c r="G42" s="1087">
        <f>Deflators_original!E42</f>
        <v>38.481999999999999</v>
      </c>
      <c r="H42" s="1087">
        <f>Deflators_original!F42</f>
        <v>1.97689209243164E-2</v>
      </c>
      <c r="I42" s="1087">
        <f>Deflators_original!G42</f>
        <v>27.28</v>
      </c>
      <c r="J42" s="1087">
        <f>Deflators_original!H42</f>
        <v>2.5718153105730199E-2</v>
      </c>
      <c r="K42" s="1087">
        <f>Deflators_original!I42</f>
        <v>36.731000000000002</v>
      </c>
      <c r="L42" s="1087">
        <f>Deflators_original!J42</f>
        <v>2.7325613917324101E-2</v>
      </c>
    </row>
    <row r="43" spans="1:12" x14ac:dyDescent="0.3">
      <c r="A43" s="1085" t="str">
        <f>Deflators_original!K43</f>
        <v>1980 Q2</v>
      </c>
      <c r="B43" s="1085" t="str">
        <f>Deflators_original!L43</f>
        <v>historical</v>
      </c>
      <c r="C43" s="1087">
        <f>Deflators_original!A43</f>
        <v>41.744999999999997</v>
      </c>
      <c r="D43" s="1087">
        <f>Deflators_original!B43</f>
        <v>0</v>
      </c>
      <c r="E43" s="1087">
        <f>Deflators_original!C43</f>
        <v>40.691000000000003</v>
      </c>
      <c r="F43" s="1087">
        <f>Deflators_original!D43</f>
        <v>2.4471915204310201E-2</v>
      </c>
      <c r="G43" s="1087">
        <f>Deflators_original!E43</f>
        <v>39.97</v>
      </c>
      <c r="H43" s="1087">
        <f>Deflators_original!F43</f>
        <v>3.8667428927810402E-2</v>
      </c>
      <c r="I43" s="1087">
        <f>Deflators_original!G43</f>
        <v>28.02</v>
      </c>
      <c r="J43" s="1087">
        <f>Deflators_original!H43</f>
        <v>2.7126099706744799E-2</v>
      </c>
      <c r="K43" s="1087">
        <f>Deflators_original!I43</f>
        <v>37.784999999999997</v>
      </c>
      <c r="L43" s="1087">
        <f>Deflators_original!J43</f>
        <v>2.8695107674715899E-2</v>
      </c>
    </row>
    <row r="44" spans="1:12" x14ac:dyDescent="0.3">
      <c r="A44" s="1085" t="str">
        <f>Deflators_original!K44</f>
        <v>1980 Q3</v>
      </c>
      <c r="B44" s="1085" t="str">
        <f>Deflators_original!L44</f>
        <v>historical</v>
      </c>
      <c r="C44" s="1087">
        <f>Deflators_original!A44</f>
        <v>42.676000000000002</v>
      </c>
      <c r="D44" s="1087">
        <f>Deflators_original!B44</f>
        <v>0</v>
      </c>
      <c r="E44" s="1087">
        <f>Deflators_original!C44</f>
        <v>41.643000000000001</v>
      </c>
      <c r="F44" s="1087">
        <f>Deflators_original!D44</f>
        <v>2.3395836917254401E-2</v>
      </c>
      <c r="G44" s="1087">
        <f>Deflators_original!E44</f>
        <v>40.375</v>
      </c>
      <c r="H44" s="1087">
        <f>Deflators_original!F44</f>
        <v>1.0132599449587099E-2</v>
      </c>
      <c r="I44" s="1087">
        <f>Deflators_original!G44</f>
        <v>28.798999999999999</v>
      </c>
      <c r="J44" s="1087">
        <f>Deflators_original!H44</f>
        <v>2.7801570306923699E-2</v>
      </c>
      <c r="K44" s="1087">
        <f>Deflators_original!I44</f>
        <v>39.027000000000001</v>
      </c>
      <c r="L44" s="1087">
        <f>Deflators_original!J44</f>
        <v>3.2870186581977198E-2</v>
      </c>
    </row>
    <row r="45" spans="1:12" x14ac:dyDescent="0.3">
      <c r="A45" s="1085" t="str">
        <f>Deflators_original!K45</f>
        <v>1980 Q4</v>
      </c>
      <c r="B45" s="1085" t="str">
        <f>Deflators_original!L45</f>
        <v>historical</v>
      </c>
      <c r="C45" s="1087">
        <f>Deflators_original!A45</f>
        <v>43.807000000000002</v>
      </c>
      <c r="D45" s="1087">
        <f>Deflators_original!B45</f>
        <v>0</v>
      </c>
      <c r="E45" s="1087">
        <f>Deflators_original!C45</f>
        <v>42.673000000000002</v>
      </c>
      <c r="F45" s="1087">
        <f>Deflators_original!D45</f>
        <v>2.47340489397978E-2</v>
      </c>
      <c r="G45" s="1087">
        <f>Deflators_original!E45</f>
        <v>41.59</v>
      </c>
      <c r="H45" s="1087">
        <f>Deflators_original!F45</f>
        <v>3.0092879256966101E-2</v>
      </c>
      <c r="I45" s="1087">
        <f>Deflators_original!G45</f>
        <v>29.565000000000001</v>
      </c>
      <c r="J45" s="1087">
        <f>Deflators_original!H45</f>
        <v>2.65981457689504E-2</v>
      </c>
      <c r="K45" s="1087">
        <f>Deflators_original!I45</f>
        <v>40.182000000000002</v>
      </c>
      <c r="L45" s="1087">
        <f>Deflators_original!J45</f>
        <v>2.9594895841340601E-2</v>
      </c>
    </row>
    <row r="46" spans="1:12" x14ac:dyDescent="0.3">
      <c r="A46" s="1085" t="str">
        <f>Deflators_original!K46</f>
        <v>1981 Q1</v>
      </c>
      <c r="B46" s="1085" t="str">
        <f>Deflators_original!L46</f>
        <v>historical</v>
      </c>
      <c r="C46" s="1087">
        <f>Deflators_original!A46</f>
        <v>44.968000000000004</v>
      </c>
      <c r="D46" s="1087">
        <f>Deflators_original!B46</f>
        <v>0</v>
      </c>
      <c r="E46" s="1087">
        <f>Deflators_original!C46</f>
        <v>43.78</v>
      </c>
      <c r="F46" s="1087">
        <f>Deflators_original!D46</f>
        <v>2.59414618142619E-2</v>
      </c>
      <c r="G46" s="1087">
        <f>Deflators_original!E46</f>
        <v>42.420999999999999</v>
      </c>
      <c r="H46" s="1087">
        <f>Deflators_original!F46</f>
        <v>1.9980764606876599E-2</v>
      </c>
      <c r="I46" s="1087">
        <f>Deflators_original!G46</f>
        <v>30.556000000000001</v>
      </c>
      <c r="J46" s="1087">
        <f>Deflators_original!H46</f>
        <v>3.3519364112971399E-2</v>
      </c>
      <c r="K46" s="1087">
        <f>Deflators_original!I46</f>
        <v>41.32</v>
      </c>
      <c r="L46" s="1087">
        <f>Deflators_original!J46</f>
        <v>2.8321138818376401E-2</v>
      </c>
    </row>
    <row r="47" spans="1:12" x14ac:dyDescent="0.3">
      <c r="A47" s="1085" t="str">
        <f>Deflators_original!K47</f>
        <v>1981 Q2</v>
      </c>
      <c r="B47" s="1085" t="str">
        <f>Deflators_original!L47</f>
        <v>historical</v>
      </c>
      <c r="C47" s="1087">
        <f>Deflators_original!A47</f>
        <v>45.813000000000002</v>
      </c>
      <c r="D47" s="1087">
        <f>Deflators_original!B47</f>
        <v>0</v>
      </c>
      <c r="E47" s="1087">
        <f>Deflators_original!C47</f>
        <v>44.515000000000001</v>
      </c>
      <c r="F47" s="1087">
        <f>Deflators_original!D47</f>
        <v>1.6788487894015401E-2</v>
      </c>
      <c r="G47" s="1087">
        <f>Deflators_original!E47</f>
        <v>43.406999999999996</v>
      </c>
      <c r="H47" s="1087">
        <f>Deflators_original!F47</f>
        <v>2.32432050163833E-2</v>
      </c>
      <c r="I47" s="1087">
        <f>Deflators_original!G47</f>
        <v>31.195</v>
      </c>
      <c r="J47" s="1087">
        <f>Deflators_original!H47</f>
        <v>2.0912423092027701E-2</v>
      </c>
      <c r="K47" s="1087">
        <f>Deflators_original!I47</f>
        <v>42.308</v>
      </c>
      <c r="L47" s="1087">
        <f>Deflators_original!J47</f>
        <v>2.39109390125847E-2</v>
      </c>
    </row>
    <row r="48" spans="1:12" x14ac:dyDescent="0.3">
      <c r="A48" s="1085" t="str">
        <f>Deflators_original!K48</f>
        <v>1981 Q3</v>
      </c>
      <c r="B48" s="1085" t="str">
        <f>Deflators_original!L48</f>
        <v>historical</v>
      </c>
      <c r="C48" s="1087">
        <f>Deflators_original!A48</f>
        <v>46.703000000000003</v>
      </c>
      <c r="D48" s="1087">
        <f>Deflators_original!B48</f>
        <v>0</v>
      </c>
      <c r="E48" s="1087">
        <f>Deflators_original!C48</f>
        <v>45.247999999999998</v>
      </c>
      <c r="F48" s="1087">
        <f>Deflators_original!D48</f>
        <v>1.6466359654049099E-2</v>
      </c>
      <c r="G48" s="1087">
        <f>Deflators_original!E48</f>
        <v>44.36</v>
      </c>
      <c r="H48" s="1087">
        <f>Deflators_original!F48</f>
        <v>2.19549842191353E-2</v>
      </c>
      <c r="I48" s="1087">
        <f>Deflators_original!G48</f>
        <v>31.568000000000001</v>
      </c>
      <c r="J48" s="1087">
        <f>Deflators_original!H48</f>
        <v>1.1957044398140699E-2</v>
      </c>
      <c r="K48" s="1087">
        <f>Deflators_original!I48</f>
        <v>43.174999999999997</v>
      </c>
      <c r="L48" s="1087">
        <f>Deflators_original!J48</f>
        <v>2.0492578235794499E-2</v>
      </c>
    </row>
    <row r="49" spans="1:12" x14ac:dyDescent="0.3">
      <c r="A49" s="1085" t="str">
        <f>Deflators_original!K49</f>
        <v>1981 Q4</v>
      </c>
      <c r="B49" s="1085" t="str">
        <f>Deflators_original!L49</f>
        <v>historical</v>
      </c>
      <c r="C49" s="1087">
        <f>Deflators_original!A49</f>
        <v>47.475000000000001</v>
      </c>
      <c r="D49" s="1087">
        <f>Deflators_original!B49</f>
        <v>0</v>
      </c>
      <c r="E49" s="1087">
        <f>Deflators_original!C49</f>
        <v>45.941000000000003</v>
      </c>
      <c r="F49" s="1087">
        <f>Deflators_original!D49</f>
        <v>1.53155940594061E-2</v>
      </c>
      <c r="G49" s="1087">
        <f>Deflators_original!E49</f>
        <v>45.209000000000003</v>
      </c>
      <c r="H49" s="1087">
        <f>Deflators_original!F49</f>
        <v>1.9138863841298599E-2</v>
      </c>
      <c r="I49" s="1087">
        <f>Deflators_original!G49</f>
        <v>32.052</v>
      </c>
      <c r="J49" s="1087">
        <f>Deflators_original!H49</f>
        <v>1.53319817536746E-2</v>
      </c>
      <c r="K49" s="1087">
        <f>Deflators_original!I49</f>
        <v>43.944000000000003</v>
      </c>
      <c r="L49" s="1087">
        <f>Deflators_original!J49</f>
        <v>1.7811233352634799E-2</v>
      </c>
    </row>
    <row r="50" spans="1:12" x14ac:dyDescent="0.3">
      <c r="A50" s="1085" t="str">
        <f>Deflators_original!K50</f>
        <v>1982 Q1</v>
      </c>
      <c r="B50" s="1085" t="str">
        <f>Deflators_original!L50</f>
        <v>historical</v>
      </c>
      <c r="C50" s="1087">
        <f>Deflators_original!A50</f>
        <v>48.155000000000001</v>
      </c>
      <c r="D50" s="1087">
        <f>Deflators_original!B50</f>
        <v>0</v>
      </c>
      <c r="E50" s="1087">
        <f>Deflators_original!C50</f>
        <v>46.524999999999999</v>
      </c>
      <c r="F50" s="1087">
        <f>Deflators_original!D50</f>
        <v>1.2711956640038199E-2</v>
      </c>
      <c r="G50" s="1087">
        <f>Deflators_original!E50</f>
        <v>45.932000000000002</v>
      </c>
      <c r="H50" s="1087">
        <f>Deflators_original!F50</f>
        <v>1.5992390895618099E-2</v>
      </c>
      <c r="I50" s="1087">
        <f>Deflators_original!G50</f>
        <v>32.613999999999997</v>
      </c>
      <c r="J50" s="1087">
        <f>Deflators_original!H50</f>
        <v>1.7534007238237701E-2</v>
      </c>
      <c r="K50" s="1087">
        <f>Deflators_original!I50</f>
        <v>44.56</v>
      </c>
      <c r="L50" s="1087">
        <f>Deflators_original!J50</f>
        <v>1.40178408884035E-2</v>
      </c>
    </row>
    <row r="51" spans="1:12" x14ac:dyDescent="0.3">
      <c r="A51" s="1085" t="str">
        <f>Deflators_original!K51</f>
        <v>1982 Q2</v>
      </c>
      <c r="B51" s="1085" t="str">
        <f>Deflators_original!L51</f>
        <v>historical</v>
      </c>
      <c r="C51" s="1087">
        <f>Deflators_original!A51</f>
        <v>48.795000000000002</v>
      </c>
      <c r="D51" s="1087">
        <f>Deflators_original!B51</f>
        <v>0</v>
      </c>
      <c r="E51" s="1087">
        <f>Deflators_original!C51</f>
        <v>46.972999999999999</v>
      </c>
      <c r="F51" s="1087">
        <f>Deflators_original!D51</f>
        <v>9.6292315959161101E-3</v>
      </c>
      <c r="G51" s="1087">
        <f>Deflators_original!E51</f>
        <v>46.841000000000001</v>
      </c>
      <c r="H51" s="1087">
        <f>Deflators_original!F51</f>
        <v>1.9790124531916801E-2</v>
      </c>
      <c r="I51" s="1087">
        <f>Deflators_original!G51</f>
        <v>33.134</v>
      </c>
      <c r="J51" s="1087">
        <f>Deflators_original!H51</f>
        <v>1.5944073097442901E-2</v>
      </c>
      <c r="K51" s="1087">
        <f>Deflators_original!I51</f>
        <v>45.305</v>
      </c>
      <c r="L51" s="1087">
        <f>Deflators_original!J51</f>
        <v>1.6719030520646199E-2</v>
      </c>
    </row>
    <row r="52" spans="1:12" x14ac:dyDescent="0.3">
      <c r="A52" s="1085" t="str">
        <f>Deflators_original!K52</f>
        <v>1982 Q3</v>
      </c>
      <c r="B52" s="1085" t="str">
        <f>Deflators_original!L52</f>
        <v>historical</v>
      </c>
      <c r="C52" s="1087">
        <f>Deflators_original!A52</f>
        <v>49.472000000000001</v>
      </c>
      <c r="D52" s="1087">
        <f>Deflators_original!B52</f>
        <v>0</v>
      </c>
      <c r="E52" s="1087">
        <f>Deflators_original!C52</f>
        <v>47.715000000000003</v>
      </c>
      <c r="F52" s="1087">
        <f>Deflators_original!D52</f>
        <v>1.5796308517659102E-2</v>
      </c>
      <c r="G52" s="1087">
        <f>Deflators_original!E52</f>
        <v>47.234999999999999</v>
      </c>
      <c r="H52" s="1087">
        <f>Deflators_original!F52</f>
        <v>8.4114344271044601E-3</v>
      </c>
      <c r="I52" s="1087">
        <f>Deflators_original!G52</f>
        <v>33.683999999999997</v>
      </c>
      <c r="J52" s="1087">
        <f>Deflators_original!H52</f>
        <v>1.65992635963059E-2</v>
      </c>
      <c r="K52" s="1087">
        <f>Deflators_original!I52</f>
        <v>45.84</v>
      </c>
      <c r="L52" s="1087">
        <f>Deflators_original!J52</f>
        <v>1.1808851120185501E-2</v>
      </c>
    </row>
    <row r="53" spans="1:12" x14ac:dyDescent="0.3">
      <c r="A53" s="1085" t="str">
        <f>Deflators_original!K53</f>
        <v>1982 Q4</v>
      </c>
      <c r="B53" s="1085" t="str">
        <f>Deflators_original!L53</f>
        <v>historical</v>
      </c>
      <c r="C53" s="1087">
        <f>Deflators_original!A53</f>
        <v>49.972999999999999</v>
      </c>
      <c r="D53" s="1087">
        <f>Deflators_original!B53</f>
        <v>0</v>
      </c>
      <c r="E53" s="1087">
        <f>Deflators_original!C53</f>
        <v>48.241</v>
      </c>
      <c r="F53" s="1087">
        <f>Deflators_original!D53</f>
        <v>1.1023787069055701E-2</v>
      </c>
      <c r="G53" s="1087">
        <f>Deflators_original!E53</f>
        <v>47.792000000000002</v>
      </c>
      <c r="H53" s="1087">
        <f>Deflators_original!F53</f>
        <v>1.17921033132211E-2</v>
      </c>
      <c r="I53" s="1087">
        <f>Deflators_original!G53</f>
        <v>34.19</v>
      </c>
      <c r="J53" s="1087">
        <f>Deflators_original!H53</f>
        <v>1.5021968887305399E-2</v>
      </c>
      <c r="K53" s="1087">
        <f>Deflators_original!I53</f>
        <v>45.956000000000003</v>
      </c>
      <c r="L53" s="1087">
        <f>Deflators_original!J53</f>
        <v>2.5305410122164998E-3</v>
      </c>
    </row>
    <row r="54" spans="1:12" x14ac:dyDescent="0.3">
      <c r="A54" s="1085" t="str">
        <f>Deflators_original!K54</f>
        <v>1983 Q1</v>
      </c>
      <c r="B54" s="1085" t="str">
        <f>Deflators_original!L54</f>
        <v>historical</v>
      </c>
      <c r="C54" s="1087">
        <f>Deflators_original!A54</f>
        <v>50.372</v>
      </c>
      <c r="D54" s="1087">
        <f>Deflators_original!B54</f>
        <v>0</v>
      </c>
      <c r="E54" s="1087">
        <f>Deflators_original!C54</f>
        <v>48.64</v>
      </c>
      <c r="F54" s="1087">
        <f>Deflators_original!D54</f>
        <v>8.2709728239465097E-3</v>
      </c>
      <c r="G54" s="1087">
        <f>Deflators_original!E54</f>
        <v>47.881999999999998</v>
      </c>
      <c r="H54" s="1087">
        <f>Deflators_original!F54</f>
        <v>1.8831603615667701E-3</v>
      </c>
      <c r="I54" s="1087">
        <f>Deflators_original!G54</f>
        <v>34.482999999999997</v>
      </c>
      <c r="J54" s="1087">
        <f>Deflators_original!H54</f>
        <v>8.5697572389587008E-3</v>
      </c>
      <c r="K54" s="1087">
        <f>Deflators_original!I54</f>
        <v>45.999000000000002</v>
      </c>
      <c r="L54" s="1087">
        <f>Deflators_original!J54</f>
        <v>9.3567760466539696E-4</v>
      </c>
    </row>
    <row r="55" spans="1:12" x14ac:dyDescent="0.3">
      <c r="A55" s="1085" t="str">
        <f>Deflators_original!K55</f>
        <v>1983 Q2</v>
      </c>
      <c r="B55" s="1085" t="str">
        <f>Deflators_original!L55</f>
        <v>historical</v>
      </c>
      <c r="C55" s="1087">
        <f>Deflators_original!A55</f>
        <v>50.746000000000002</v>
      </c>
      <c r="D55" s="1087">
        <f>Deflators_original!B55</f>
        <v>0</v>
      </c>
      <c r="E55" s="1087">
        <f>Deflators_original!C55</f>
        <v>49.085000000000001</v>
      </c>
      <c r="F55" s="1087">
        <f>Deflators_original!D55</f>
        <v>9.1488486842106198E-3</v>
      </c>
      <c r="G55" s="1087">
        <f>Deflators_original!E55</f>
        <v>48.252000000000002</v>
      </c>
      <c r="H55" s="1087">
        <f>Deflators_original!F55</f>
        <v>7.7273296854769597E-3</v>
      </c>
      <c r="I55" s="1087">
        <f>Deflators_original!G55</f>
        <v>34.954000000000001</v>
      </c>
      <c r="J55" s="1087">
        <f>Deflators_original!H55</f>
        <v>1.36589043876694E-2</v>
      </c>
      <c r="K55" s="1087">
        <f>Deflators_original!I55</f>
        <v>45.936999999999998</v>
      </c>
      <c r="L55" s="1087">
        <f>Deflators_original!J55</f>
        <v>-1.3478553881607299E-3</v>
      </c>
    </row>
    <row r="56" spans="1:12" x14ac:dyDescent="0.3">
      <c r="A56" s="1085" t="str">
        <f>Deflators_original!K56</f>
        <v>1983 Q3</v>
      </c>
      <c r="B56" s="1085" t="str">
        <f>Deflators_original!L56</f>
        <v>historical</v>
      </c>
      <c r="C56" s="1087">
        <f>Deflators_original!A56</f>
        <v>51.284999999999997</v>
      </c>
      <c r="D56" s="1087">
        <f>Deflators_original!B56</f>
        <v>0</v>
      </c>
      <c r="E56" s="1087">
        <f>Deflators_original!C56</f>
        <v>49.73</v>
      </c>
      <c r="F56" s="1087">
        <f>Deflators_original!D56</f>
        <v>1.31404706122031E-2</v>
      </c>
      <c r="G56" s="1087">
        <f>Deflators_original!E56</f>
        <v>48.786000000000001</v>
      </c>
      <c r="H56" s="1087">
        <f>Deflators_original!F56</f>
        <v>1.1066898781397499E-2</v>
      </c>
      <c r="I56" s="1087">
        <f>Deflators_original!G56</f>
        <v>35.363</v>
      </c>
      <c r="J56" s="1087">
        <f>Deflators_original!H56</f>
        <v>1.17010928649082E-2</v>
      </c>
      <c r="K56" s="1087">
        <f>Deflators_original!I56</f>
        <v>45.963000000000001</v>
      </c>
      <c r="L56" s="1087">
        <f>Deflators_original!J56</f>
        <v>5.6599255502098899E-4</v>
      </c>
    </row>
    <row r="57" spans="1:12" x14ac:dyDescent="0.3">
      <c r="A57" s="1085" t="str">
        <f>Deflators_original!K57</f>
        <v>1983 Q4</v>
      </c>
      <c r="B57" s="1085" t="str">
        <f>Deflators_original!L57</f>
        <v>historical</v>
      </c>
      <c r="C57" s="1087">
        <f>Deflators_original!A57</f>
        <v>51.668999999999997</v>
      </c>
      <c r="D57" s="1087">
        <f>Deflators_original!B57</f>
        <v>0</v>
      </c>
      <c r="E57" s="1087">
        <f>Deflators_original!C57</f>
        <v>50.058</v>
      </c>
      <c r="F57" s="1087">
        <f>Deflators_original!D57</f>
        <v>6.5956163281721799E-3</v>
      </c>
      <c r="G57" s="1087">
        <f>Deflators_original!E57</f>
        <v>49.104999999999997</v>
      </c>
      <c r="H57" s="1087">
        <f>Deflators_original!F57</f>
        <v>6.5387611199934099E-3</v>
      </c>
      <c r="I57" s="1087">
        <f>Deflators_original!G57</f>
        <v>35.694000000000003</v>
      </c>
      <c r="J57" s="1087">
        <f>Deflators_original!H57</f>
        <v>9.3600656052936805E-3</v>
      </c>
      <c r="K57" s="1087">
        <f>Deflators_original!I57</f>
        <v>45.95</v>
      </c>
      <c r="L57" s="1087">
        <f>Deflators_original!J57</f>
        <v>-2.82836194330227E-4</v>
      </c>
    </row>
    <row r="58" spans="1:12" x14ac:dyDescent="0.3">
      <c r="A58" s="1085" t="str">
        <f>Deflators_original!K58</f>
        <v>1984 Q1</v>
      </c>
      <c r="B58" s="1085" t="str">
        <f>Deflators_original!L58</f>
        <v>historical</v>
      </c>
      <c r="C58" s="1087">
        <f>Deflators_original!A58</f>
        <v>52.177999999999997</v>
      </c>
      <c r="D58" s="1087">
        <f>Deflators_original!B58</f>
        <v>0</v>
      </c>
      <c r="E58" s="1087">
        <f>Deflators_original!C58</f>
        <v>50.598999999999997</v>
      </c>
      <c r="F58" s="1087">
        <f>Deflators_original!D58</f>
        <v>1.08074633425226E-2</v>
      </c>
      <c r="G58" s="1087">
        <f>Deflators_original!E58</f>
        <v>49.741</v>
      </c>
      <c r="H58" s="1087">
        <f>Deflators_original!F58</f>
        <v>1.2951837898381099E-2</v>
      </c>
      <c r="I58" s="1087">
        <f>Deflators_original!G58</f>
        <v>36.32</v>
      </c>
      <c r="J58" s="1087">
        <f>Deflators_original!H58</f>
        <v>1.7537961562167099E-2</v>
      </c>
      <c r="K58" s="1087">
        <f>Deflators_original!I58</f>
        <v>46</v>
      </c>
      <c r="L58" s="1087">
        <f>Deflators_original!J58</f>
        <v>1.0881392818280499E-3</v>
      </c>
    </row>
    <row r="59" spans="1:12" x14ac:dyDescent="0.3">
      <c r="A59" s="1085" t="str">
        <f>Deflators_original!K59</f>
        <v>1984 Q2</v>
      </c>
      <c r="B59" s="1085" t="str">
        <f>Deflators_original!L59</f>
        <v>historical</v>
      </c>
      <c r="C59" s="1087">
        <f>Deflators_original!A59</f>
        <v>52.646999999999998</v>
      </c>
      <c r="D59" s="1087">
        <f>Deflators_original!B59</f>
        <v>0</v>
      </c>
      <c r="E59" s="1087">
        <f>Deflators_original!C59</f>
        <v>51.088999999999999</v>
      </c>
      <c r="F59" s="1087">
        <f>Deflators_original!D59</f>
        <v>9.6839858495227898E-3</v>
      </c>
      <c r="G59" s="1087">
        <f>Deflators_original!E59</f>
        <v>50.237000000000002</v>
      </c>
      <c r="H59" s="1087">
        <f>Deflators_original!F59</f>
        <v>9.9716531633864403E-3</v>
      </c>
      <c r="I59" s="1087">
        <f>Deflators_original!G59</f>
        <v>36.716000000000001</v>
      </c>
      <c r="J59" s="1087">
        <f>Deflators_original!H59</f>
        <v>1.09030837004405E-2</v>
      </c>
      <c r="K59" s="1087">
        <f>Deflators_original!I59</f>
        <v>46.162999999999997</v>
      </c>
      <c r="L59" s="1087">
        <f>Deflators_original!J59</f>
        <v>3.5434782608694299E-3</v>
      </c>
    </row>
    <row r="60" spans="1:12" x14ac:dyDescent="0.3">
      <c r="A60" s="1085" t="str">
        <f>Deflators_original!K60</f>
        <v>1984 Q3</v>
      </c>
      <c r="B60" s="1085" t="str">
        <f>Deflators_original!L60</f>
        <v>historical</v>
      </c>
      <c r="C60" s="1087">
        <f>Deflators_original!A60</f>
        <v>53.122</v>
      </c>
      <c r="D60" s="1087">
        <f>Deflators_original!B60</f>
        <v>0</v>
      </c>
      <c r="E60" s="1087">
        <f>Deflators_original!C60</f>
        <v>51.482999999999997</v>
      </c>
      <c r="F60" s="1087">
        <f>Deflators_original!D60</f>
        <v>7.7120319442540702E-3</v>
      </c>
      <c r="G60" s="1087">
        <f>Deflators_original!E60</f>
        <v>50.984000000000002</v>
      </c>
      <c r="H60" s="1087">
        <f>Deflators_original!F60</f>
        <v>1.48695184823935E-2</v>
      </c>
      <c r="I60" s="1087">
        <f>Deflators_original!G60</f>
        <v>37.11</v>
      </c>
      <c r="J60" s="1087">
        <f>Deflators_original!H60</f>
        <v>1.07310164505936E-2</v>
      </c>
      <c r="K60" s="1087">
        <f>Deflators_original!I60</f>
        <v>46.311999999999998</v>
      </c>
      <c r="L60" s="1087">
        <f>Deflators_original!J60</f>
        <v>3.22769317418703E-3</v>
      </c>
    </row>
    <row r="61" spans="1:12" x14ac:dyDescent="0.3">
      <c r="A61" s="1085" t="str">
        <f>Deflators_original!K61</f>
        <v>1984 Q4</v>
      </c>
      <c r="B61" s="1085" t="str">
        <f>Deflators_original!L61</f>
        <v>historical</v>
      </c>
      <c r="C61" s="1087">
        <f>Deflators_original!A61</f>
        <v>53.494</v>
      </c>
      <c r="D61" s="1087">
        <f>Deflators_original!B61</f>
        <v>0</v>
      </c>
      <c r="E61" s="1087">
        <f>Deflators_original!C61</f>
        <v>51.801000000000002</v>
      </c>
      <c r="F61" s="1087">
        <f>Deflators_original!D61</f>
        <v>6.1767962239964698E-3</v>
      </c>
      <c r="G61" s="1087">
        <f>Deflators_original!E61</f>
        <v>51.612000000000002</v>
      </c>
      <c r="H61" s="1087">
        <f>Deflators_original!F61</f>
        <v>1.23175898321042E-2</v>
      </c>
      <c r="I61" s="1087">
        <f>Deflators_original!G61</f>
        <v>37.548000000000002</v>
      </c>
      <c r="J61" s="1087">
        <f>Deflators_original!H61</f>
        <v>1.1802748585286999E-2</v>
      </c>
      <c r="K61" s="1087">
        <f>Deflators_original!I61</f>
        <v>46.405999999999999</v>
      </c>
      <c r="L61" s="1087">
        <f>Deflators_original!J61</f>
        <v>2.0297115218517198E-3</v>
      </c>
    </row>
    <row r="62" spans="1:12" x14ac:dyDescent="0.3">
      <c r="A62" s="1085" t="str">
        <f>Deflators_original!K62</f>
        <v>1985 Q1</v>
      </c>
      <c r="B62" s="1085" t="str">
        <f>Deflators_original!L62</f>
        <v>historical</v>
      </c>
      <c r="C62" s="1087">
        <f>Deflators_original!A62</f>
        <v>54.040999999999997</v>
      </c>
      <c r="D62" s="1087">
        <f>Deflators_original!B62</f>
        <v>0</v>
      </c>
      <c r="E62" s="1087">
        <f>Deflators_original!C62</f>
        <v>52.411999999999999</v>
      </c>
      <c r="F62" s="1087">
        <f>Deflators_original!D62</f>
        <v>1.1795139089978901E-2</v>
      </c>
      <c r="G62" s="1087">
        <f>Deflators_original!E62</f>
        <v>51.405999999999999</v>
      </c>
      <c r="H62" s="1087">
        <f>Deflators_original!F62</f>
        <v>-3.9913198480974197E-3</v>
      </c>
      <c r="I62" s="1087">
        <f>Deflators_original!G62</f>
        <v>38.043999999999997</v>
      </c>
      <c r="J62" s="1087">
        <f>Deflators_original!H62</f>
        <v>1.3209758176201E-2</v>
      </c>
      <c r="K62" s="1087">
        <f>Deflators_original!I62</f>
        <v>46.664000000000001</v>
      </c>
      <c r="L62" s="1087">
        <f>Deflators_original!J62</f>
        <v>5.5596259104426799E-3</v>
      </c>
    </row>
    <row r="63" spans="1:12" x14ac:dyDescent="0.3">
      <c r="A63" s="1085" t="str">
        <f>Deflators_original!K63</f>
        <v>1985 Q2</v>
      </c>
      <c r="B63" s="1085" t="str">
        <f>Deflators_original!L63</f>
        <v>historical</v>
      </c>
      <c r="C63" s="1087">
        <f>Deflators_original!A63</f>
        <v>54.360999999999997</v>
      </c>
      <c r="D63" s="1087">
        <f>Deflators_original!B63</f>
        <v>0</v>
      </c>
      <c r="E63" s="1087">
        <f>Deflators_original!C63</f>
        <v>52.837000000000003</v>
      </c>
      <c r="F63" s="1087">
        <f>Deflators_original!D63</f>
        <v>8.1088300389224894E-3</v>
      </c>
      <c r="G63" s="1087">
        <f>Deflators_original!E63</f>
        <v>51.527000000000001</v>
      </c>
      <c r="H63" s="1087">
        <f>Deflators_original!F63</f>
        <v>2.3538108392016101E-3</v>
      </c>
      <c r="I63" s="1087">
        <f>Deflators_original!G63</f>
        <v>38.478999999999999</v>
      </c>
      <c r="J63" s="1087">
        <f>Deflators_original!H63</f>
        <v>1.1434128903375E-2</v>
      </c>
      <c r="K63" s="1087">
        <f>Deflators_original!I63</f>
        <v>46.808</v>
      </c>
      <c r="L63" s="1087">
        <f>Deflators_original!J63</f>
        <v>3.0858906223212301E-3</v>
      </c>
    </row>
    <row r="64" spans="1:12" x14ac:dyDescent="0.3">
      <c r="A64" s="1085" t="str">
        <f>Deflators_original!K64</f>
        <v>1985 Q3</v>
      </c>
      <c r="B64" s="1085" t="str">
        <f>Deflators_original!L64</f>
        <v>historical</v>
      </c>
      <c r="C64" s="1087">
        <f>Deflators_original!A64</f>
        <v>54.722000000000001</v>
      </c>
      <c r="D64" s="1087">
        <f>Deflators_original!B64</f>
        <v>0</v>
      </c>
      <c r="E64" s="1087">
        <f>Deflators_original!C64</f>
        <v>53.250999999999998</v>
      </c>
      <c r="F64" s="1087">
        <f>Deflators_original!D64</f>
        <v>7.8354183621325308E-3</v>
      </c>
      <c r="G64" s="1087">
        <f>Deflators_original!E64</f>
        <v>51.802</v>
      </c>
      <c r="H64" s="1087">
        <f>Deflators_original!F64</f>
        <v>5.3370077823275998E-3</v>
      </c>
      <c r="I64" s="1087">
        <f>Deflators_original!G64</f>
        <v>38.835999999999999</v>
      </c>
      <c r="J64" s="1087">
        <f>Deflators_original!H64</f>
        <v>9.2777878843004497E-3</v>
      </c>
      <c r="K64" s="1087">
        <f>Deflators_original!I64</f>
        <v>47</v>
      </c>
      <c r="L64" s="1087">
        <f>Deflators_original!J64</f>
        <v>4.1018629294138397E-3</v>
      </c>
    </row>
    <row r="65" spans="1:12" x14ac:dyDescent="0.3">
      <c r="A65" s="1085" t="str">
        <f>Deflators_original!K65</f>
        <v>1985 Q4</v>
      </c>
      <c r="B65" s="1085" t="str">
        <f>Deflators_original!L65</f>
        <v>historical</v>
      </c>
      <c r="C65" s="1087">
        <f>Deflators_original!A65</f>
        <v>55.006</v>
      </c>
      <c r="D65" s="1087">
        <f>Deflators_original!B65</f>
        <v>0</v>
      </c>
      <c r="E65" s="1087">
        <f>Deflators_original!C65</f>
        <v>53.622999999999998</v>
      </c>
      <c r="F65" s="1087">
        <f>Deflators_original!D65</f>
        <v>6.9857843045200204E-3</v>
      </c>
      <c r="G65" s="1087">
        <f>Deflators_original!E65</f>
        <v>52.142000000000003</v>
      </c>
      <c r="H65" s="1087">
        <f>Deflators_original!F65</f>
        <v>6.5634531485272403E-3</v>
      </c>
      <c r="I65" s="1087">
        <f>Deflators_original!G65</f>
        <v>39.226999999999997</v>
      </c>
      <c r="J65" s="1087">
        <f>Deflators_original!H65</f>
        <v>1.0067978164589601E-2</v>
      </c>
      <c r="K65" s="1087">
        <f>Deflators_original!I65</f>
        <v>47.28</v>
      </c>
      <c r="L65" s="1087">
        <f>Deflators_original!J65</f>
        <v>5.9574468085106204E-3</v>
      </c>
    </row>
    <row r="66" spans="1:12" x14ac:dyDescent="0.3">
      <c r="A66" s="1085" t="str">
        <f>Deflators_original!K66</f>
        <v>1986 Q1</v>
      </c>
      <c r="B66" s="1085" t="str">
        <f>Deflators_original!L66</f>
        <v>historical</v>
      </c>
      <c r="C66" s="1087">
        <f>Deflators_original!A66</f>
        <v>55.277999999999999</v>
      </c>
      <c r="D66" s="1087">
        <f>Deflators_original!B66</f>
        <v>0</v>
      </c>
      <c r="E66" s="1087">
        <f>Deflators_original!C66</f>
        <v>54.003</v>
      </c>
      <c r="F66" s="1087">
        <f>Deflators_original!D66</f>
        <v>7.08651138504002E-3</v>
      </c>
      <c r="G66" s="1087">
        <f>Deflators_original!E66</f>
        <v>52.01</v>
      </c>
      <c r="H66" s="1087">
        <f>Deflators_original!F66</f>
        <v>-2.53154846381043E-3</v>
      </c>
      <c r="I66" s="1087">
        <f>Deflators_original!G66</f>
        <v>39.371000000000002</v>
      </c>
      <c r="J66" s="1087">
        <f>Deflators_original!H66</f>
        <v>3.6709409335409201E-3</v>
      </c>
      <c r="K66" s="1087">
        <f>Deflators_original!I66</f>
        <v>47.573999999999998</v>
      </c>
      <c r="L66" s="1087">
        <f>Deflators_original!J66</f>
        <v>6.2182741116749698E-3</v>
      </c>
    </row>
    <row r="67" spans="1:12" x14ac:dyDescent="0.3">
      <c r="A67" s="1085" t="str">
        <f>Deflators_original!K67</f>
        <v>1986 Q2</v>
      </c>
      <c r="B67" s="1085" t="str">
        <f>Deflators_original!L67</f>
        <v>historical</v>
      </c>
      <c r="C67" s="1087">
        <f>Deflators_original!A67</f>
        <v>55.472000000000001</v>
      </c>
      <c r="D67" s="1087">
        <f>Deflators_original!B67</f>
        <v>0</v>
      </c>
      <c r="E67" s="1087">
        <f>Deflators_original!C67</f>
        <v>53.945999999999998</v>
      </c>
      <c r="F67" s="1087">
        <f>Deflators_original!D67</f>
        <v>-1.0554969168380399E-3</v>
      </c>
      <c r="G67" s="1087">
        <f>Deflators_original!E67</f>
        <v>51.881</v>
      </c>
      <c r="H67" s="1087">
        <f>Deflators_original!F67</f>
        <v>-2.48029225149005E-3</v>
      </c>
      <c r="I67" s="1087">
        <f>Deflators_original!G67</f>
        <v>39.488999999999997</v>
      </c>
      <c r="J67" s="1087">
        <f>Deflators_original!H67</f>
        <v>2.9971298671609401E-3</v>
      </c>
      <c r="K67" s="1087">
        <f>Deflators_original!I67</f>
        <v>48.063000000000002</v>
      </c>
      <c r="L67" s="1087">
        <f>Deflators_original!J67</f>
        <v>1.02787236725943E-2</v>
      </c>
    </row>
    <row r="68" spans="1:12" x14ac:dyDescent="0.3">
      <c r="A68" s="1085" t="str">
        <f>Deflators_original!K68</f>
        <v>1986 Q3</v>
      </c>
      <c r="B68" s="1085" t="str">
        <f>Deflators_original!L68</f>
        <v>historical</v>
      </c>
      <c r="C68" s="1087">
        <f>Deflators_original!A68</f>
        <v>55.734999999999999</v>
      </c>
      <c r="D68" s="1087">
        <f>Deflators_original!B68</f>
        <v>0</v>
      </c>
      <c r="E68" s="1087">
        <f>Deflators_original!C68</f>
        <v>54.23</v>
      </c>
      <c r="F68" s="1087">
        <f>Deflators_original!D68</f>
        <v>5.2645237830422102E-3</v>
      </c>
      <c r="G68" s="1087">
        <f>Deflators_original!E68</f>
        <v>51.954000000000001</v>
      </c>
      <c r="H68" s="1087">
        <f>Deflators_original!F68</f>
        <v>1.4070661706597799E-3</v>
      </c>
      <c r="I68" s="1087">
        <f>Deflators_original!G68</f>
        <v>39.826999999999998</v>
      </c>
      <c r="J68" s="1087">
        <f>Deflators_original!H68</f>
        <v>8.5593456405581598E-3</v>
      </c>
      <c r="K68" s="1087">
        <f>Deflators_original!I68</f>
        <v>48.500999999999998</v>
      </c>
      <c r="L68" s="1087">
        <f>Deflators_original!J68</f>
        <v>9.1130391361338194E-3</v>
      </c>
    </row>
    <row r="69" spans="1:12" x14ac:dyDescent="0.3">
      <c r="A69" s="1085" t="str">
        <f>Deflators_original!K69</f>
        <v>1986 Q4</v>
      </c>
      <c r="B69" s="1085" t="str">
        <f>Deflators_original!L69</f>
        <v>historical</v>
      </c>
      <c r="C69" s="1087">
        <f>Deflators_original!A69</f>
        <v>56.066000000000003</v>
      </c>
      <c r="D69" s="1087">
        <f>Deflators_original!B69</f>
        <v>0</v>
      </c>
      <c r="E69" s="1087">
        <f>Deflators_original!C69</f>
        <v>54.558</v>
      </c>
      <c r="F69" s="1087">
        <f>Deflators_original!D69</f>
        <v>6.0483127420247803E-3</v>
      </c>
      <c r="G69" s="1087">
        <f>Deflators_original!E69</f>
        <v>52.012999999999998</v>
      </c>
      <c r="H69" s="1087">
        <f>Deflators_original!F69</f>
        <v>1.13561997151312E-3</v>
      </c>
      <c r="I69" s="1087">
        <f>Deflators_original!G69</f>
        <v>40.351999999999997</v>
      </c>
      <c r="J69" s="1087">
        <f>Deflators_original!H69</f>
        <v>1.3182012202777E-2</v>
      </c>
      <c r="K69" s="1087">
        <f>Deflators_original!I69</f>
        <v>49.026000000000003</v>
      </c>
      <c r="L69" s="1087">
        <f>Deflators_original!J69</f>
        <v>1.08245190820808E-2</v>
      </c>
    </row>
    <row r="70" spans="1:12" x14ac:dyDescent="0.3">
      <c r="A70" s="1085" t="str">
        <f>Deflators_original!K70</f>
        <v>1987 Q1</v>
      </c>
      <c r="B70" s="1085" t="str">
        <f>Deflators_original!L70</f>
        <v>historical</v>
      </c>
      <c r="C70" s="1087">
        <f>Deflators_original!A70</f>
        <v>56.390999999999998</v>
      </c>
      <c r="D70" s="1087">
        <f>Deflators_original!B70</f>
        <v>0</v>
      </c>
      <c r="E70" s="1087">
        <f>Deflators_original!C70</f>
        <v>55.072000000000003</v>
      </c>
      <c r="F70" s="1087">
        <f>Deflators_original!D70</f>
        <v>9.4211664650463208E-3</v>
      </c>
      <c r="G70" s="1087">
        <f>Deflators_original!E70</f>
        <v>51.923999999999999</v>
      </c>
      <c r="H70" s="1087">
        <f>Deflators_original!F70</f>
        <v>-1.71111068386742E-3</v>
      </c>
      <c r="I70" s="1087">
        <f>Deflators_original!G70</f>
        <v>41.005000000000003</v>
      </c>
      <c r="J70" s="1087">
        <f>Deflators_original!H70</f>
        <v>1.61825931800159E-2</v>
      </c>
      <c r="K70" s="1087">
        <f>Deflators_original!I70</f>
        <v>49.34</v>
      </c>
      <c r="L70" s="1087">
        <f>Deflators_original!J70</f>
        <v>6.4047648186675897E-3</v>
      </c>
    </row>
    <row r="71" spans="1:12" x14ac:dyDescent="0.3">
      <c r="A71" s="1085" t="str">
        <f>Deflators_original!K71</f>
        <v>1987 Q2</v>
      </c>
      <c r="B71" s="1085" t="str">
        <f>Deflators_original!L71</f>
        <v>historical</v>
      </c>
      <c r="C71" s="1087">
        <f>Deflators_original!A71</f>
        <v>56.774000000000001</v>
      </c>
      <c r="D71" s="1087">
        <f>Deflators_original!B71</f>
        <v>0</v>
      </c>
      <c r="E71" s="1087">
        <f>Deflators_original!C71</f>
        <v>55.603000000000002</v>
      </c>
      <c r="F71" s="1087">
        <f>Deflators_original!D71</f>
        <v>9.6419233004068107E-3</v>
      </c>
      <c r="G71" s="1087">
        <f>Deflators_original!E71</f>
        <v>52.170999999999999</v>
      </c>
      <c r="H71" s="1087">
        <f>Deflators_original!F71</f>
        <v>4.7569524689932098E-3</v>
      </c>
      <c r="I71" s="1087">
        <f>Deflators_original!G71</f>
        <v>41.545000000000002</v>
      </c>
      <c r="J71" s="1087">
        <f>Deflators_original!H71</f>
        <v>1.3169125716376E-2</v>
      </c>
      <c r="K71" s="1087">
        <f>Deflators_original!I71</f>
        <v>49.755000000000003</v>
      </c>
      <c r="L71" s="1087">
        <f>Deflators_original!J71</f>
        <v>8.4110255370895004E-3</v>
      </c>
    </row>
    <row r="72" spans="1:12" x14ac:dyDescent="0.3">
      <c r="A72" s="1085" t="str">
        <f>Deflators_original!K72</f>
        <v>1987 Q3</v>
      </c>
      <c r="B72" s="1085" t="str">
        <f>Deflators_original!L72</f>
        <v>historical</v>
      </c>
      <c r="C72" s="1087">
        <f>Deflators_original!A72</f>
        <v>57.212000000000003</v>
      </c>
      <c r="D72" s="1087">
        <f>Deflators_original!B72</f>
        <v>0</v>
      </c>
      <c r="E72" s="1087">
        <f>Deflators_original!C72</f>
        <v>56.13</v>
      </c>
      <c r="F72" s="1087">
        <f>Deflators_original!D72</f>
        <v>9.4779058683884792E-3</v>
      </c>
      <c r="G72" s="1087">
        <f>Deflators_original!E72</f>
        <v>52.548000000000002</v>
      </c>
      <c r="H72" s="1087">
        <f>Deflators_original!F72</f>
        <v>7.2262367982212101E-3</v>
      </c>
      <c r="I72" s="1087">
        <f>Deflators_original!G72</f>
        <v>42.072000000000003</v>
      </c>
      <c r="J72" s="1087">
        <f>Deflators_original!H72</f>
        <v>1.2685040317727899E-2</v>
      </c>
      <c r="K72" s="1087">
        <f>Deflators_original!I72</f>
        <v>50.198</v>
      </c>
      <c r="L72" s="1087">
        <f>Deflators_original!J72</f>
        <v>8.9036277761027592E-3</v>
      </c>
    </row>
    <row r="73" spans="1:12" x14ac:dyDescent="0.3">
      <c r="A73" s="1085" t="str">
        <f>Deflators_original!K73</f>
        <v>1987 Q4</v>
      </c>
      <c r="B73" s="1085" t="str">
        <f>Deflators_original!L73</f>
        <v>historical</v>
      </c>
      <c r="C73" s="1087">
        <f>Deflators_original!A73</f>
        <v>57.640999999999998</v>
      </c>
      <c r="D73" s="1087">
        <f>Deflators_original!B73</f>
        <v>0</v>
      </c>
      <c r="E73" s="1087">
        <f>Deflators_original!C73</f>
        <v>56.615000000000002</v>
      </c>
      <c r="F73" s="1087">
        <f>Deflators_original!D73</f>
        <v>8.6406556208800094E-3</v>
      </c>
      <c r="G73" s="1087">
        <f>Deflators_original!E73</f>
        <v>52.658000000000001</v>
      </c>
      <c r="H73" s="1087">
        <f>Deflators_original!F73</f>
        <v>2.0933241988276802E-3</v>
      </c>
      <c r="I73" s="1087">
        <f>Deflators_original!G73</f>
        <v>42.329000000000001</v>
      </c>
      <c r="J73" s="1087">
        <f>Deflators_original!H73</f>
        <v>6.1085757748620103E-3</v>
      </c>
      <c r="K73" s="1087">
        <f>Deflators_original!I73</f>
        <v>50.463999999999999</v>
      </c>
      <c r="L73" s="1087">
        <f>Deflators_original!J73</f>
        <v>5.29901589704762E-3</v>
      </c>
    </row>
    <row r="74" spans="1:12" x14ac:dyDescent="0.3">
      <c r="A74" s="1085" t="str">
        <f>Deflators_original!K74</f>
        <v>1988 Q1</v>
      </c>
      <c r="B74" s="1085" t="str">
        <f>Deflators_original!L74</f>
        <v>historical</v>
      </c>
      <c r="C74" s="1087">
        <f>Deflators_original!A74</f>
        <v>58.087000000000003</v>
      </c>
      <c r="D74" s="1087">
        <f>Deflators_original!B74</f>
        <v>0</v>
      </c>
      <c r="E74" s="1087">
        <f>Deflators_original!C74</f>
        <v>57.061999999999998</v>
      </c>
      <c r="F74" s="1087">
        <f>Deflators_original!D74</f>
        <v>7.8954340722423594E-3</v>
      </c>
      <c r="G74" s="1087">
        <f>Deflators_original!E74</f>
        <v>53.375999999999998</v>
      </c>
      <c r="H74" s="1087">
        <f>Deflators_original!F74</f>
        <v>1.36351551521137E-2</v>
      </c>
      <c r="I74" s="1087">
        <f>Deflators_original!G74</f>
        <v>42.517000000000003</v>
      </c>
      <c r="J74" s="1087">
        <f>Deflators_original!H74</f>
        <v>4.4413995133361101E-3</v>
      </c>
      <c r="K74" s="1087">
        <f>Deflators_original!I74</f>
        <v>50.87</v>
      </c>
      <c r="L74" s="1087">
        <f>Deflators_original!J74</f>
        <v>8.0453392517438899E-3</v>
      </c>
    </row>
    <row r="75" spans="1:12" x14ac:dyDescent="0.3">
      <c r="A75" s="1085" t="str">
        <f>Deflators_original!K75</f>
        <v>1988 Q2</v>
      </c>
      <c r="B75" s="1085" t="str">
        <f>Deflators_original!L75</f>
        <v>historical</v>
      </c>
      <c r="C75" s="1087">
        <f>Deflators_original!A75</f>
        <v>58.667000000000002</v>
      </c>
      <c r="D75" s="1087">
        <f>Deflators_original!B75</f>
        <v>0</v>
      </c>
      <c r="E75" s="1087">
        <f>Deflators_original!C75</f>
        <v>57.692</v>
      </c>
      <c r="F75" s="1087">
        <f>Deflators_original!D75</f>
        <v>1.10406224808104E-2</v>
      </c>
      <c r="G75" s="1087">
        <f>Deflators_original!E75</f>
        <v>53.901000000000003</v>
      </c>
      <c r="H75" s="1087">
        <f>Deflators_original!F75</f>
        <v>9.8358812949641498E-3</v>
      </c>
      <c r="I75" s="1087">
        <f>Deflators_original!G75</f>
        <v>42.975000000000001</v>
      </c>
      <c r="J75" s="1087">
        <f>Deflators_original!H75</f>
        <v>1.0772161723545901E-2</v>
      </c>
      <c r="K75" s="1087">
        <f>Deflators_original!I75</f>
        <v>51.151000000000003</v>
      </c>
      <c r="L75" s="1087">
        <f>Deflators_original!J75</f>
        <v>5.5238844112444098E-3</v>
      </c>
    </row>
    <row r="76" spans="1:12" x14ac:dyDescent="0.3">
      <c r="A76" s="1085" t="str">
        <f>Deflators_original!K76</f>
        <v>1988 Q3</v>
      </c>
      <c r="B76" s="1085" t="str">
        <f>Deflators_original!L76</f>
        <v>historical</v>
      </c>
      <c r="C76" s="1087">
        <f>Deflators_original!A76</f>
        <v>59.384999999999998</v>
      </c>
      <c r="D76" s="1087">
        <f>Deflators_original!B76</f>
        <v>0</v>
      </c>
      <c r="E76" s="1087">
        <f>Deflators_original!C76</f>
        <v>58.402999999999999</v>
      </c>
      <c r="F76" s="1087">
        <f>Deflators_original!D76</f>
        <v>1.23240657283505E-2</v>
      </c>
      <c r="G76" s="1087">
        <f>Deflators_original!E76</f>
        <v>54.209000000000003</v>
      </c>
      <c r="H76" s="1087">
        <f>Deflators_original!F76</f>
        <v>5.7141796998201296E-3</v>
      </c>
      <c r="I76" s="1087">
        <f>Deflators_original!G76</f>
        <v>43.356999999999999</v>
      </c>
      <c r="J76" s="1087">
        <f>Deflators_original!H76</f>
        <v>8.8888888888889496E-3</v>
      </c>
      <c r="K76" s="1087">
        <f>Deflators_original!I76</f>
        <v>51.481000000000002</v>
      </c>
      <c r="L76" s="1087">
        <f>Deflators_original!J76</f>
        <v>6.45148677445206E-3</v>
      </c>
    </row>
    <row r="77" spans="1:12" x14ac:dyDescent="0.3">
      <c r="A77" s="1085" t="str">
        <f>Deflators_original!K77</f>
        <v>1988 Q4</v>
      </c>
      <c r="B77" s="1085" t="str">
        <f>Deflators_original!L77</f>
        <v>historical</v>
      </c>
      <c r="C77" s="1087">
        <f>Deflators_original!A77</f>
        <v>59.932000000000002</v>
      </c>
      <c r="D77" s="1087">
        <f>Deflators_original!B77</f>
        <v>0</v>
      </c>
      <c r="E77" s="1087">
        <f>Deflators_original!C77</f>
        <v>58.993000000000002</v>
      </c>
      <c r="F77" s="1087">
        <f>Deflators_original!D77</f>
        <v>1.01022207763299E-2</v>
      </c>
      <c r="G77" s="1087">
        <f>Deflators_original!E77</f>
        <v>54.645000000000003</v>
      </c>
      <c r="H77" s="1087">
        <f>Deflators_original!F77</f>
        <v>8.0429448984487006E-3</v>
      </c>
      <c r="I77" s="1087">
        <f>Deflators_original!G77</f>
        <v>43.918999999999997</v>
      </c>
      <c r="J77" s="1087">
        <f>Deflators_original!H77</f>
        <v>1.29621514403671E-2</v>
      </c>
      <c r="K77" s="1087">
        <f>Deflators_original!I77</f>
        <v>51.753</v>
      </c>
      <c r="L77" s="1087">
        <f>Deflators_original!J77</f>
        <v>5.2835026514637101E-3</v>
      </c>
    </row>
    <row r="78" spans="1:12" x14ac:dyDescent="0.3">
      <c r="A78" s="1085" t="str">
        <f>Deflators_original!K78</f>
        <v>1989 Q1</v>
      </c>
      <c r="B78" s="1085" t="str">
        <f>Deflators_original!L78</f>
        <v>historical</v>
      </c>
      <c r="C78" s="1087">
        <f>Deflators_original!A78</f>
        <v>60.508000000000003</v>
      </c>
      <c r="D78" s="1087">
        <f>Deflators_original!B78</f>
        <v>0</v>
      </c>
      <c r="E78" s="1087">
        <f>Deflators_original!C78</f>
        <v>59.670999999999999</v>
      </c>
      <c r="F78" s="1087">
        <f>Deflators_original!D78</f>
        <v>1.14928889868289E-2</v>
      </c>
      <c r="G78" s="1087">
        <f>Deflators_original!E78</f>
        <v>55.051000000000002</v>
      </c>
      <c r="H78" s="1087">
        <f>Deflators_original!F78</f>
        <v>7.42977399579092E-3</v>
      </c>
      <c r="I78" s="1087">
        <f>Deflators_original!G78</f>
        <v>44.585000000000001</v>
      </c>
      <c r="J78" s="1087">
        <f>Deflators_original!H78</f>
        <v>1.5164279696714401E-2</v>
      </c>
      <c r="K78" s="1087">
        <f>Deflators_original!I78</f>
        <v>52.003</v>
      </c>
      <c r="L78" s="1087">
        <f>Deflators_original!J78</f>
        <v>4.8306378374200999E-3</v>
      </c>
    </row>
    <row r="79" spans="1:12" x14ac:dyDescent="0.3">
      <c r="A79" s="1085" t="str">
        <f>Deflators_original!K79</f>
        <v>1989 Q2</v>
      </c>
      <c r="B79" s="1085" t="str">
        <f>Deflators_original!L79</f>
        <v>historical</v>
      </c>
      <c r="C79" s="1087">
        <f>Deflators_original!A79</f>
        <v>61.162999999999997</v>
      </c>
      <c r="D79" s="1087">
        <f>Deflators_original!B79</f>
        <v>0</v>
      </c>
      <c r="E79" s="1087">
        <f>Deflators_original!C79</f>
        <v>60.475000000000001</v>
      </c>
      <c r="F79" s="1087">
        <f>Deflators_original!D79</f>
        <v>1.34738817851219E-2</v>
      </c>
      <c r="G79" s="1087">
        <f>Deflators_original!E79</f>
        <v>55.454999999999998</v>
      </c>
      <c r="H79" s="1087">
        <f>Deflators_original!F79</f>
        <v>7.3386496158107696E-3</v>
      </c>
      <c r="I79" s="1087">
        <f>Deflators_original!G79</f>
        <v>45.247999999999998</v>
      </c>
      <c r="J79" s="1087">
        <f>Deflators_original!H79</f>
        <v>1.48704721318829E-2</v>
      </c>
      <c r="K79" s="1087">
        <f>Deflators_original!I79</f>
        <v>52.424999999999997</v>
      </c>
      <c r="L79" s="1087">
        <f>Deflators_original!J79</f>
        <v>8.1149164471279196E-3</v>
      </c>
    </row>
    <row r="80" spans="1:12" x14ac:dyDescent="0.3">
      <c r="A80" s="1085" t="str">
        <f>Deflators_original!K80</f>
        <v>1989 Q3</v>
      </c>
      <c r="B80" s="1085" t="str">
        <f>Deflators_original!L80</f>
        <v>historical</v>
      </c>
      <c r="C80" s="1087">
        <f>Deflators_original!A80</f>
        <v>61.616999999999997</v>
      </c>
      <c r="D80" s="1087">
        <f>Deflators_original!B80</f>
        <v>0</v>
      </c>
      <c r="E80" s="1087">
        <f>Deflators_original!C80</f>
        <v>60.832000000000001</v>
      </c>
      <c r="F80" s="1087">
        <f>Deflators_original!D80</f>
        <v>5.9032658123190397E-3</v>
      </c>
      <c r="G80" s="1087">
        <f>Deflators_original!E80</f>
        <v>55.731000000000002</v>
      </c>
      <c r="H80" s="1087">
        <f>Deflators_original!F80</f>
        <v>4.9770083851772302E-3</v>
      </c>
      <c r="I80" s="1087">
        <f>Deflators_original!G80</f>
        <v>45.692999999999998</v>
      </c>
      <c r="J80" s="1087">
        <f>Deflators_original!H80</f>
        <v>9.8346888260254506E-3</v>
      </c>
      <c r="K80" s="1087">
        <f>Deflators_original!I80</f>
        <v>52.814</v>
      </c>
      <c r="L80" s="1087">
        <f>Deflators_original!J80</f>
        <v>7.4201239866476002E-3</v>
      </c>
    </row>
    <row r="81" spans="1:12" x14ac:dyDescent="0.3">
      <c r="A81" s="1085" t="str">
        <f>Deflators_original!K81</f>
        <v>1989 Q4</v>
      </c>
      <c r="B81" s="1085" t="str">
        <f>Deflators_original!L81</f>
        <v>historical</v>
      </c>
      <c r="C81" s="1087">
        <f>Deflators_original!A81</f>
        <v>62.036999999999999</v>
      </c>
      <c r="D81" s="1087">
        <f>Deflators_original!B81</f>
        <v>0</v>
      </c>
      <c r="E81" s="1087">
        <f>Deflators_original!C81</f>
        <v>61.31</v>
      </c>
      <c r="F81" s="1087">
        <f>Deflators_original!D81</f>
        <v>7.8577064702787195E-3</v>
      </c>
      <c r="G81" s="1087">
        <f>Deflators_original!E81</f>
        <v>55.930999999999997</v>
      </c>
      <c r="H81" s="1087">
        <f>Deflators_original!F81</f>
        <v>3.5886669896465499E-3</v>
      </c>
      <c r="I81" s="1087">
        <f>Deflators_original!G81</f>
        <v>46.363999999999997</v>
      </c>
      <c r="J81" s="1087">
        <f>Deflators_original!H81</f>
        <v>1.46849626857506E-2</v>
      </c>
      <c r="K81" s="1087">
        <f>Deflators_original!I81</f>
        <v>53.104999999999997</v>
      </c>
      <c r="L81" s="1087">
        <f>Deflators_original!J81</f>
        <v>5.5099026773204303E-3</v>
      </c>
    </row>
    <row r="82" spans="1:12" x14ac:dyDescent="0.3">
      <c r="A82" s="1085" t="str">
        <f>Deflators_original!K82</f>
        <v>1990 Q1</v>
      </c>
      <c r="B82" s="1085" t="str">
        <f>Deflators_original!L82</f>
        <v>historical</v>
      </c>
      <c r="C82" s="1087">
        <f>Deflators_original!A82</f>
        <v>62.713000000000001</v>
      </c>
      <c r="D82" s="1087">
        <f>Deflators_original!B82</f>
        <v>0</v>
      </c>
      <c r="E82" s="1087">
        <f>Deflators_original!C82</f>
        <v>62.198999999999998</v>
      </c>
      <c r="F82" s="1087">
        <f>Deflators_original!D82</f>
        <v>1.4500081552764501E-2</v>
      </c>
      <c r="G82" s="1087">
        <f>Deflators_original!E82</f>
        <v>56.323</v>
      </c>
      <c r="H82" s="1087">
        <f>Deflators_original!F82</f>
        <v>7.0086356403427103E-3</v>
      </c>
      <c r="I82" s="1087">
        <f>Deflators_original!G82</f>
        <v>47.098999999999997</v>
      </c>
      <c r="J82" s="1087">
        <f>Deflators_original!H82</f>
        <v>1.5852816840652199E-2</v>
      </c>
      <c r="K82" s="1087">
        <f>Deflators_original!I82</f>
        <v>53.487000000000002</v>
      </c>
      <c r="L82" s="1087">
        <f>Deflators_original!J82</f>
        <v>7.1932962997835999E-3</v>
      </c>
    </row>
    <row r="83" spans="1:12" x14ac:dyDescent="0.3">
      <c r="A83" s="1085" t="str">
        <f>Deflators_original!K83</f>
        <v>1990 Q2</v>
      </c>
      <c r="B83" s="1085" t="str">
        <f>Deflators_original!L83</f>
        <v>historical</v>
      </c>
      <c r="C83" s="1087">
        <f>Deflators_original!A83</f>
        <v>63.414999999999999</v>
      </c>
      <c r="D83" s="1087">
        <f>Deflators_original!B83</f>
        <v>0</v>
      </c>
      <c r="E83" s="1087">
        <f>Deflators_original!C83</f>
        <v>62.764000000000003</v>
      </c>
      <c r="F83" s="1087">
        <f>Deflators_original!D83</f>
        <v>9.0837473271274706E-3</v>
      </c>
      <c r="G83" s="1087">
        <f>Deflators_original!E83</f>
        <v>57.29</v>
      </c>
      <c r="H83" s="1087">
        <f>Deflators_original!F83</f>
        <v>1.7168829785345199E-2</v>
      </c>
      <c r="I83" s="1087">
        <f>Deflators_original!G83</f>
        <v>47.601999999999997</v>
      </c>
      <c r="J83" s="1087">
        <f>Deflators_original!H83</f>
        <v>1.0679632263954599E-2</v>
      </c>
      <c r="K83" s="1087">
        <f>Deflators_original!I83</f>
        <v>53.959000000000003</v>
      </c>
      <c r="L83" s="1087">
        <f>Deflators_original!J83</f>
        <v>8.8245741955990092E-3</v>
      </c>
    </row>
    <row r="84" spans="1:12" x14ac:dyDescent="0.3">
      <c r="A84" s="1085" t="str">
        <f>Deflators_original!K84</f>
        <v>1990 Q3</v>
      </c>
      <c r="B84" s="1085" t="str">
        <f>Deflators_original!L84</f>
        <v>historical</v>
      </c>
      <c r="C84" s="1087">
        <f>Deflators_original!A84</f>
        <v>63.963000000000001</v>
      </c>
      <c r="D84" s="1087">
        <f>Deflators_original!B84</f>
        <v>0</v>
      </c>
      <c r="E84" s="1087">
        <f>Deflators_original!C84</f>
        <v>63.561</v>
      </c>
      <c r="F84" s="1087">
        <f>Deflators_original!D84</f>
        <v>1.2698362118411801E-2</v>
      </c>
      <c r="G84" s="1087">
        <f>Deflators_original!E84</f>
        <v>57.366999999999997</v>
      </c>
      <c r="H84" s="1087">
        <f>Deflators_original!F84</f>
        <v>1.34403909931913E-3</v>
      </c>
      <c r="I84" s="1087">
        <f>Deflators_original!G84</f>
        <v>48.293999999999997</v>
      </c>
      <c r="J84" s="1087">
        <f>Deflators_original!H84</f>
        <v>1.4537204319146299E-2</v>
      </c>
      <c r="K84" s="1087">
        <f>Deflators_original!I84</f>
        <v>54.482999999999997</v>
      </c>
      <c r="L84" s="1087">
        <f>Deflators_original!J84</f>
        <v>9.7110769287791499E-3</v>
      </c>
    </row>
    <row r="85" spans="1:12" x14ac:dyDescent="0.3">
      <c r="A85" s="1085" t="str">
        <f>Deflators_original!K85</f>
        <v>1990 Q4</v>
      </c>
      <c r="B85" s="1085" t="str">
        <f>Deflators_original!L85</f>
        <v>historical</v>
      </c>
      <c r="C85" s="1087">
        <f>Deflators_original!A85</f>
        <v>64.451999999999998</v>
      </c>
      <c r="D85" s="1087">
        <f>Deflators_original!B85</f>
        <v>0</v>
      </c>
      <c r="E85" s="1087">
        <f>Deflators_original!C85</f>
        <v>64.402000000000001</v>
      </c>
      <c r="F85" s="1087">
        <f>Deflators_original!D85</f>
        <v>1.3231384024795101E-2</v>
      </c>
      <c r="G85" s="1087">
        <f>Deflators_original!E85</f>
        <v>58.05</v>
      </c>
      <c r="H85" s="1087">
        <f>Deflators_original!F85</f>
        <v>1.19057995014555E-2</v>
      </c>
      <c r="I85" s="1087">
        <f>Deflators_original!G85</f>
        <v>49.207999999999998</v>
      </c>
      <c r="J85" s="1087">
        <f>Deflators_original!H85</f>
        <v>1.8925746469540702E-2</v>
      </c>
      <c r="K85" s="1087">
        <f>Deflators_original!I85</f>
        <v>54.628</v>
      </c>
      <c r="L85" s="1087">
        <f>Deflators_original!J85</f>
        <v>2.66138061413668E-3</v>
      </c>
    </row>
    <row r="86" spans="1:12" x14ac:dyDescent="0.3">
      <c r="A86" s="1085" t="str">
        <f>Deflators_original!K86</f>
        <v>1991 Q1</v>
      </c>
      <c r="B86" s="1085" t="str">
        <f>Deflators_original!L86</f>
        <v>historical</v>
      </c>
      <c r="C86" s="1087">
        <f>Deflators_original!A86</f>
        <v>65.078000000000003</v>
      </c>
      <c r="D86" s="1087">
        <f>Deflators_original!B86</f>
        <v>0</v>
      </c>
      <c r="E86" s="1087">
        <f>Deflators_original!C86</f>
        <v>64.739999999999995</v>
      </c>
      <c r="F86" s="1087">
        <f>Deflators_original!D86</f>
        <v>5.2482842147758601E-3</v>
      </c>
      <c r="G86" s="1087">
        <f>Deflators_original!E86</f>
        <v>58.570999999999998</v>
      </c>
      <c r="H86" s="1087">
        <f>Deflators_original!F86</f>
        <v>8.9750215331609907E-3</v>
      </c>
      <c r="I86" s="1087">
        <f>Deflators_original!G86</f>
        <v>49.442</v>
      </c>
      <c r="J86" s="1087">
        <f>Deflators_original!H86</f>
        <v>4.7553243375060301E-3</v>
      </c>
      <c r="K86" s="1087">
        <f>Deflators_original!I86</f>
        <v>54.735999999999997</v>
      </c>
      <c r="L86" s="1087">
        <f>Deflators_original!J86</f>
        <v>1.9770081276999601E-3</v>
      </c>
    </row>
    <row r="87" spans="1:12" x14ac:dyDescent="0.3">
      <c r="A87" s="1085" t="str">
        <f>Deflators_original!K87</f>
        <v>1991 Q2</v>
      </c>
      <c r="B87" s="1085" t="str">
        <f>Deflators_original!L87</f>
        <v>historical</v>
      </c>
      <c r="C87" s="1087">
        <f>Deflators_original!A87</f>
        <v>65.546999999999997</v>
      </c>
      <c r="D87" s="1087">
        <f>Deflators_original!B87</f>
        <v>0</v>
      </c>
      <c r="E87" s="1087">
        <f>Deflators_original!C87</f>
        <v>65.093999999999994</v>
      </c>
      <c r="F87" s="1087">
        <f>Deflators_original!D87</f>
        <v>5.4680259499535503E-3</v>
      </c>
      <c r="G87" s="1087">
        <f>Deflators_original!E87</f>
        <v>58.86</v>
      </c>
      <c r="H87" s="1087">
        <f>Deflators_original!F87</f>
        <v>4.9341824452373596E-3</v>
      </c>
      <c r="I87" s="1087">
        <f>Deflators_original!G87</f>
        <v>49.752000000000002</v>
      </c>
      <c r="J87" s="1087">
        <f>Deflators_original!H87</f>
        <v>6.2699728975366097E-3</v>
      </c>
      <c r="K87" s="1087">
        <f>Deflators_original!I87</f>
        <v>55.018000000000001</v>
      </c>
      <c r="L87" s="1087">
        <f>Deflators_original!J87</f>
        <v>5.1520023384976597E-3</v>
      </c>
    </row>
    <row r="88" spans="1:12" x14ac:dyDescent="0.3">
      <c r="A88" s="1085" t="str">
        <f>Deflators_original!K88</f>
        <v>1991 Q3</v>
      </c>
      <c r="B88" s="1085" t="str">
        <f>Deflators_original!L88</f>
        <v>historical</v>
      </c>
      <c r="C88" s="1087">
        <f>Deflators_original!A88</f>
        <v>66.05</v>
      </c>
      <c r="D88" s="1087">
        <f>Deflators_original!B88</f>
        <v>0</v>
      </c>
      <c r="E88" s="1087">
        <f>Deflators_original!C88</f>
        <v>65.536000000000001</v>
      </c>
      <c r="F88" s="1087">
        <f>Deflators_original!D88</f>
        <v>6.7901803545642502E-3</v>
      </c>
      <c r="G88" s="1087">
        <f>Deflators_original!E88</f>
        <v>59.616</v>
      </c>
      <c r="H88" s="1087">
        <f>Deflators_original!F88</f>
        <v>1.2844036697247801E-2</v>
      </c>
      <c r="I88" s="1087">
        <f>Deflators_original!G88</f>
        <v>50.226999999999997</v>
      </c>
      <c r="J88" s="1087">
        <f>Deflators_original!H88</f>
        <v>9.5473548802056402E-3</v>
      </c>
      <c r="K88" s="1087">
        <f>Deflators_original!I88</f>
        <v>55.164000000000001</v>
      </c>
      <c r="L88" s="1087">
        <f>Deflators_original!J88</f>
        <v>2.6536769784435399E-3</v>
      </c>
    </row>
    <row r="89" spans="1:12" x14ac:dyDescent="0.3">
      <c r="A89" s="1085" t="str">
        <f>Deflators_original!K89</f>
        <v>1991 Q4</v>
      </c>
      <c r="B89" s="1085" t="str">
        <f>Deflators_original!L89</f>
        <v>historical</v>
      </c>
      <c r="C89" s="1087">
        <f>Deflators_original!A89</f>
        <v>66.433999999999997</v>
      </c>
      <c r="D89" s="1087">
        <f>Deflators_original!B89</f>
        <v>0</v>
      </c>
      <c r="E89" s="1087">
        <f>Deflators_original!C89</f>
        <v>66.012</v>
      </c>
      <c r="F89" s="1087">
        <f>Deflators_original!D89</f>
        <v>7.26318359375E-3</v>
      </c>
      <c r="G89" s="1087">
        <f>Deflators_original!E89</f>
        <v>60.219000000000001</v>
      </c>
      <c r="H89" s="1087">
        <f>Deflators_original!F89</f>
        <v>1.0114734299516899E-2</v>
      </c>
      <c r="I89" s="1087">
        <f>Deflators_original!G89</f>
        <v>50.798000000000002</v>
      </c>
      <c r="J89" s="1087">
        <f>Deflators_original!H89</f>
        <v>1.13683875206563E-2</v>
      </c>
      <c r="K89" s="1087">
        <f>Deflators_original!I89</f>
        <v>55.026000000000003</v>
      </c>
      <c r="L89" s="1087">
        <f>Deflators_original!J89</f>
        <v>-2.5016314988035599E-3</v>
      </c>
    </row>
    <row r="90" spans="1:12" x14ac:dyDescent="0.3">
      <c r="A90" s="1085" t="str">
        <f>Deflators_original!K90</f>
        <v>1992 Q1</v>
      </c>
      <c r="B90" s="1085" t="str">
        <f>Deflators_original!L90</f>
        <v>historical</v>
      </c>
      <c r="C90" s="1087">
        <f>Deflators_original!A90</f>
        <v>66.7</v>
      </c>
      <c r="D90" s="1087">
        <f>Deflators_original!B90</f>
        <v>0</v>
      </c>
      <c r="E90" s="1087">
        <f>Deflators_original!C90</f>
        <v>66.424999999999997</v>
      </c>
      <c r="F90" s="1087">
        <f>Deflators_original!D90</f>
        <v>6.2564382233532001E-3</v>
      </c>
      <c r="G90" s="1087">
        <f>Deflators_original!E90</f>
        <v>60.307000000000002</v>
      </c>
      <c r="H90" s="1087">
        <f>Deflators_original!F90</f>
        <v>1.4613328019394999E-3</v>
      </c>
      <c r="I90" s="1087">
        <f>Deflators_original!G90</f>
        <v>51.277999999999999</v>
      </c>
      <c r="J90" s="1087">
        <f>Deflators_original!H90</f>
        <v>9.4491909130280903E-3</v>
      </c>
      <c r="K90" s="1087">
        <f>Deflators_original!I90</f>
        <v>54.881999999999998</v>
      </c>
      <c r="L90" s="1087">
        <f>Deflators_original!J90</f>
        <v>-2.61694471704299E-3</v>
      </c>
    </row>
    <row r="91" spans="1:12" x14ac:dyDescent="0.3">
      <c r="A91" s="1085" t="str">
        <f>Deflators_original!K91</f>
        <v>1992 Q2</v>
      </c>
      <c r="B91" s="1085" t="str">
        <f>Deflators_original!L91</f>
        <v>historical</v>
      </c>
      <c r="C91" s="1087">
        <f>Deflators_original!A91</f>
        <v>67.097999999999999</v>
      </c>
      <c r="D91" s="1087">
        <f>Deflators_original!B91</f>
        <v>0</v>
      </c>
      <c r="E91" s="1087">
        <f>Deflators_original!C91</f>
        <v>66.867000000000004</v>
      </c>
      <c r="F91" s="1087">
        <f>Deflators_original!D91</f>
        <v>6.6541211893114101E-3</v>
      </c>
      <c r="G91" s="1087">
        <f>Deflators_original!E91</f>
        <v>60.527000000000001</v>
      </c>
      <c r="H91" s="1087">
        <f>Deflators_original!F91</f>
        <v>3.6480010612367502E-3</v>
      </c>
      <c r="I91" s="1087">
        <f>Deflators_original!G91</f>
        <v>51.975000000000001</v>
      </c>
      <c r="J91" s="1087">
        <f>Deflators_original!H91</f>
        <v>1.35925738133313E-2</v>
      </c>
      <c r="K91" s="1087">
        <f>Deflators_original!I91</f>
        <v>55.142000000000003</v>
      </c>
      <c r="L91" s="1087">
        <f>Deflators_original!J91</f>
        <v>4.7374366823367299E-3</v>
      </c>
    </row>
    <row r="92" spans="1:12" x14ac:dyDescent="0.3">
      <c r="A92" s="1085" t="str">
        <f>Deflators_original!K92</f>
        <v>1992 Q3</v>
      </c>
      <c r="B92" s="1085" t="str">
        <f>Deflators_original!L92</f>
        <v>historical</v>
      </c>
      <c r="C92" s="1087">
        <f>Deflators_original!A92</f>
        <v>67.418999999999997</v>
      </c>
      <c r="D92" s="1087">
        <f>Deflators_original!B92</f>
        <v>0</v>
      </c>
      <c r="E92" s="1087">
        <f>Deflators_original!C92</f>
        <v>67.293999999999997</v>
      </c>
      <c r="F92" s="1087">
        <f>Deflators_original!D92</f>
        <v>6.3858106390295398E-3</v>
      </c>
      <c r="G92" s="1087">
        <f>Deflators_original!E92</f>
        <v>61.055</v>
      </c>
      <c r="H92" s="1087">
        <f>Deflators_original!F92</f>
        <v>8.7233796487518108E-3</v>
      </c>
      <c r="I92" s="1087">
        <f>Deflators_original!G92</f>
        <v>52.42</v>
      </c>
      <c r="J92" s="1087">
        <f>Deflators_original!H92</f>
        <v>8.5618085618086592E-3</v>
      </c>
      <c r="K92" s="1087">
        <f>Deflators_original!I92</f>
        <v>55.253999999999998</v>
      </c>
      <c r="L92" s="1087">
        <f>Deflators_original!J92</f>
        <v>2.03111965470959E-3</v>
      </c>
    </row>
    <row r="93" spans="1:12" x14ac:dyDescent="0.3">
      <c r="A93" s="1085" t="str">
        <f>Deflators_original!K93</f>
        <v>1992 Q4</v>
      </c>
      <c r="B93" s="1085" t="str">
        <f>Deflators_original!L93</f>
        <v>historical</v>
      </c>
      <c r="C93" s="1087">
        <f>Deflators_original!A93</f>
        <v>67.894000000000005</v>
      </c>
      <c r="D93" s="1087">
        <f>Deflators_original!B93</f>
        <v>0</v>
      </c>
      <c r="E93" s="1087">
        <f>Deflators_original!C93</f>
        <v>67.763000000000005</v>
      </c>
      <c r="F93" s="1087">
        <f>Deflators_original!D93</f>
        <v>6.9694177787025203E-3</v>
      </c>
      <c r="G93" s="1087">
        <f>Deflators_original!E93</f>
        <v>61.439</v>
      </c>
      <c r="H93" s="1087">
        <f>Deflators_original!F93</f>
        <v>6.2894111866349496E-3</v>
      </c>
      <c r="I93" s="1087">
        <f>Deflators_original!G93</f>
        <v>52.802999999999997</v>
      </c>
      <c r="J93" s="1087">
        <f>Deflators_original!H93</f>
        <v>7.3063716138877001E-3</v>
      </c>
      <c r="K93" s="1087">
        <f>Deflators_original!I93</f>
        <v>55.506</v>
      </c>
      <c r="L93" s="1087">
        <f>Deflators_original!J93</f>
        <v>4.5607557823867896E-3</v>
      </c>
    </row>
    <row r="94" spans="1:12" x14ac:dyDescent="0.3">
      <c r="A94" s="1085" t="str">
        <f>Deflators_original!K94</f>
        <v>1993 Q1</v>
      </c>
      <c r="B94" s="1085" t="str">
        <f>Deflators_original!L94</f>
        <v>historical</v>
      </c>
      <c r="C94" s="1087">
        <f>Deflators_original!A94</f>
        <v>68.298000000000002</v>
      </c>
      <c r="D94" s="1087">
        <f>Deflators_original!B94</f>
        <v>0</v>
      </c>
      <c r="E94" s="1087">
        <f>Deflators_original!C94</f>
        <v>68.167000000000002</v>
      </c>
      <c r="F94" s="1087">
        <f>Deflators_original!D94</f>
        <v>5.9619556395083002E-3</v>
      </c>
      <c r="G94" s="1087">
        <f>Deflators_original!E94</f>
        <v>61.591999999999999</v>
      </c>
      <c r="H94" s="1087">
        <f>Deflators_original!F94</f>
        <v>2.49027490681808E-3</v>
      </c>
      <c r="I94" s="1087">
        <f>Deflators_original!G94</f>
        <v>53.091999999999999</v>
      </c>
      <c r="J94" s="1087">
        <f>Deflators_original!H94</f>
        <v>5.4731738726967504E-3</v>
      </c>
      <c r="K94" s="1087">
        <f>Deflators_original!I94</f>
        <v>55.918999999999997</v>
      </c>
      <c r="L94" s="1087">
        <f>Deflators_original!J94</f>
        <v>7.4406370482469298E-3</v>
      </c>
    </row>
    <row r="95" spans="1:12" x14ac:dyDescent="0.3">
      <c r="A95" s="1085" t="str">
        <f>Deflators_original!K95</f>
        <v>1993 Q2</v>
      </c>
      <c r="B95" s="1085" t="str">
        <f>Deflators_original!L95</f>
        <v>historical</v>
      </c>
      <c r="C95" s="1087">
        <f>Deflators_original!A95</f>
        <v>68.700999999999993</v>
      </c>
      <c r="D95" s="1087">
        <f>Deflators_original!B95</f>
        <v>0</v>
      </c>
      <c r="E95" s="1087">
        <f>Deflators_original!C95</f>
        <v>68.623999999999995</v>
      </c>
      <c r="F95" s="1087">
        <f>Deflators_original!D95</f>
        <v>6.7041236962166496E-3</v>
      </c>
      <c r="G95" s="1087">
        <f>Deflators_original!E95</f>
        <v>61.863</v>
      </c>
      <c r="H95" s="1087">
        <f>Deflators_original!F95</f>
        <v>4.3999220678010396E-3</v>
      </c>
      <c r="I95" s="1087">
        <f>Deflators_original!G95</f>
        <v>53.405999999999999</v>
      </c>
      <c r="J95" s="1087">
        <f>Deflators_original!H95</f>
        <v>5.91426203571155E-3</v>
      </c>
      <c r="K95" s="1087">
        <f>Deflators_original!I95</f>
        <v>56.244999999999997</v>
      </c>
      <c r="L95" s="1087">
        <f>Deflators_original!J95</f>
        <v>5.8298610490172802E-3</v>
      </c>
    </row>
    <row r="96" spans="1:12" x14ac:dyDescent="0.3">
      <c r="A96" s="1085" t="str">
        <f>Deflators_original!K96</f>
        <v>1993 Q3</v>
      </c>
      <c r="B96" s="1085" t="str">
        <f>Deflators_original!L96</f>
        <v>historical</v>
      </c>
      <c r="C96" s="1087">
        <f>Deflators_original!A96</f>
        <v>69.046000000000006</v>
      </c>
      <c r="D96" s="1087">
        <f>Deflators_original!B96</f>
        <v>0</v>
      </c>
      <c r="E96" s="1087">
        <f>Deflators_original!C96</f>
        <v>68.923000000000002</v>
      </c>
      <c r="F96" s="1087">
        <f>Deflators_original!D96</f>
        <v>4.3570762415483504E-3</v>
      </c>
      <c r="G96" s="1087">
        <f>Deflators_original!E96</f>
        <v>62.311</v>
      </c>
      <c r="H96" s="1087">
        <f>Deflators_original!F96</f>
        <v>7.2418085123580099E-3</v>
      </c>
      <c r="I96" s="1087">
        <f>Deflators_original!G96</f>
        <v>53.58</v>
      </c>
      <c r="J96" s="1087">
        <f>Deflators_original!H96</f>
        <v>3.2580608920345102E-3</v>
      </c>
      <c r="K96" s="1087">
        <f>Deflators_original!I96</f>
        <v>56.302</v>
      </c>
      <c r="L96" s="1087">
        <f>Deflators_original!J96</f>
        <v>1.01342341541466E-3</v>
      </c>
    </row>
    <row r="97" spans="1:12" x14ac:dyDescent="0.3">
      <c r="A97" s="1085" t="str">
        <f>Deflators_original!K97</f>
        <v>1993 Q4</v>
      </c>
      <c r="B97" s="1085" t="str">
        <f>Deflators_original!L97</f>
        <v>historical</v>
      </c>
      <c r="C97" s="1087">
        <f>Deflators_original!A97</f>
        <v>69.451999999999998</v>
      </c>
      <c r="D97" s="1087">
        <f>Deflators_original!B97</f>
        <v>0</v>
      </c>
      <c r="E97" s="1087">
        <f>Deflators_original!C97</f>
        <v>69.319999999999993</v>
      </c>
      <c r="F97" s="1087">
        <f>Deflators_original!D97</f>
        <v>5.7600510714854699E-3</v>
      </c>
      <c r="G97" s="1087">
        <f>Deflators_original!E97</f>
        <v>62.87</v>
      </c>
      <c r="H97" s="1087">
        <f>Deflators_original!F97</f>
        <v>8.9711286931681792E-3</v>
      </c>
      <c r="I97" s="1087">
        <f>Deflators_original!G97</f>
        <v>53.853999999999999</v>
      </c>
      <c r="J97" s="1087">
        <f>Deflators_original!H97</f>
        <v>5.1138484509145599E-3</v>
      </c>
      <c r="K97" s="1087">
        <f>Deflators_original!I97</f>
        <v>56.564999999999998</v>
      </c>
      <c r="L97" s="1087">
        <f>Deflators_original!J97</f>
        <v>4.6712372562254202E-3</v>
      </c>
    </row>
    <row r="98" spans="1:12" x14ac:dyDescent="0.3">
      <c r="A98" s="1085" t="str">
        <f>Deflators_original!K98</f>
        <v>1994 Q1</v>
      </c>
      <c r="B98" s="1085" t="str">
        <f>Deflators_original!L98</f>
        <v>historical</v>
      </c>
      <c r="C98" s="1087">
        <f>Deflators_original!A98</f>
        <v>69.807000000000002</v>
      </c>
      <c r="D98" s="1087">
        <f>Deflators_original!B98</f>
        <v>0</v>
      </c>
      <c r="E98" s="1087">
        <f>Deflators_original!C98</f>
        <v>69.567999999999998</v>
      </c>
      <c r="F98" s="1087">
        <f>Deflators_original!D98</f>
        <v>3.5776110790537402E-3</v>
      </c>
      <c r="G98" s="1087">
        <f>Deflators_original!E98</f>
        <v>63.158000000000001</v>
      </c>
      <c r="H98" s="1087">
        <f>Deflators_original!F98</f>
        <v>4.58088118339428E-3</v>
      </c>
      <c r="I98" s="1087">
        <f>Deflators_original!G98</f>
        <v>54.305</v>
      </c>
      <c r="J98" s="1087">
        <f>Deflators_original!H98</f>
        <v>8.3744940023024999E-3</v>
      </c>
      <c r="K98" s="1087">
        <f>Deflators_original!I98</f>
        <v>56.978000000000002</v>
      </c>
      <c r="L98" s="1087">
        <f>Deflators_original!J98</f>
        <v>7.3013347476356101E-3</v>
      </c>
    </row>
    <row r="99" spans="1:12" x14ac:dyDescent="0.3">
      <c r="A99" s="1085" t="str">
        <f>Deflators_original!K99</f>
        <v>1994 Q2</v>
      </c>
      <c r="B99" s="1085" t="str">
        <f>Deflators_original!L99</f>
        <v>historical</v>
      </c>
      <c r="C99" s="1087">
        <f>Deflators_original!A99</f>
        <v>70.14</v>
      </c>
      <c r="D99" s="1087">
        <f>Deflators_original!B99</f>
        <v>0</v>
      </c>
      <c r="E99" s="1087">
        <f>Deflators_original!C99</f>
        <v>69.956000000000003</v>
      </c>
      <c r="F99" s="1087">
        <f>Deflators_original!D99</f>
        <v>5.5772769089237296E-3</v>
      </c>
      <c r="G99" s="1087">
        <f>Deflators_original!E99</f>
        <v>63.688000000000002</v>
      </c>
      <c r="H99" s="1087">
        <f>Deflators_original!F99</f>
        <v>8.3916526805789503E-3</v>
      </c>
      <c r="I99" s="1087">
        <f>Deflators_original!G99</f>
        <v>54.621000000000002</v>
      </c>
      <c r="J99" s="1087">
        <f>Deflators_original!H99</f>
        <v>5.8189853604639899E-3</v>
      </c>
      <c r="K99" s="1087">
        <f>Deflators_original!I99</f>
        <v>57.225000000000001</v>
      </c>
      <c r="L99" s="1087">
        <f>Deflators_original!J99</f>
        <v>4.3350064937344203E-3</v>
      </c>
    </row>
    <row r="100" spans="1:12" x14ac:dyDescent="0.3">
      <c r="A100" s="1085" t="str">
        <f>Deflators_original!K100</f>
        <v>1994 Q3</v>
      </c>
      <c r="B100" s="1085" t="str">
        <f>Deflators_original!L100</f>
        <v>historical</v>
      </c>
      <c r="C100" s="1087">
        <f>Deflators_original!A100</f>
        <v>70.513999999999996</v>
      </c>
      <c r="D100" s="1087">
        <f>Deflators_original!B100</f>
        <v>0</v>
      </c>
      <c r="E100" s="1087">
        <f>Deflators_original!C100</f>
        <v>70.459000000000003</v>
      </c>
      <c r="F100" s="1087">
        <f>Deflators_original!D100</f>
        <v>7.1902338612841498E-3</v>
      </c>
      <c r="G100" s="1087">
        <f>Deflators_original!E100</f>
        <v>64.054000000000002</v>
      </c>
      <c r="H100" s="1087">
        <f>Deflators_original!F100</f>
        <v>5.7467654817233704E-3</v>
      </c>
      <c r="I100" s="1087">
        <f>Deflators_original!G100</f>
        <v>55.097999999999999</v>
      </c>
      <c r="J100" s="1087">
        <f>Deflators_original!H100</f>
        <v>8.7329049266764401E-3</v>
      </c>
      <c r="K100" s="1087">
        <f>Deflators_original!I100</f>
        <v>57.725999999999999</v>
      </c>
      <c r="L100" s="1087">
        <f>Deflators_original!J100</f>
        <v>8.7549148099605994E-3</v>
      </c>
    </row>
    <row r="101" spans="1:12" x14ac:dyDescent="0.3">
      <c r="A101" s="1085" t="str">
        <f>Deflators_original!K101</f>
        <v>1994 Q4</v>
      </c>
      <c r="B101" s="1085" t="str">
        <f>Deflators_original!L101</f>
        <v>historical</v>
      </c>
      <c r="C101" s="1087">
        <f>Deflators_original!A101</f>
        <v>70.906999999999996</v>
      </c>
      <c r="D101" s="1087">
        <f>Deflators_original!B101</f>
        <v>0</v>
      </c>
      <c r="E101" s="1087">
        <f>Deflators_original!C101</f>
        <v>70.789000000000001</v>
      </c>
      <c r="F101" s="1087">
        <f>Deflators_original!D101</f>
        <v>4.6835748449451896E-3</v>
      </c>
      <c r="G101" s="1087">
        <f>Deflators_original!E101</f>
        <v>64.58</v>
      </c>
      <c r="H101" s="1087">
        <f>Deflators_original!F101</f>
        <v>8.2118212757984494E-3</v>
      </c>
      <c r="I101" s="1087">
        <f>Deflators_original!G101</f>
        <v>55.569000000000003</v>
      </c>
      <c r="J101" s="1087">
        <f>Deflators_original!H101</f>
        <v>8.5484046607862095E-3</v>
      </c>
      <c r="K101" s="1087">
        <f>Deflators_original!I101</f>
        <v>58.207000000000001</v>
      </c>
      <c r="L101" s="1087">
        <f>Deflators_original!J101</f>
        <v>8.3324671725046907E-3</v>
      </c>
    </row>
    <row r="102" spans="1:12" x14ac:dyDescent="0.3">
      <c r="A102" s="1085" t="str">
        <f>Deflators_original!K102</f>
        <v>1995 Q1</v>
      </c>
      <c r="B102" s="1085" t="str">
        <f>Deflators_original!L102</f>
        <v>historical</v>
      </c>
      <c r="C102" s="1087">
        <f>Deflators_original!A102</f>
        <v>71.311000000000007</v>
      </c>
      <c r="D102" s="1087">
        <f>Deflators_original!B102</f>
        <v>0</v>
      </c>
      <c r="E102" s="1087">
        <f>Deflators_original!C102</f>
        <v>71.135999999999996</v>
      </c>
      <c r="F102" s="1087">
        <f>Deflators_original!D102</f>
        <v>4.9018915368206403E-3</v>
      </c>
      <c r="G102" s="1087">
        <f>Deflators_original!E102</f>
        <v>65.123999999999995</v>
      </c>
      <c r="H102" s="1087">
        <f>Deflators_original!F102</f>
        <v>8.4236605760297199E-3</v>
      </c>
      <c r="I102" s="1087">
        <f>Deflators_original!G102</f>
        <v>55.825000000000003</v>
      </c>
      <c r="J102" s="1087">
        <f>Deflators_original!H102</f>
        <v>4.6068851337977001E-3</v>
      </c>
      <c r="K102" s="1087">
        <f>Deflators_original!I102</f>
        <v>58.787999999999997</v>
      </c>
      <c r="L102" s="1087">
        <f>Deflators_original!J102</f>
        <v>9.9816173312487991E-3</v>
      </c>
    </row>
    <row r="103" spans="1:12" x14ac:dyDescent="0.3">
      <c r="A103" s="1085" t="str">
        <f>Deflators_original!K103</f>
        <v>1995 Q2</v>
      </c>
      <c r="B103" s="1085" t="str">
        <f>Deflators_original!L103</f>
        <v>historical</v>
      </c>
      <c r="C103" s="1087">
        <f>Deflators_original!A103</f>
        <v>71.661000000000001</v>
      </c>
      <c r="D103" s="1087">
        <f>Deflators_original!B103</f>
        <v>0</v>
      </c>
      <c r="E103" s="1087">
        <f>Deflators_original!C103</f>
        <v>71.549000000000007</v>
      </c>
      <c r="F103" s="1087">
        <f>Deflators_original!D103</f>
        <v>5.8057804768332196E-3</v>
      </c>
      <c r="G103" s="1087">
        <f>Deflators_original!E103</f>
        <v>65.558000000000007</v>
      </c>
      <c r="H103" s="1087">
        <f>Deflators_original!F103</f>
        <v>6.6642098151221702E-3</v>
      </c>
      <c r="I103" s="1087">
        <f>Deflators_original!G103</f>
        <v>56.253999999999998</v>
      </c>
      <c r="J103" s="1087">
        <f>Deflators_original!H103</f>
        <v>7.6847290640393896E-3</v>
      </c>
      <c r="K103" s="1087">
        <f>Deflators_original!I103</f>
        <v>59.207999999999998</v>
      </c>
      <c r="L103" s="1087">
        <f>Deflators_original!J103</f>
        <v>7.1443151663605998E-3</v>
      </c>
    </row>
    <row r="104" spans="1:12" x14ac:dyDescent="0.3">
      <c r="A104" s="1085" t="str">
        <f>Deflators_original!K104</f>
        <v>1995 Q3</v>
      </c>
      <c r="B104" s="1085" t="str">
        <f>Deflators_original!L104</f>
        <v>historical</v>
      </c>
      <c r="C104" s="1087">
        <f>Deflators_original!A104</f>
        <v>71.981999999999999</v>
      </c>
      <c r="D104" s="1087">
        <f>Deflators_original!B104</f>
        <v>0</v>
      </c>
      <c r="E104" s="1087">
        <f>Deflators_original!C104</f>
        <v>71.841999999999999</v>
      </c>
      <c r="F104" s="1087">
        <f>Deflators_original!D104</f>
        <v>4.0950956687024797E-3</v>
      </c>
      <c r="G104" s="1087">
        <f>Deflators_original!E104</f>
        <v>65.897000000000006</v>
      </c>
      <c r="H104" s="1087">
        <f>Deflators_original!F104</f>
        <v>5.1709936239665603E-3</v>
      </c>
      <c r="I104" s="1087">
        <f>Deflators_original!G104</f>
        <v>56.468000000000004</v>
      </c>
      <c r="J104" s="1087">
        <f>Deflators_original!H104</f>
        <v>3.8041739254097702E-3</v>
      </c>
      <c r="K104" s="1087">
        <f>Deflators_original!I104</f>
        <v>59.534999999999997</v>
      </c>
      <c r="L104" s="1087">
        <f>Deflators_original!J104</f>
        <v>5.5229023104985701E-3</v>
      </c>
    </row>
    <row r="105" spans="1:12" x14ac:dyDescent="0.3">
      <c r="A105" s="1085" t="str">
        <f>Deflators_original!K105</f>
        <v>1995 Q4</v>
      </c>
      <c r="B105" s="1085" t="str">
        <f>Deflators_original!L105</f>
        <v>historical</v>
      </c>
      <c r="C105" s="1087">
        <f>Deflators_original!A105</f>
        <v>72.322000000000003</v>
      </c>
      <c r="D105" s="1087">
        <f>Deflators_original!B105</f>
        <v>0</v>
      </c>
      <c r="E105" s="1087">
        <f>Deflators_original!C105</f>
        <v>72.158000000000001</v>
      </c>
      <c r="F105" s="1087">
        <f>Deflators_original!D105</f>
        <v>4.3985412432838702E-3</v>
      </c>
      <c r="G105" s="1087">
        <f>Deflators_original!E105</f>
        <v>66.807000000000002</v>
      </c>
      <c r="H105" s="1087">
        <f>Deflators_original!F105</f>
        <v>1.3809429867824E-2</v>
      </c>
      <c r="I105" s="1087">
        <f>Deflators_original!G105</f>
        <v>56.66</v>
      </c>
      <c r="J105" s="1087">
        <f>Deflators_original!H105</f>
        <v>3.4001558404759299E-3</v>
      </c>
      <c r="K105" s="1087">
        <f>Deflators_original!I105</f>
        <v>59.878</v>
      </c>
      <c r="L105" s="1087">
        <f>Deflators_original!J105</f>
        <v>5.7613168724279804E-3</v>
      </c>
    </row>
    <row r="106" spans="1:12" x14ac:dyDescent="0.3">
      <c r="A106" s="1085" t="str">
        <f>Deflators_original!K106</f>
        <v>1996 Q1</v>
      </c>
      <c r="B106" s="1085" t="str">
        <f>Deflators_original!L106</f>
        <v>historical</v>
      </c>
      <c r="C106" s="1087">
        <f>Deflators_original!A106</f>
        <v>72.655000000000001</v>
      </c>
      <c r="D106" s="1087">
        <f>Deflators_original!B106</f>
        <v>0</v>
      </c>
      <c r="E106" s="1087">
        <f>Deflators_original!C106</f>
        <v>72.558999999999997</v>
      </c>
      <c r="F106" s="1087">
        <f>Deflators_original!D106</f>
        <v>5.5572493694391297E-3</v>
      </c>
      <c r="G106" s="1087">
        <f>Deflators_original!E106</f>
        <v>66.963999999999999</v>
      </c>
      <c r="H106" s="1087">
        <f>Deflators_original!F106</f>
        <v>2.3500531381441801E-3</v>
      </c>
      <c r="I106" s="1087">
        <f>Deflators_original!G106</f>
        <v>57.283999999999999</v>
      </c>
      <c r="J106" s="1087">
        <f>Deflators_original!H106</f>
        <v>1.1013060360042499E-2</v>
      </c>
      <c r="K106" s="1087">
        <f>Deflators_original!I106</f>
        <v>60.198999999999998</v>
      </c>
      <c r="L106" s="1087">
        <f>Deflators_original!J106</f>
        <v>5.3609004976786804E-3</v>
      </c>
    </row>
    <row r="107" spans="1:12" x14ac:dyDescent="0.3">
      <c r="A107" s="1085" t="str">
        <f>Deflators_original!K107</f>
        <v>1996 Q2</v>
      </c>
      <c r="B107" s="1085" t="str">
        <f>Deflators_original!L107</f>
        <v>historical</v>
      </c>
      <c r="C107" s="1087">
        <f>Deflators_original!A107</f>
        <v>72.951999999999998</v>
      </c>
      <c r="D107" s="1087">
        <f>Deflators_original!B107</f>
        <v>0</v>
      </c>
      <c r="E107" s="1087">
        <f>Deflators_original!C107</f>
        <v>73.043999999999997</v>
      </c>
      <c r="F107" s="1087">
        <f>Deflators_original!D107</f>
        <v>6.6842156038533504E-3</v>
      </c>
      <c r="G107" s="1087">
        <f>Deflators_original!E107</f>
        <v>66.605000000000004</v>
      </c>
      <c r="H107" s="1087">
        <f>Deflators_original!F107</f>
        <v>-5.3610895406486199E-3</v>
      </c>
      <c r="I107" s="1087">
        <f>Deflators_original!G107</f>
        <v>57.366</v>
      </c>
      <c r="J107" s="1087">
        <f>Deflators_original!H107</f>
        <v>1.4314642832204999E-3</v>
      </c>
      <c r="K107" s="1087">
        <f>Deflators_original!I107</f>
        <v>60.265999999999998</v>
      </c>
      <c r="L107" s="1087">
        <f>Deflators_original!J107</f>
        <v>1.1129752985929999E-3</v>
      </c>
    </row>
    <row r="108" spans="1:12" x14ac:dyDescent="0.3">
      <c r="A108" s="1085" t="str">
        <f>Deflators_original!K108</f>
        <v>1996 Q3</v>
      </c>
      <c r="B108" s="1085" t="str">
        <f>Deflators_original!L108</f>
        <v>historical</v>
      </c>
      <c r="C108" s="1087">
        <f>Deflators_original!A108</f>
        <v>73.305999999999997</v>
      </c>
      <c r="D108" s="1087">
        <f>Deflators_original!B108</f>
        <v>0</v>
      </c>
      <c r="E108" s="1087">
        <f>Deflators_original!C108</f>
        <v>73.355999999999995</v>
      </c>
      <c r="F108" s="1087">
        <f>Deflators_original!D108</f>
        <v>4.2713980614423903E-3</v>
      </c>
      <c r="G108" s="1087">
        <f>Deflators_original!E108</f>
        <v>66.992000000000004</v>
      </c>
      <c r="H108" s="1087">
        <f>Deflators_original!F108</f>
        <v>5.8103745965016902E-3</v>
      </c>
      <c r="I108" s="1087">
        <f>Deflators_original!G108</f>
        <v>57.746000000000002</v>
      </c>
      <c r="J108" s="1087">
        <f>Deflators_original!H108</f>
        <v>6.62413276156615E-3</v>
      </c>
      <c r="K108" s="1087">
        <f>Deflators_original!I108</f>
        <v>60.564999999999998</v>
      </c>
      <c r="L108" s="1087">
        <f>Deflators_original!J108</f>
        <v>4.9613380678989998E-3</v>
      </c>
    </row>
    <row r="109" spans="1:12" x14ac:dyDescent="0.3">
      <c r="A109" s="1085" t="str">
        <f>Deflators_original!K109</f>
        <v>1996 Q4</v>
      </c>
      <c r="B109" s="1085" t="str">
        <f>Deflators_original!L109</f>
        <v>historical</v>
      </c>
      <c r="C109" s="1087">
        <f>Deflators_original!A109</f>
        <v>73.616</v>
      </c>
      <c r="D109" s="1087">
        <f>Deflators_original!B109</f>
        <v>0</v>
      </c>
      <c r="E109" s="1087">
        <f>Deflators_original!C109</f>
        <v>73.855999999999995</v>
      </c>
      <c r="F109" s="1087">
        <f>Deflators_original!D109</f>
        <v>6.8160750313539503E-3</v>
      </c>
      <c r="G109" s="1087">
        <f>Deflators_original!E109</f>
        <v>67.221999999999994</v>
      </c>
      <c r="H109" s="1087">
        <f>Deflators_original!F109</f>
        <v>3.4332457606875998E-3</v>
      </c>
      <c r="I109" s="1087">
        <f>Deflators_original!G109</f>
        <v>58.213999999999999</v>
      </c>
      <c r="J109" s="1087">
        <f>Deflators_original!H109</f>
        <v>8.1044574515982699E-3</v>
      </c>
      <c r="K109" s="1087">
        <f>Deflators_original!I109</f>
        <v>60.761000000000003</v>
      </c>
      <c r="L109" s="1087">
        <f>Deflators_original!J109</f>
        <v>3.2361925204327201E-3</v>
      </c>
    </row>
    <row r="110" spans="1:12" x14ac:dyDescent="0.3">
      <c r="A110" s="1085" t="str">
        <f>Deflators_original!K110</f>
        <v>1997 Q1</v>
      </c>
      <c r="B110" s="1085" t="str">
        <f>Deflators_original!L110</f>
        <v>historical</v>
      </c>
      <c r="C110" s="1087">
        <f>Deflators_original!A110</f>
        <v>73.945999999999998</v>
      </c>
      <c r="D110" s="1087">
        <f>Deflators_original!B110</f>
        <v>0</v>
      </c>
      <c r="E110" s="1087">
        <f>Deflators_original!C110</f>
        <v>74.182000000000002</v>
      </c>
      <c r="F110" s="1087">
        <f>Deflators_original!D110</f>
        <v>4.4139948006933797E-3</v>
      </c>
      <c r="G110" s="1087">
        <f>Deflators_original!E110</f>
        <v>67.450999999999993</v>
      </c>
      <c r="H110" s="1087">
        <f>Deflators_original!F110</f>
        <v>3.40662283181103E-3</v>
      </c>
      <c r="I110" s="1087">
        <f>Deflators_original!G110</f>
        <v>58.613</v>
      </c>
      <c r="J110" s="1087">
        <f>Deflators_original!H110</f>
        <v>6.8540213694301402E-3</v>
      </c>
      <c r="K110" s="1087">
        <f>Deflators_original!I110</f>
        <v>61.103999999999999</v>
      </c>
      <c r="L110" s="1087">
        <f>Deflators_original!J110</f>
        <v>5.6450683826796402E-3</v>
      </c>
    </row>
    <row r="111" spans="1:12" x14ac:dyDescent="0.3">
      <c r="A111" s="1085" t="str">
        <f>Deflators_original!K111</f>
        <v>1997 Q2</v>
      </c>
      <c r="B111" s="1085" t="str">
        <f>Deflators_original!L111</f>
        <v>historical</v>
      </c>
      <c r="C111" s="1087">
        <f>Deflators_original!A111</f>
        <v>74.313999999999993</v>
      </c>
      <c r="D111" s="1087">
        <f>Deflators_original!B111</f>
        <v>0</v>
      </c>
      <c r="E111" s="1087">
        <f>Deflators_original!C111</f>
        <v>74.367999999999995</v>
      </c>
      <c r="F111" s="1087">
        <f>Deflators_original!D111</f>
        <v>2.50734679571862E-3</v>
      </c>
      <c r="G111" s="1087">
        <f>Deflators_original!E111</f>
        <v>67.894999999999996</v>
      </c>
      <c r="H111" s="1087">
        <f>Deflators_original!F111</f>
        <v>6.5825562260011204E-3</v>
      </c>
      <c r="I111" s="1087">
        <f>Deflators_original!G111</f>
        <v>58.753</v>
      </c>
      <c r="J111" s="1087">
        <f>Deflators_original!H111</f>
        <v>2.3885486154948698E-3</v>
      </c>
      <c r="K111" s="1087">
        <f>Deflators_original!I111</f>
        <v>61.521000000000001</v>
      </c>
      <c r="L111" s="1087">
        <f>Deflators_original!J111</f>
        <v>6.8244304791831301E-3</v>
      </c>
    </row>
    <row r="112" spans="1:12" x14ac:dyDescent="0.3">
      <c r="A112" s="1085" t="str">
        <f>Deflators_original!K112</f>
        <v>1997 Q3</v>
      </c>
      <c r="B112" s="1085" t="str">
        <f>Deflators_original!L112</f>
        <v>historical</v>
      </c>
      <c r="C112" s="1087">
        <f>Deflators_original!A112</f>
        <v>74.534999999999997</v>
      </c>
      <c r="D112" s="1087">
        <f>Deflators_original!B112</f>
        <v>0</v>
      </c>
      <c r="E112" s="1087">
        <f>Deflators_original!C112</f>
        <v>74.563999999999993</v>
      </c>
      <c r="F112" s="1087">
        <f>Deflators_original!D112</f>
        <v>2.6355421686745698E-3</v>
      </c>
      <c r="G112" s="1087">
        <f>Deflators_original!E112</f>
        <v>68.051000000000002</v>
      </c>
      <c r="H112" s="1087">
        <f>Deflators_original!F112</f>
        <v>2.29766551292454E-3</v>
      </c>
      <c r="I112" s="1087">
        <f>Deflators_original!G112</f>
        <v>59.033999999999999</v>
      </c>
      <c r="J112" s="1087">
        <f>Deflators_original!H112</f>
        <v>4.7827344986639498E-3</v>
      </c>
      <c r="K112" s="1087">
        <f>Deflators_original!I112</f>
        <v>61.677</v>
      </c>
      <c r="L112" s="1087">
        <f>Deflators_original!J112</f>
        <v>2.5357195104109801E-3</v>
      </c>
    </row>
    <row r="113" spans="1:12" x14ac:dyDescent="0.3">
      <c r="A113" s="1085" t="str">
        <f>Deflators_original!K113</f>
        <v>1997 Q4</v>
      </c>
      <c r="B113" s="1085" t="str">
        <f>Deflators_original!L113</f>
        <v>historical</v>
      </c>
      <c r="C113" s="1087">
        <f>Deflators_original!A113</f>
        <v>74.802000000000007</v>
      </c>
      <c r="D113" s="1087">
        <f>Deflators_original!B113</f>
        <v>0</v>
      </c>
      <c r="E113" s="1087">
        <f>Deflators_original!C113</f>
        <v>74.798000000000002</v>
      </c>
      <c r="F113" s="1087">
        <f>Deflators_original!D113</f>
        <v>3.1382436564562099E-3</v>
      </c>
      <c r="G113" s="1087">
        <f>Deflators_original!E113</f>
        <v>68.528000000000006</v>
      </c>
      <c r="H113" s="1087">
        <f>Deflators_original!F113</f>
        <v>7.0094487957561603E-3</v>
      </c>
      <c r="I113" s="1087">
        <f>Deflators_original!G113</f>
        <v>59.515999999999998</v>
      </c>
      <c r="J113" s="1087">
        <f>Deflators_original!H113</f>
        <v>8.1647863942813093E-3</v>
      </c>
      <c r="K113" s="1087">
        <f>Deflators_original!I113</f>
        <v>62.073999999999998</v>
      </c>
      <c r="L113" s="1087">
        <f>Deflators_original!J113</f>
        <v>6.4367592457479396E-3</v>
      </c>
    </row>
    <row r="114" spans="1:12" x14ac:dyDescent="0.3">
      <c r="A114" s="1085" t="str">
        <f>Deflators_original!K114</f>
        <v>1998 Q1</v>
      </c>
      <c r="B114" s="1085" t="str">
        <f>Deflators_original!L114</f>
        <v>historical</v>
      </c>
      <c r="C114" s="1087">
        <f>Deflators_original!A114</f>
        <v>74.878</v>
      </c>
      <c r="D114" s="1087">
        <f>Deflators_original!B114</f>
        <v>0</v>
      </c>
      <c r="E114" s="1087">
        <f>Deflators_original!C114</f>
        <v>74.804000000000002</v>
      </c>
      <c r="F114" s="1087">
        <f>Deflators_original!D114</f>
        <v>8.0216048557346694E-5</v>
      </c>
      <c r="G114" s="1087">
        <f>Deflators_original!E114</f>
        <v>68.241</v>
      </c>
      <c r="H114" s="1087">
        <f>Deflators_original!F114</f>
        <v>-4.1880691104366798E-3</v>
      </c>
      <c r="I114" s="1087">
        <f>Deflators_original!G114</f>
        <v>59.61</v>
      </c>
      <c r="J114" s="1087">
        <f>Deflators_original!H114</f>
        <v>1.57940721822714E-3</v>
      </c>
      <c r="K114" s="1087">
        <f>Deflators_original!I114</f>
        <v>62.094999999999999</v>
      </c>
      <c r="L114" s="1087">
        <f>Deflators_original!J114</f>
        <v>3.3830589296646201E-4</v>
      </c>
    </row>
    <row r="115" spans="1:12" x14ac:dyDescent="0.3">
      <c r="A115" s="1085" t="str">
        <f>Deflators_original!K115</f>
        <v>1998 Q2</v>
      </c>
      <c r="B115" s="1085" t="str">
        <f>Deflators_original!L115</f>
        <v>historical</v>
      </c>
      <c r="C115" s="1087">
        <f>Deflators_original!A115</f>
        <v>75.072000000000003</v>
      </c>
      <c r="D115" s="1087">
        <f>Deflators_original!B115</f>
        <v>0</v>
      </c>
      <c r="E115" s="1087">
        <f>Deflators_original!C115</f>
        <v>74.938999999999993</v>
      </c>
      <c r="F115" s="1087">
        <f>Deflators_original!D115</f>
        <v>1.80471632533008E-3</v>
      </c>
      <c r="G115" s="1087">
        <f>Deflators_original!E115</f>
        <v>68.680000000000007</v>
      </c>
      <c r="H115" s="1087">
        <f>Deflators_original!F115</f>
        <v>6.4330827508389801E-3</v>
      </c>
      <c r="I115" s="1087">
        <f>Deflators_original!G115</f>
        <v>59.927</v>
      </c>
      <c r="J115" s="1087">
        <f>Deflators_original!H115</f>
        <v>5.3178996812615099E-3</v>
      </c>
      <c r="K115" s="1087">
        <f>Deflators_original!I115</f>
        <v>62.134</v>
      </c>
      <c r="L115" s="1087">
        <f>Deflators_original!J115</f>
        <v>6.2806989290598004E-4</v>
      </c>
    </row>
    <row r="116" spans="1:12" x14ac:dyDescent="0.3">
      <c r="A116" s="1085" t="str">
        <f>Deflators_original!K116</f>
        <v>1998 Q3</v>
      </c>
      <c r="B116" s="1085" t="str">
        <f>Deflators_original!L116</f>
        <v>historical</v>
      </c>
      <c r="C116" s="1087">
        <f>Deflators_original!A116</f>
        <v>75.363</v>
      </c>
      <c r="D116" s="1087">
        <f>Deflators_original!B116</f>
        <v>0</v>
      </c>
      <c r="E116" s="1087">
        <f>Deflators_original!C116</f>
        <v>75.17</v>
      </c>
      <c r="F116" s="1087">
        <f>Deflators_original!D116</f>
        <v>3.0825071057794E-3</v>
      </c>
      <c r="G116" s="1087">
        <f>Deflators_original!E116</f>
        <v>69.129000000000005</v>
      </c>
      <c r="H116" s="1087">
        <f>Deflators_original!F116</f>
        <v>6.5375655212580597E-3</v>
      </c>
      <c r="I116" s="1087">
        <f>Deflators_original!G116</f>
        <v>60.395000000000003</v>
      </c>
      <c r="J116" s="1087">
        <f>Deflators_original!H116</f>
        <v>7.8095015602317498E-3</v>
      </c>
      <c r="K116" s="1087">
        <f>Deflators_original!I116</f>
        <v>62.517000000000003</v>
      </c>
      <c r="L116" s="1087">
        <f>Deflators_original!J116</f>
        <v>6.1640969517495802E-3</v>
      </c>
    </row>
    <row r="117" spans="1:12" x14ac:dyDescent="0.3">
      <c r="A117" s="1085" t="str">
        <f>Deflators_original!K117</f>
        <v>1998 Q4</v>
      </c>
      <c r="B117" s="1085" t="str">
        <f>Deflators_original!L117</f>
        <v>historical</v>
      </c>
      <c r="C117" s="1087">
        <f>Deflators_original!A117</f>
        <v>75.564999999999998</v>
      </c>
      <c r="D117" s="1087">
        <f>Deflators_original!B117</f>
        <v>0</v>
      </c>
      <c r="E117" s="1087">
        <f>Deflators_original!C117</f>
        <v>75.369</v>
      </c>
      <c r="F117" s="1087">
        <f>Deflators_original!D117</f>
        <v>2.6473327125182702E-3</v>
      </c>
      <c r="G117" s="1087">
        <f>Deflators_original!E117</f>
        <v>69.350999999999999</v>
      </c>
      <c r="H117" s="1087">
        <f>Deflators_original!F117</f>
        <v>3.2113874061536801E-3</v>
      </c>
      <c r="I117" s="1087">
        <f>Deflators_original!G117</f>
        <v>60.939</v>
      </c>
      <c r="J117" s="1087">
        <f>Deflators_original!H117</f>
        <v>9.0073681596158899E-3</v>
      </c>
      <c r="K117" s="1087">
        <f>Deflators_original!I117</f>
        <v>62.87</v>
      </c>
      <c r="L117" s="1087">
        <f>Deflators_original!J117</f>
        <v>5.6464641617479704E-3</v>
      </c>
    </row>
    <row r="118" spans="1:12" x14ac:dyDescent="0.3">
      <c r="A118" s="1085" t="str">
        <f>Deflators_original!K118</f>
        <v>1999 Q1</v>
      </c>
      <c r="B118" s="1085" t="str">
        <f>Deflators_original!L118</f>
        <v>historical</v>
      </c>
      <c r="C118" s="1087">
        <f>Deflators_original!A118</f>
        <v>75.769000000000005</v>
      </c>
      <c r="D118" s="1087">
        <f>Deflators_original!B118</f>
        <v>0</v>
      </c>
      <c r="E118" s="1087">
        <f>Deflators_original!C118</f>
        <v>75.516999999999996</v>
      </c>
      <c r="F118" s="1087">
        <f>Deflators_original!D118</f>
        <v>1.9636720667648398E-3</v>
      </c>
      <c r="G118" s="1087">
        <f>Deflators_original!E118</f>
        <v>69.557000000000002</v>
      </c>
      <c r="H118" s="1087">
        <f>Deflators_original!F118</f>
        <v>2.9703969661576402E-3</v>
      </c>
      <c r="I118" s="1087">
        <f>Deflators_original!G118</f>
        <v>61.46</v>
      </c>
      <c r="J118" s="1087">
        <f>Deflators_original!H118</f>
        <v>8.5495331396971998E-3</v>
      </c>
      <c r="K118" s="1087">
        <f>Deflators_original!I118</f>
        <v>63.122</v>
      </c>
      <c r="L118" s="1087">
        <f>Deflators_original!J118</f>
        <v>4.0082710354700799E-3</v>
      </c>
    </row>
    <row r="119" spans="1:12" x14ac:dyDescent="0.3">
      <c r="A119" s="1085" t="str">
        <f>Deflators_original!K119</f>
        <v>1999 Q2</v>
      </c>
      <c r="B119" s="1085" t="str">
        <f>Deflators_original!L119</f>
        <v>historical</v>
      </c>
      <c r="C119" s="1087">
        <f>Deflators_original!A119</f>
        <v>76.111999999999995</v>
      </c>
      <c r="D119" s="1087">
        <f>Deflators_original!B119</f>
        <v>0</v>
      </c>
      <c r="E119" s="1087">
        <f>Deflators_original!C119</f>
        <v>75.947000000000003</v>
      </c>
      <c r="F119" s="1087">
        <f>Deflators_original!D119</f>
        <v>5.6940821272031296E-3</v>
      </c>
      <c r="G119" s="1087">
        <f>Deflators_original!E119</f>
        <v>70.141999999999996</v>
      </c>
      <c r="H119" s="1087">
        <f>Deflators_original!F119</f>
        <v>8.4103684747760497E-3</v>
      </c>
      <c r="I119" s="1087">
        <f>Deflators_original!G119</f>
        <v>62.381999999999998</v>
      </c>
      <c r="J119" s="1087">
        <f>Deflators_original!H119</f>
        <v>1.5001627074519901E-2</v>
      </c>
      <c r="K119" s="1087">
        <f>Deflators_original!I119</f>
        <v>63.59</v>
      </c>
      <c r="L119" s="1087">
        <f>Deflators_original!J119</f>
        <v>7.4142137448116596E-3</v>
      </c>
    </row>
    <row r="120" spans="1:12" x14ac:dyDescent="0.3">
      <c r="A120" s="1085" t="str">
        <f>Deflators_original!K120</f>
        <v>1999 Q3</v>
      </c>
      <c r="B120" s="1085" t="str">
        <f>Deflators_original!L120</f>
        <v>historical</v>
      </c>
      <c r="C120" s="1087">
        <f>Deflators_original!A120</f>
        <v>76.403999999999996</v>
      </c>
      <c r="D120" s="1087">
        <f>Deflators_original!B120</f>
        <v>0</v>
      </c>
      <c r="E120" s="1087">
        <f>Deflators_original!C120</f>
        <v>76.364999999999995</v>
      </c>
      <c r="F120" s="1087">
        <f>Deflators_original!D120</f>
        <v>5.5038382029572999E-3</v>
      </c>
      <c r="G120" s="1087">
        <f>Deflators_original!E120</f>
        <v>70.778999999999996</v>
      </c>
      <c r="H120" s="1087">
        <f>Deflators_original!F120</f>
        <v>9.0815773716175201E-3</v>
      </c>
      <c r="I120" s="1087">
        <f>Deflators_original!G120</f>
        <v>63.246000000000002</v>
      </c>
      <c r="J120" s="1087">
        <f>Deflators_original!H120</f>
        <v>1.3850149081466E-2</v>
      </c>
      <c r="K120" s="1087">
        <f>Deflators_original!I120</f>
        <v>63.857999999999997</v>
      </c>
      <c r="L120" s="1087">
        <f>Deflators_original!J120</f>
        <v>4.2144991350840898E-3</v>
      </c>
    </row>
    <row r="121" spans="1:12" x14ac:dyDescent="0.3">
      <c r="A121" s="1085" t="str">
        <f>Deflators_original!K121</f>
        <v>1999 Q4</v>
      </c>
      <c r="B121" s="1085" t="str">
        <f>Deflators_original!L121</f>
        <v>historical</v>
      </c>
      <c r="C121" s="1087">
        <f>Deflators_original!A121</f>
        <v>76.805999999999997</v>
      </c>
      <c r="D121" s="1087">
        <f>Deflators_original!B121</f>
        <v>0</v>
      </c>
      <c r="E121" s="1087">
        <f>Deflators_original!C121</f>
        <v>76.828000000000003</v>
      </c>
      <c r="F121" s="1087">
        <f>Deflators_original!D121</f>
        <v>6.06298697047092E-3</v>
      </c>
      <c r="G121" s="1087">
        <f>Deflators_original!E121</f>
        <v>71.649000000000001</v>
      </c>
      <c r="H121" s="1087">
        <f>Deflators_original!F121</f>
        <v>1.22917814606027E-2</v>
      </c>
      <c r="I121" s="1087">
        <f>Deflators_original!G121</f>
        <v>64.018000000000001</v>
      </c>
      <c r="J121" s="1087">
        <f>Deflators_original!H121</f>
        <v>1.2206305537109099E-2</v>
      </c>
      <c r="K121" s="1087">
        <f>Deflators_original!I121</f>
        <v>64.402000000000001</v>
      </c>
      <c r="L121" s="1087">
        <f>Deflators_original!J121</f>
        <v>8.5189013122866104E-3</v>
      </c>
    </row>
    <row r="122" spans="1:12" x14ac:dyDescent="0.3">
      <c r="A122" s="1085" t="str">
        <f>Deflators_original!K122</f>
        <v>2000 Q1</v>
      </c>
      <c r="B122" s="1085" t="str">
        <f>Deflators_original!L122</f>
        <v>historical</v>
      </c>
      <c r="C122" s="1087">
        <f>Deflators_original!A122</f>
        <v>77.317999999999998</v>
      </c>
      <c r="D122" s="1087">
        <f>Deflators_original!B122</f>
        <v>0</v>
      </c>
      <c r="E122" s="1087">
        <f>Deflators_original!C122</f>
        <v>77.451999999999998</v>
      </c>
      <c r="F122" s="1087">
        <f>Deflators_original!D122</f>
        <v>8.1220388400062796E-3</v>
      </c>
      <c r="G122" s="1087">
        <f>Deflators_original!E122</f>
        <v>72.346999999999994</v>
      </c>
      <c r="H122" s="1087">
        <f>Deflators_original!F122</f>
        <v>9.7419363843178602E-3</v>
      </c>
      <c r="I122" s="1087">
        <f>Deflators_original!G122</f>
        <v>64.912000000000006</v>
      </c>
      <c r="J122" s="1087">
        <f>Deflators_original!H122</f>
        <v>1.3964822393701899E-2</v>
      </c>
      <c r="K122" s="1087">
        <f>Deflators_original!I122</f>
        <v>64.912000000000006</v>
      </c>
      <c r="L122" s="1087">
        <f>Deflators_original!J122</f>
        <v>7.9190087264371396E-3</v>
      </c>
    </row>
    <row r="123" spans="1:12" x14ac:dyDescent="0.3">
      <c r="A123" s="1085" t="str">
        <f>Deflators_original!K123</f>
        <v>2000 Q2</v>
      </c>
      <c r="B123" s="1085" t="str">
        <f>Deflators_original!L123</f>
        <v>historical</v>
      </c>
      <c r="C123" s="1087">
        <f>Deflators_original!A123</f>
        <v>77.783000000000001</v>
      </c>
      <c r="D123" s="1087">
        <f>Deflators_original!B123</f>
        <v>0</v>
      </c>
      <c r="E123" s="1087">
        <f>Deflators_original!C123</f>
        <v>77.820999999999998</v>
      </c>
      <c r="F123" s="1087">
        <f>Deflators_original!D123</f>
        <v>4.7642410783452797E-3</v>
      </c>
      <c r="G123" s="1087">
        <f>Deflators_original!E123</f>
        <v>72.625</v>
      </c>
      <c r="H123" s="1087">
        <f>Deflators_original!F123</f>
        <v>3.84259195267256E-3</v>
      </c>
      <c r="I123" s="1087">
        <f>Deflators_original!G123</f>
        <v>65.59</v>
      </c>
      <c r="J123" s="1087">
        <f>Deflators_original!H123</f>
        <v>1.0444910032043399E-2</v>
      </c>
      <c r="K123" s="1087">
        <f>Deflators_original!I123</f>
        <v>65.650999999999996</v>
      </c>
      <c r="L123" s="1087">
        <f>Deflators_original!J123</f>
        <v>1.13846438254868E-2</v>
      </c>
    </row>
    <row r="124" spans="1:12" x14ac:dyDescent="0.3">
      <c r="A124" s="1085" t="str">
        <f>Deflators_original!K124</f>
        <v>2000 Q3</v>
      </c>
      <c r="B124" s="1085" t="str">
        <f>Deflators_original!L124</f>
        <v>historical</v>
      </c>
      <c r="C124" s="1087">
        <f>Deflators_original!A124</f>
        <v>78.27</v>
      </c>
      <c r="D124" s="1087">
        <f>Deflators_original!B124</f>
        <v>0</v>
      </c>
      <c r="E124" s="1087">
        <f>Deflators_original!C124</f>
        <v>78.322999999999993</v>
      </c>
      <c r="F124" s="1087">
        <f>Deflators_original!D124</f>
        <v>6.4507009676051403E-3</v>
      </c>
      <c r="G124" s="1087">
        <f>Deflators_original!E124</f>
        <v>73.144999999999996</v>
      </c>
      <c r="H124" s="1087">
        <f>Deflators_original!F124</f>
        <v>7.16006884681586E-3</v>
      </c>
      <c r="I124" s="1087">
        <f>Deflators_original!G124</f>
        <v>66.358999999999995</v>
      </c>
      <c r="J124" s="1087">
        <f>Deflators_original!H124</f>
        <v>1.1724348223814501E-2</v>
      </c>
      <c r="K124" s="1087">
        <f>Deflators_original!I124</f>
        <v>66.081000000000003</v>
      </c>
      <c r="L124" s="1087">
        <f>Deflators_original!J124</f>
        <v>6.5497859895509202E-3</v>
      </c>
    </row>
    <row r="125" spans="1:12" x14ac:dyDescent="0.3">
      <c r="A125" s="1085" t="str">
        <f>Deflators_original!K125</f>
        <v>2000 Q4</v>
      </c>
      <c r="B125" s="1085" t="str">
        <f>Deflators_original!L125</f>
        <v>historical</v>
      </c>
      <c r="C125" s="1087">
        <f>Deflators_original!A125</f>
        <v>78.694000000000003</v>
      </c>
      <c r="D125" s="1087">
        <f>Deflators_original!B125</f>
        <v>0</v>
      </c>
      <c r="E125" s="1087">
        <f>Deflators_original!C125</f>
        <v>78.766000000000005</v>
      </c>
      <c r="F125" s="1087">
        <f>Deflators_original!D125</f>
        <v>5.6560652681845198E-3</v>
      </c>
      <c r="G125" s="1087">
        <f>Deflators_original!E125</f>
        <v>73.475999999999999</v>
      </c>
      <c r="H125" s="1087">
        <f>Deflators_original!F125</f>
        <v>4.5252580490806604E-3</v>
      </c>
      <c r="I125" s="1087">
        <f>Deflators_original!G125</f>
        <v>67.293000000000006</v>
      </c>
      <c r="J125" s="1087">
        <f>Deflators_original!H125</f>
        <v>1.40749559215783E-2</v>
      </c>
      <c r="K125" s="1087">
        <f>Deflators_original!I125</f>
        <v>66.47</v>
      </c>
      <c r="L125" s="1087">
        <f>Deflators_original!J125</f>
        <v>5.8867147894250396E-3</v>
      </c>
    </row>
    <row r="126" spans="1:12" x14ac:dyDescent="0.3">
      <c r="A126" s="1085" t="str">
        <f>Deflators_original!K126</f>
        <v>2001 Q1</v>
      </c>
      <c r="B126" s="1085" t="str">
        <f>Deflators_original!L126</f>
        <v>historical</v>
      </c>
      <c r="C126" s="1087">
        <f>Deflators_original!A126</f>
        <v>79.233000000000004</v>
      </c>
      <c r="D126" s="1087">
        <f>Deflators_original!B126</f>
        <v>0</v>
      </c>
      <c r="E126" s="1087">
        <f>Deflators_original!C126</f>
        <v>79.349000000000004</v>
      </c>
      <c r="F126" s="1087">
        <f>Deflators_original!D126</f>
        <v>7.4016707716526601E-3</v>
      </c>
      <c r="G126" s="1087">
        <f>Deflators_original!E126</f>
        <v>73.600999999999999</v>
      </c>
      <c r="H126" s="1087">
        <f>Deflators_original!F126</f>
        <v>1.7012357776688999E-3</v>
      </c>
      <c r="I126" s="1087">
        <f>Deflators_original!G126</f>
        <v>68.191000000000003</v>
      </c>
      <c r="J126" s="1087">
        <f>Deflators_original!H126</f>
        <v>1.33446272272004E-2</v>
      </c>
      <c r="K126" s="1087">
        <f>Deflators_original!I126</f>
        <v>66.88</v>
      </c>
      <c r="L126" s="1087">
        <f>Deflators_original!J126</f>
        <v>6.16819617872721E-3</v>
      </c>
    </row>
    <row r="127" spans="1:12" x14ac:dyDescent="0.3">
      <c r="A127" s="1085" t="str">
        <f>Deflators_original!K127</f>
        <v>2001 Q2</v>
      </c>
      <c r="B127" s="1085" t="str">
        <f>Deflators_original!L127</f>
        <v>historical</v>
      </c>
      <c r="C127" s="1087">
        <f>Deflators_original!A127</f>
        <v>79.760999999999996</v>
      </c>
      <c r="D127" s="1087">
        <f>Deflators_original!B127</f>
        <v>0</v>
      </c>
      <c r="E127" s="1087">
        <f>Deflators_original!C127</f>
        <v>79.721000000000004</v>
      </c>
      <c r="F127" s="1087">
        <f>Deflators_original!D127</f>
        <v>4.6881498191533302E-3</v>
      </c>
      <c r="G127" s="1087">
        <f>Deflators_original!E127</f>
        <v>73.988</v>
      </c>
      <c r="H127" s="1087">
        <f>Deflators_original!F127</f>
        <v>5.2580807325988098E-3</v>
      </c>
      <c r="I127" s="1087">
        <f>Deflators_original!G127</f>
        <v>68.48</v>
      </c>
      <c r="J127" s="1087">
        <f>Deflators_original!H127</f>
        <v>4.2380959364138899E-3</v>
      </c>
      <c r="K127" s="1087">
        <f>Deflators_original!I127</f>
        <v>67.052000000000007</v>
      </c>
      <c r="L127" s="1087">
        <f>Deflators_original!J127</f>
        <v>2.5717703349283898E-3</v>
      </c>
    </row>
    <row r="128" spans="1:12" x14ac:dyDescent="0.3">
      <c r="A128" s="1085" t="str">
        <f>Deflators_original!K128</f>
        <v>2001 Q3</v>
      </c>
      <c r="B128" s="1085" t="str">
        <f>Deflators_original!L128</f>
        <v>historical</v>
      </c>
      <c r="C128" s="1087">
        <f>Deflators_original!A128</f>
        <v>80.003</v>
      </c>
      <c r="D128" s="1087">
        <f>Deflators_original!B128</f>
        <v>0</v>
      </c>
      <c r="E128" s="1087">
        <f>Deflators_original!C128</f>
        <v>79.760999999999996</v>
      </c>
      <c r="F128" s="1087">
        <f>Deflators_original!D128</f>
        <v>5.0174985261097803E-4</v>
      </c>
      <c r="G128" s="1087">
        <f>Deflators_original!E128</f>
        <v>74.462000000000003</v>
      </c>
      <c r="H128" s="1087">
        <f>Deflators_original!F128</f>
        <v>6.4064442882629802E-3</v>
      </c>
      <c r="I128" s="1087">
        <f>Deflators_original!G128</f>
        <v>68.652000000000001</v>
      </c>
      <c r="J128" s="1087">
        <f>Deflators_original!H128</f>
        <v>2.5116822429906999E-3</v>
      </c>
      <c r="K128" s="1087">
        <f>Deflators_original!I128</f>
        <v>67.262</v>
      </c>
      <c r="L128" s="1087">
        <f>Deflators_original!J128</f>
        <v>3.1318976316887502E-3</v>
      </c>
    </row>
    <row r="129" spans="1:12" x14ac:dyDescent="0.3">
      <c r="A129" s="1085" t="str">
        <f>Deflators_original!K129</f>
        <v>2001 Q4</v>
      </c>
      <c r="B129" s="1085" t="str">
        <f>Deflators_original!L129</f>
        <v>historical</v>
      </c>
      <c r="C129" s="1087">
        <f>Deflators_original!A129</f>
        <v>80.260999999999996</v>
      </c>
      <c r="D129" s="1087">
        <f>Deflators_original!B129</f>
        <v>0</v>
      </c>
      <c r="E129" s="1087">
        <f>Deflators_original!C129</f>
        <v>79.793999999999997</v>
      </c>
      <c r="F129" s="1087">
        <f>Deflators_original!D129</f>
        <v>4.1373603640870699E-4</v>
      </c>
      <c r="G129" s="1087">
        <f>Deflators_original!E129</f>
        <v>74.944000000000003</v>
      </c>
      <c r="H129" s="1087">
        <f>Deflators_original!F129</f>
        <v>6.4731003733446996E-3</v>
      </c>
      <c r="I129" s="1087">
        <f>Deflators_original!G129</f>
        <v>68.728999999999999</v>
      </c>
      <c r="J129" s="1087">
        <f>Deflators_original!H129</f>
        <v>1.1215987880905901E-3</v>
      </c>
      <c r="K129" s="1087">
        <f>Deflators_original!I129</f>
        <v>67.623000000000005</v>
      </c>
      <c r="L129" s="1087">
        <f>Deflators_original!J129</f>
        <v>5.3670720466236803E-3</v>
      </c>
    </row>
    <row r="130" spans="1:12" x14ac:dyDescent="0.3">
      <c r="A130" s="1085" t="str">
        <f>Deflators_original!K130</f>
        <v>2002 Q1</v>
      </c>
      <c r="B130" s="1085" t="str">
        <f>Deflators_original!L130</f>
        <v>historical</v>
      </c>
      <c r="C130" s="1087">
        <f>Deflators_original!A130</f>
        <v>80.474999999999994</v>
      </c>
      <c r="D130" s="1087">
        <f>Deflators_original!B130</f>
        <v>0</v>
      </c>
      <c r="E130" s="1087">
        <f>Deflators_original!C130</f>
        <v>79.953999999999994</v>
      </c>
      <c r="F130" s="1087">
        <f>Deflators_original!D130</f>
        <v>2.0051632954858302E-3</v>
      </c>
      <c r="G130" s="1087">
        <f>Deflators_original!E130</f>
        <v>75.430000000000007</v>
      </c>
      <c r="H130" s="1087">
        <f>Deflators_original!F130</f>
        <v>6.4848420153715801E-3</v>
      </c>
      <c r="I130" s="1087">
        <f>Deflators_original!G130</f>
        <v>69.174999999999997</v>
      </c>
      <c r="J130" s="1087">
        <f>Deflators_original!H130</f>
        <v>6.4892548996784401E-3</v>
      </c>
      <c r="K130" s="1087">
        <f>Deflators_original!I130</f>
        <v>67.921000000000006</v>
      </c>
      <c r="L130" s="1087">
        <f>Deflators_original!J130</f>
        <v>4.4067846738535801E-3</v>
      </c>
    </row>
    <row r="131" spans="1:12" x14ac:dyDescent="0.3">
      <c r="A131" s="1085" t="str">
        <f>Deflators_original!K131</f>
        <v>2002 Q2</v>
      </c>
      <c r="B131" s="1085" t="str">
        <f>Deflators_original!L131</f>
        <v>historical</v>
      </c>
      <c r="C131" s="1087">
        <f>Deflators_original!A131</f>
        <v>80.793999999999997</v>
      </c>
      <c r="D131" s="1087">
        <f>Deflators_original!B131</f>
        <v>0</v>
      </c>
      <c r="E131" s="1087">
        <f>Deflators_original!C131</f>
        <v>80.546999999999997</v>
      </c>
      <c r="F131" s="1087">
        <f>Deflators_original!D131</f>
        <v>7.41676463966789E-3</v>
      </c>
      <c r="G131" s="1087">
        <f>Deflators_original!E131</f>
        <v>76.143000000000001</v>
      </c>
      <c r="H131" s="1087">
        <f>Deflators_original!F131</f>
        <v>9.4524724910511893E-3</v>
      </c>
      <c r="I131" s="1087">
        <f>Deflators_original!G131</f>
        <v>69.855999999999995</v>
      </c>
      <c r="J131" s="1087">
        <f>Deflators_original!H131</f>
        <v>9.8445970365015293E-3</v>
      </c>
      <c r="K131" s="1087">
        <f>Deflators_original!I131</f>
        <v>68.290000000000006</v>
      </c>
      <c r="L131" s="1087">
        <f>Deflators_original!J131</f>
        <v>5.4327822028532599E-3</v>
      </c>
    </row>
    <row r="132" spans="1:12" x14ac:dyDescent="0.3">
      <c r="A132" s="1085" t="str">
        <f>Deflators_original!K132</f>
        <v>2002 Q3</v>
      </c>
      <c r="B132" s="1085" t="str">
        <f>Deflators_original!L132</f>
        <v>historical</v>
      </c>
      <c r="C132" s="1087">
        <f>Deflators_original!A132</f>
        <v>81.155000000000001</v>
      </c>
      <c r="D132" s="1087">
        <f>Deflators_original!B132</f>
        <v>0</v>
      </c>
      <c r="E132" s="1087">
        <f>Deflators_original!C132</f>
        <v>80.963999999999999</v>
      </c>
      <c r="F132" s="1087">
        <f>Deflators_original!D132</f>
        <v>5.1771015680286397E-3</v>
      </c>
      <c r="G132" s="1087">
        <f>Deflators_original!E132</f>
        <v>76.796999999999997</v>
      </c>
      <c r="H132" s="1087">
        <f>Deflators_original!F132</f>
        <v>8.5891020842361297E-3</v>
      </c>
      <c r="I132" s="1087">
        <f>Deflators_original!G132</f>
        <v>70.427999999999997</v>
      </c>
      <c r="J132" s="1087">
        <f>Deflators_original!H132</f>
        <v>8.1882730187814393E-3</v>
      </c>
      <c r="K132" s="1087">
        <f>Deflators_original!I132</f>
        <v>68.5</v>
      </c>
      <c r="L132" s="1087">
        <f>Deflators_original!J132</f>
        <v>3.07512080831729E-3</v>
      </c>
    </row>
    <row r="133" spans="1:12" x14ac:dyDescent="0.3">
      <c r="A133" s="1085" t="str">
        <f>Deflators_original!K133</f>
        <v>2002 Q4</v>
      </c>
      <c r="B133" s="1085" t="str">
        <f>Deflators_original!L133</f>
        <v>historical</v>
      </c>
      <c r="C133" s="1087">
        <f>Deflators_original!A133</f>
        <v>81.626999999999995</v>
      </c>
      <c r="D133" s="1087">
        <f>Deflators_original!B133</f>
        <v>0</v>
      </c>
      <c r="E133" s="1087">
        <f>Deflators_original!C133</f>
        <v>81.341999999999999</v>
      </c>
      <c r="F133" s="1087">
        <f>Deflators_original!D133</f>
        <v>4.6687416629613799E-3</v>
      </c>
      <c r="G133" s="1087">
        <f>Deflators_original!E133</f>
        <v>78.22</v>
      </c>
      <c r="H133" s="1087">
        <f>Deflators_original!F133</f>
        <v>1.85293696368347E-2</v>
      </c>
      <c r="I133" s="1087">
        <f>Deflators_original!G133</f>
        <v>71.129000000000005</v>
      </c>
      <c r="J133" s="1087">
        <f>Deflators_original!H133</f>
        <v>9.9534276140171903E-3</v>
      </c>
      <c r="K133" s="1087">
        <f>Deflators_original!I133</f>
        <v>68.617999999999995</v>
      </c>
      <c r="L133" s="1087">
        <f>Deflators_original!J133</f>
        <v>1.7226277372262E-3</v>
      </c>
    </row>
    <row r="134" spans="1:12" x14ac:dyDescent="0.3">
      <c r="A134" s="1085" t="str">
        <f>Deflators_original!K134</f>
        <v>2003 Q1</v>
      </c>
      <c r="B134" s="1085" t="str">
        <f>Deflators_original!L134</f>
        <v>historical</v>
      </c>
      <c r="C134" s="1087">
        <f>Deflators_original!A134</f>
        <v>82.067999999999998</v>
      </c>
      <c r="D134" s="1087">
        <f>Deflators_original!B134</f>
        <v>0</v>
      </c>
      <c r="E134" s="1087">
        <f>Deflators_original!C134</f>
        <v>81.963999999999999</v>
      </c>
      <c r="F134" s="1087">
        <f>Deflators_original!D134</f>
        <v>7.6467261685231299E-3</v>
      </c>
      <c r="G134" s="1087">
        <f>Deflators_original!E134</f>
        <v>79.091999999999999</v>
      </c>
      <c r="H134" s="1087">
        <f>Deflators_original!F134</f>
        <v>1.11480439785221E-2</v>
      </c>
      <c r="I134" s="1087">
        <f>Deflators_original!G134</f>
        <v>72.244</v>
      </c>
      <c r="J134" s="1087">
        <f>Deflators_original!H134</f>
        <v>1.5675744070632099E-2</v>
      </c>
      <c r="K134" s="1087">
        <f>Deflators_original!I134</f>
        <v>69.186999999999998</v>
      </c>
      <c r="L134" s="1087">
        <f>Deflators_original!J134</f>
        <v>8.2922848232243104E-3</v>
      </c>
    </row>
    <row r="135" spans="1:12" x14ac:dyDescent="0.3">
      <c r="A135" s="1085" t="str">
        <f>Deflators_original!K135</f>
        <v>2003 Q2</v>
      </c>
      <c r="B135" s="1085" t="str">
        <f>Deflators_original!L135</f>
        <v>historical</v>
      </c>
      <c r="C135" s="1087">
        <f>Deflators_original!A135</f>
        <v>82.349000000000004</v>
      </c>
      <c r="D135" s="1087">
        <f>Deflators_original!B135</f>
        <v>0</v>
      </c>
      <c r="E135" s="1087">
        <f>Deflators_original!C135</f>
        <v>82.046000000000006</v>
      </c>
      <c r="F135" s="1087">
        <f>Deflators_original!D135</f>
        <v>1.0004392172173701E-3</v>
      </c>
      <c r="G135" s="1087">
        <f>Deflators_original!E135</f>
        <v>79.653999999999996</v>
      </c>
      <c r="H135" s="1087">
        <f>Deflators_original!F135</f>
        <v>7.1056491174834599E-3</v>
      </c>
      <c r="I135" s="1087">
        <f>Deflators_original!G135</f>
        <v>72.290999999999997</v>
      </c>
      <c r="J135" s="1087">
        <f>Deflators_original!H135</f>
        <v>6.5057305797022703E-4</v>
      </c>
      <c r="K135" s="1087">
        <f>Deflators_original!I135</f>
        <v>69.259</v>
      </c>
      <c r="L135" s="1087">
        <f>Deflators_original!J135</f>
        <v>1.0406579270672001E-3</v>
      </c>
    </row>
    <row r="136" spans="1:12" x14ac:dyDescent="0.3">
      <c r="A136" s="1085" t="str">
        <f>Deflators_original!K136</f>
        <v>2003 Q3</v>
      </c>
      <c r="B136" s="1085" t="str">
        <f>Deflators_original!L136</f>
        <v>historical</v>
      </c>
      <c r="C136" s="1087">
        <f>Deflators_original!A136</f>
        <v>82.822000000000003</v>
      </c>
      <c r="D136" s="1087">
        <f>Deflators_original!B136</f>
        <v>0</v>
      </c>
      <c r="E136" s="1087">
        <f>Deflators_original!C136</f>
        <v>82.587000000000003</v>
      </c>
      <c r="F136" s="1087">
        <f>Deflators_original!D136</f>
        <v>6.5938619798648901E-3</v>
      </c>
      <c r="G136" s="1087">
        <f>Deflators_original!E136</f>
        <v>80.375</v>
      </c>
      <c r="H136" s="1087">
        <f>Deflators_original!F136</f>
        <v>9.0516483792402198E-3</v>
      </c>
      <c r="I136" s="1087">
        <f>Deflators_original!G136</f>
        <v>72.872</v>
      </c>
      <c r="J136" s="1087">
        <f>Deflators_original!H136</f>
        <v>8.0369617241426994E-3</v>
      </c>
      <c r="K136" s="1087">
        <f>Deflators_original!I136</f>
        <v>69.346999999999994</v>
      </c>
      <c r="L136" s="1087">
        <f>Deflators_original!J136</f>
        <v>1.2705929915244299E-3</v>
      </c>
    </row>
    <row r="137" spans="1:12" x14ac:dyDescent="0.3">
      <c r="A137" s="1085" t="str">
        <f>Deflators_original!K137</f>
        <v>2003 Q4</v>
      </c>
      <c r="B137" s="1085" t="str">
        <f>Deflators_original!L137</f>
        <v>historical</v>
      </c>
      <c r="C137" s="1087">
        <f>Deflators_original!A137</f>
        <v>83.302000000000007</v>
      </c>
      <c r="D137" s="1087">
        <f>Deflators_original!B137</f>
        <v>0</v>
      </c>
      <c r="E137" s="1087">
        <f>Deflators_original!C137</f>
        <v>82.992999999999995</v>
      </c>
      <c r="F137" s="1087">
        <f>Deflators_original!D137</f>
        <v>4.9160279462867598E-3</v>
      </c>
      <c r="G137" s="1087">
        <f>Deflators_original!E137</f>
        <v>80.977000000000004</v>
      </c>
      <c r="H137" s="1087">
        <f>Deflators_original!F137</f>
        <v>7.4898911353034102E-3</v>
      </c>
      <c r="I137" s="1087">
        <f>Deflators_original!G137</f>
        <v>73.531999999999996</v>
      </c>
      <c r="J137" s="1087">
        <f>Deflators_original!H137</f>
        <v>9.0569766165331505E-3</v>
      </c>
      <c r="K137" s="1087">
        <f>Deflators_original!I137</f>
        <v>69.539000000000001</v>
      </c>
      <c r="L137" s="1087">
        <f>Deflators_original!J137</f>
        <v>2.7686850188184402E-3</v>
      </c>
    </row>
    <row r="138" spans="1:12" x14ac:dyDescent="0.3">
      <c r="A138" s="1085" t="str">
        <f>Deflators_original!K138</f>
        <v>2004 Q1</v>
      </c>
      <c r="B138" s="1085" t="str">
        <f>Deflators_original!L138</f>
        <v>historical</v>
      </c>
      <c r="C138" s="1087">
        <f>Deflators_original!A138</f>
        <v>83.899000000000001</v>
      </c>
      <c r="D138" s="1087">
        <f>Deflators_original!B138</f>
        <v>0</v>
      </c>
      <c r="E138" s="1087">
        <f>Deflators_original!C138</f>
        <v>83.632999999999996</v>
      </c>
      <c r="F138" s="1087">
        <f>Deflators_original!D138</f>
        <v>7.7114937404358904E-3</v>
      </c>
      <c r="G138" s="1087">
        <f>Deflators_original!E138</f>
        <v>81.665999999999997</v>
      </c>
      <c r="H138" s="1087">
        <f>Deflators_original!F138</f>
        <v>8.5085888585647602E-3</v>
      </c>
      <c r="I138" s="1087">
        <f>Deflators_original!G138</f>
        <v>74.569999999999993</v>
      </c>
      <c r="J138" s="1087">
        <f>Deflators_original!H138</f>
        <v>1.41163031061307E-2</v>
      </c>
      <c r="K138" s="1087">
        <f>Deflators_original!I138</f>
        <v>69.992000000000004</v>
      </c>
      <c r="L138" s="1087">
        <f>Deflators_original!J138</f>
        <v>6.5143300881520504E-3</v>
      </c>
    </row>
    <row r="139" spans="1:12" x14ac:dyDescent="0.3">
      <c r="A139" s="1085" t="str">
        <f>Deflators_original!K139</f>
        <v>2004 Q2</v>
      </c>
      <c r="B139" s="1085" t="str">
        <f>Deflators_original!L139</f>
        <v>historical</v>
      </c>
      <c r="C139" s="1087">
        <f>Deflators_original!A139</f>
        <v>84.58</v>
      </c>
      <c r="D139" s="1087">
        <f>Deflators_original!B139</f>
        <v>0</v>
      </c>
      <c r="E139" s="1087">
        <f>Deflators_original!C139</f>
        <v>84.195999999999998</v>
      </c>
      <c r="F139" s="1087">
        <f>Deflators_original!D139</f>
        <v>6.7317924742624803E-3</v>
      </c>
      <c r="G139" s="1087">
        <f>Deflators_original!E139</f>
        <v>82.375</v>
      </c>
      <c r="H139" s="1087">
        <f>Deflators_original!F139</f>
        <v>8.6817035241104606E-3</v>
      </c>
      <c r="I139" s="1087">
        <f>Deflators_original!G139</f>
        <v>75.561000000000007</v>
      </c>
      <c r="J139" s="1087">
        <f>Deflators_original!H139</f>
        <v>1.3289526619284101E-2</v>
      </c>
      <c r="K139" s="1087">
        <f>Deflators_original!I139</f>
        <v>71.278000000000006</v>
      </c>
      <c r="L139" s="1087">
        <f>Deflators_original!J139</f>
        <v>1.8373528403245999E-2</v>
      </c>
    </row>
    <row r="140" spans="1:12" x14ac:dyDescent="0.3">
      <c r="A140" s="1085" t="str">
        <f>Deflators_original!K140</f>
        <v>2004 Q3</v>
      </c>
      <c r="B140" s="1085" t="str">
        <f>Deflators_original!L140</f>
        <v>historical</v>
      </c>
      <c r="C140" s="1087">
        <f>Deflators_original!A140</f>
        <v>85.116</v>
      </c>
      <c r="D140" s="1087">
        <f>Deflators_original!B140</f>
        <v>0</v>
      </c>
      <c r="E140" s="1087">
        <f>Deflators_original!C140</f>
        <v>84.61</v>
      </c>
      <c r="F140" s="1087">
        <f>Deflators_original!D140</f>
        <v>4.9170981994395299E-3</v>
      </c>
      <c r="G140" s="1087">
        <f>Deflators_original!E140</f>
        <v>83.129000000000005</v>
      </c>
      <c r="H140" s="1087">
        <f>Deflators_original!F140</f>
        <v>9.1532625189680895E-3</v>
      </c>
      <c r="I140" s="1087">
        <f>Deflators_original!G140</f>
        <v>76.591999999999999</v>
      </c>
      <c r="J140" s="1087">
        <f>Deflators_original!H140</f>
        <v>1.3644605021108799E-2</v>
      </c>
      <c r="K140" s="1087">
        <f>Deflators_original!I140</f>
        <v>73.197000000000003</v>
      </c>
      <c r="L140" s="1087">
        <f>Deflators_original!J140</f>
        <v>2.6922753163668899E-2</v>
      </c>
    </row>
    <row r="141" spans="1:12" x14ac:dyDescent="0.3">
      <c r="A141" s="1085" t="str">
        <f>Deflators_original!K141</f>
        <v>2004 Q4</v>
      </c>
      <c r="B141" s="1085" t="str">
        <f>Deflators_original!L141</f>
        <v>historical</v>
      </c>
      <c r="C141" s="1087">
        <f>Deflators_original!A141</f>
        <v>85.772000000000006</v>
      </c>
      <c r="D141" s="1087">
        <f>Deflators_original!B141</f>
        <v>0</v>
      </c>
      <c r="E141" s="1087">
        <f>Deflators_original!C141</f>
        <v>85.332999999999998</v>
      </c>
      <c r="F141" s="1087">
        <f>Deflators_original!D141</f>
        <v>8.5450892329512803E-3</v>
      </c>
      <c r="G141" s="1087">
        <f>Deflators_original!E141</f>
        <v>83.938000000000002</v>
      </c>
      <c r="H141" s="1087">
        <f>Deflators_original!F141</f>
        <v>9.7318625269160498E-3</v>
      </c>
      <c r="I141" s="1087">
        <f>Deflators_original!G141</f>
        <v>77.790000000000006</v>
      </c>
      <c r="J141" s="1087">
        <f>Deflators_original!H141</f>
        <v>1.5641320242323099E-2</v>
      </c>
      <c r="K141" s="1087">
        <f>Deflators_original!I141</f>
        <v>74.954999999999998</v>
      </c>
      <c r="L141" s="1087">
        <f>Deflators_original!J141</f>
        <v>2.4017377761383699E-2</v>
      </c>
    </row>
    <row r="142" spans="1:12" x14ac:dyDescent="0.3">
      <c r="A142" s="1085" t="str">
        <f>Deflators_original!K142</f>
        <v>2005 Q1</v>
      </c>
      <c r="B142" s="1085" t="str">
        <f>Deflators_original!L142</f>
        <v>historical</v>
      </c>
      <c r="C142" s="1087">
        <f>Deflators_original!A142</f>
        <v>86.43</v>
      </c>
      <c r="D142" s="1087">
        <f>Deflators_original!B142</f>
        <v>0</v>
      </c>
      <c r="E142" s="1087">
        <f>Deflators_original!C142</f>
        <v>85.828999999999994</v>
      </c>
      <c r="F142" s="1087">
        <f>Deflators_original!D142</f>
        <v>5.8125227051668603E-3</v>
      </c>
      <c r="G142" s="1087">
        <f>Deflators_original!E142</f>
        <v>85.043000000000006</v>
      </c>
      <c r="H142" s="1087">
        <f>Deflators_original!F142</f>
        <v>1.3164478543687101E-2</v>
      </c>
      <c r="I142" s="1087">
        <f>Deflators_original!G142</f>
        <v>78.498000000000005</v>
      </c>
      <c r="J142" s="1087">
        <f>Deflators_original!H142</f>
        <v>9.1014269186271406E-3</v>
      </c>
      <c r="K142" s="1087">
        <f>Deflators_original!I142</f>
        <v>75.587999999999994</v>
      </c>
      <c r="L142" s="1087">
        <f>Deflators_original!J142</f>
        <v>8.4450670402240694E-3</v>
      </c>
    </row>
    <row r="143" spans="1:12" x14ac:dyDescent="0.3">
      <c r="A143" s="1085" t="str">
        <f>Deflators_original!K143</f>
        <v>2005 Q2</v>
      </c>
      <c r="B143" s="1085" t="str">
        <f>Deflators_original!L143</f>
        <v>historical</v>
      </c>
      <c r="C143" s="1087">
        <f>Deflators_original!A143</f>
        <v>87.061999999999998</v>
      </c>
      <c r="D143" s="1087">
        <f>Deflators_original!B143</f>
        <v>0</v>
      </c>
      <c r="E143" s="1087">
        <f>Deflators_original!C143</f>
        <v>86.370999999999995</v>
      </c>
      <c r="F143" s="1087">
        <f>Deflators_original!D143</f>
        <v>6.3148819163685302E-3</v>
      </c>
      <c r="G143" s="1087">
        <f>Deflators_original!E143</f>
        <v>85.81</v>
      </c>
      <c r="H143" s="1087">
        <f>Deflators_original!F143</f>
        <v>9.0189668755804604E-3</v>
      </c>
      <c r="I143" s="1087">
        <f>Deflators_original!G143</f>
        <v>79.393000000000001</v>
      </c>
      <c r="J143" s="1087">
        <f>Deflators_original!H143</f>
        <v>1.14015643710668E-2</v>
      </c>
      <c r="K143" s="1087">
        <f>Deflators_original!I143</f>
        <v>77.010000000000005</v>
      </c>
      <c r="L143" s="1087">
        <f>Deflators_original!J143</f>
        <v>1.8812509922210102E-2</v>
      </c>
    </row>
    <row r="144" spans="1:12" x14ac:dyDescent="0.3">
      <c r="A144" s="1085" t="str">
        <f>Deflators_original!K144</f>
        <v>2005 Q3</v>
      </c>
      <c r="B144" s="1085" t="str">
        <f>Deflators_original!L144</f>
        <v>historical</v>
      </c>
      <c r="C144" s="1087">
        <f>Deflators_original!A144</f>
        <v>87.884</v>
      </c>
      <c r="D144" s="1087">
        <f>Deflators_original!B144</f>
        <v>0</v>
      </c>
      <c r="E144" s="1087">
        <f>Deflators_original!C144</f>
        <v>87.304000000000002</v>
      </c>
      <c r="F144" s="1087">
        <f>Deflators_original!D144</f>
        <v>1.08022368619098E-2</v>
      </c>
      <c r="G144" s="1087">
        <f>Deflators_original!E144</f>
        <v>86.706000000000003</v>
      </c>
      <c r="H144" s="1087">
        <f>Deflators_original!F144</f>
        <v>1.0441673464631099E-2</v>
      </c>
      <c r="I144" s="1087">
        <f>Deflators_original!G144</f>
        <v>80.545000000000002</v>
      </c>
      <c r="J144" s="1087">
        <f>Deflators_original!H144</f>
        <v>1.45100953484565E-2</v>
      </c>
      <c r="K144" s="1087">
        <f>Deflators_original!I144</f>
        <v>78.724999999999994</v>
      </c>
      <c r="L144" s="1087">
        <f>Deflators_original!J144</f>
        <v>2.2269835086352399E-2</v>
      </c>
    </row>
    <row r="145" spans="1:12" x14ac:dyDescent="0.3">
      <c r="A145" s="1085" t="str">
        <f>Deflators_original!K145</f>
        <v>2005 Q4</v>
      </c>
      <c r="B145" s="1085" t="str">
        <f>Deflators_original!L145</f>
        <v>historical</v>
      </c>
      <c r="C145" s="1087">
        <f>Deflators_original!A145</f>
        <v>88.584000000000003</v>
      </c>
      <c r="D145" s="1087">
        <f>Deflators_original!B145</f>
        <v>0</v>
      </c>
      <c r="E145" s="1087">
        <f>Deflators_original!C145</f>
        <v>87.998999999999995</v>
      </c>
      <c r="F145" s="1087">
        <f>Deflators_original!D145</f>
        <v>7.9606890864105696E-3</v>
      </c>
      <c r="G145" s="1087">
        <f>Deflators_original!E145</f>
        <v>87.328999999999994</v>
      </c>
      <c r="H145" s="1087">
        <f>Deflators_original!F145</f>
        <v>7.1852005628214597E-3</v>
      </c>
      <c r="I145" s="1087">
        <f>Deflators_original!G145</f>
        <v>81.906000000000006</v>
      </c>
      <c r="J145" s="1087">
        <f>Deflators_original!H145</f>
        <v>1.68973865541002E-2</v>
      </c>
      <c r="K145" s="1087">
        <f>Deflators_original!I145</f>
        <v>79.822999999999993</v>
      </c>
      <c r="L145" s="1087">
        <f>Deflators_original!J145</f>
        <v>1.39472848523341E-2</v>
      </c>
    </row>
    <row r="146" spans="1:12" x14ac:dyDescent="0.3">
      <c r="A146" s="1085" t="str">
        <f>Deflators_original!K146</f>
        <v>2006 Q1</v>
      </c>
      <c r="B146" s="1085" t="str">
        <f>Deflators_original!L146</f>
        <v>historical</v>
      </c>
      <c r="C146" s="1087">
        <f>Deflators_original!A146</f>
        <v>89.203999999999994</v>
      </c>
      <c r="D146" s="1087">
        <f>Deflators_original!B146</f>
        <v>0</v>
      </c>
      <c r="E146" s="1087">
        <f>Deflators_original!C146</f>
        <v>88.456000000000003</v>
      </c>
      <c r="F146" s="1087">
        <f>Deflators_original!D146</f>
        <v>5.1932408322823403E-3</v>
      </c>
      <c r="G146" s="1087">
        <f>Deflators_original!E146</f>
        <v>88.063999999999993</v>
      </c>
      <c r="H146" s="1087">
        <f>Deflators_original!F146</f>
        <v>8.4164481443735895E-3</v>
      </c>
      <c r="I146" s="1087">
        <f>Deflators_original!G146</f>
        <v>82.507999999999996</v>
      </c>
      <c r="J146" s="1087">
        <f>Deflators_original!H146</f>
        <v>7.3498888970282604E-3</v>
      </c>
      <c r="K146" s="1087">
        <f>Deflators_original!I146</f>
        <v>80.319000000000003</v>
      </c>
      <c r="L146" s="1087">
        <f>Deflators_original!J146</f>
        <v>6.2137479172670301E-3</v>
      </c>
    </row>
    <row r="147" spans="1:12" x14ac:dyDescent="0.3">
      <c r="A147" s="1085" t="str">
        <f>Deflators_original!K147</f>
        <v>2006 Q2</v>
      </c>
      <c r="B147" s="1085" t="str">
        <f>Deflators_original!L147</f>
        <v>historical</v>
      </c>
      <c r="C147" s="1087">
        <f>Deflators_original!A147</f>
        <v>89.992999999999995</v>
      </c>
      <c r="D147" s="1087">
        <f>Deflators_original!B147</f>
        <v>0</v>
      </c>
      <c r="E147" s="1087">
        <f>Deflators_original!C147</f>
        <v>89.231999999999999</v>
      </c>
      <c r="F147" s="1087">
        <f>Deflators_original!D147</f>
        <v>8.772723161798E-3</v>
      </c>
      <c r="G147" s="1087">
        <f>Deflators_original!E147</f>
        <v>88.677000000000007</v>
      </c>
      <c r="H147" s="1087">
        <f>Deflators_original!F147</f>
        <v>6.9608466569768303E-3</v>
      </c>
      <c r="I147" s="1087">
        <f>Deflators_original!G147</f>
        <v>83.641999999999996</v>
      </c>
      <c r="J147" s="1087">
        <f>Deflators_original!H147</f>
        <v>1.37441217821301E-2</v>
      </c>
      <c r="K147" s="1087">
        <f>Deflators_original!I147</f>
        <v>82.088999999999999</v>
      </c>
      <c r="L147" s="1087">
        <f>Deflators_original!J147</f>
        <v>2.20371269562618E-2</v>
      </c>
    </row>
    <row r="148" spans="1:12" x14ac:dyDescent="0.3">
      <c r="A148" s="1085" t="str">
        <f>Deflators_original!K148</f>
        <v>2006 Q3</v>
      </c>
      <c r="B148" s="1085" t="str">
        <f>Deflators_original!L148</f>
        <v>historical</v>
      </c>
      <c r="C148" s="1087">
        <f>Deflators_original!A148</f>
        <v>90.652000000000001</v>
      </c>
      <c r="D148" s="1087">
        <f>Deflators_original!B148</f>
        <v>0</v>
      </c>
      <c r="E148" s="1087">
        <f>Deflators_original!C148</f>
        <v>89.873999999999995</v>
      </c>
      <c r="F148" s="1087">
        <f>Deflators_original!D148</f>
        <v>7.1947283485744896E-3</v>
      </c>
      <c r="G148" s="1087">
        <f>Deflators_original!E148</f>
        <v>89.334000000000003</v>
      </c>
      <c r="H148" s="1087">
        <f>Deflators_original!F148</f>
        <v>7.4089109915760299E-3</v>
      </c>
      <c r="I148" s="1087">
        <f>Deflators_original!G148</f>
        <v>84.402000000000001</v>
      </c>
      <c r="J148" s="1087">
        <f>Deflators_original!H148</f>
        <v>9.0863441811530592E-3</v>
      </c>
      <c r="K148" s="1087">
        <f>Deflators_original!I148</f>
        <v>83.231999999999999</v>
      </c>
      <c r="L148" s="1087">
        <f>Deflators_original!J148</f>
        <v>1.39239118517707E-2</v>
      </c>
    </row>
    <row r="149" spans="1:12" x14ac:dyDescent="0.3">
      <c r="A149" s="1085" t="str">
        <f>Deflators_original!K149</f>
        <v>2006 Q4</v>
      </c>
      <c r="B149" s="1085" t="str">
        <f>Deflators_original!L149</f>
        <v>historical</v>
      </c>
      <c r="C149" s="1087">
        <f>Deflators_original!A149</f>
        <v>90.997</v>
      </c>
      <c r="D149" s="1087">
        <f>Deflators_original!B149</f>
        <v>0</v>
      </c>
      <c r="E149" s="1087">
        <f>Deflators_original!C149</f>
        <v>89.725999999999999</v>
      </c>
      <c r="F149" s="1087">
        <f>Deflators_original!D149</f>
        <v>-1.6467498942963599E-3</v>
      </c>
      <c r="G149" s="1087">
        <f>Deflators_original!E149</f>
        <v>89.799000000000007</v>
      </c>
      <c r="H149" s="1087">
        <f>Deflators_original!F149</f>
        <v>5.2051850359326997E-3</v>
      </c>
      <c r="I149" s="1087">
        <f>Deflators_original!G149</f>
        <v>85.034999999999997</v>
      </c>
      <c r="J149" s="1087">
        <f>Deflators_original!H149</f>
        <v>7.4998222790929603E-3</v>
      </c>
      <c r="K149" s="1087">
        <f>Deflators_original!I149</f>
        <v>85.185000000000002</v>
      </c>
      <c r="L149" s="1087">
        <f>Deflators_original!J149</f>
        <v>2.34645328719723E-2</v>
      </c>
    </row>
    <row r="150" spans="1:12" x14ac:dyDescent="0.3">
      <c r="A150" s="1085" t="str">
        <f>Deflators_original!K150</f>
        <v>2007 Q1</v>
      </c>
      <c r="B150" s="1085" t="str">
        <f>Deflators_original!L150</f>
        <v>historical</v>
      </c>
      <c r="C150" s="1087">
        <f>Deflators_original!A150</f>
        <v>91.908000000000001</v>
      </c>
      <c r="D150" s="1087">
        <f>Deflators_original!B150</f>
        <v>0</v>
      </c>
      <c r="E150" s="1087">
        <f>Deflators_original!C150</f>
        <v>90.546000000000006</v>
      </c>
      <c r="F150" s="1087">
        <f>Deflators_original!D150</f>
        <v>9.1389340882241897E-3</v>
      </c>
      <c r="G150" s="1087">
        <f>Deflators_original!E150</f>
        <v>90.566999999999993</v>
      </c>
      <c r="H150" s="1087">
        <f>Deflators_original!F150</f>
        <v>8.5524337687501503E-3</v>
      </c>
      <c r="I150" s="1087">
        <f>Deflators_original!G150</f>
        <v>86.531999999999996</v>
      </c>
      <c r="J150" s="1087">
        <f>Deflators_original!H150</f>
        <v>1.7604515787616799E-2</v>
      </c>
      <c r="K150" s="1087">
        <f>Deflators_original!I150</f>
        <v>87.334000000000003</v>
      </c>
      <c r="L150" s="1087">
        <f>Deflators_original!J150</f>
        <v>2.5227446146622E-2</v>
      </c>
    </row>
    <row r="151" spans="1:12" x14ac:dyDescent="0.3">
      <c r="A151" s="1085" t="str">
        <f>Deflators_original!K151</f>
        <v>2007 Q2</v>
      </c>
      <c r="B151" s="1085" t="str">
        <f>Deflators_original!L151</f>
        <v>historical</v>
      </c>
      <c r="C151" s="1087">
        <f>Deflators_original!A151</f>
        <v>92.491</v>
      </c>
      <c r="D151" s="1087">
        <f>Deflators_original!B151</f>
        <v>0</v>
      </c>
      <c r="E151" s="1087">
        <f>Deflators_original!C151</f>
        <v>91.314999999999998</v>
      </c>
      <c r="F151" s="1087">
        <f>Deflators_original!D151</f>
        <v>8.4929207253770008E-3</v>
      </c>
      <c r="G151" s="1087">
        <f>Deflators_original!E151</f>
        <v>91.290999999999997</v>
      </c>
      <c r="H151" s="1087">
        <f>Deflators_original!F151</f>
        <v>7.9940817295483003E-3</v>
      </c>
      <c r="I151" s="1087">
        <f>Deflators_original!G151</f>
        <v>87.468999999999994</v>
      </c>
      <c r="J151" s="1087">
        <f>Deflators_original!H151</f>
        <v>1.0828364073406401E-2</v>
      </c>
      <c r="K151" s="1087">
        <f>Deflators_original!I151</f>
        <v>88.247</v>
      </c>
      <c r="L151" s="1087">
        <f>Deflators_original!J151</f>
        <v>1.0454118670849799E-2</v>
      </c>
    </row>
    <row r="152" spans="1:12" x14ac:dyDescent="0.3">
      <c r="A152" s="1085" t="str">
        <f>Deflators_original!K152</f>
        <v>2007 Q3</v>
      </c>
      <c r="B152" s="1085" t="str">
        <f>Deflators_original!L152</f>
        <v>historical</v>
      </c>
      <c r="C152" s="1087">
        <f>Deflators_original!A152</f>
        <v>92.882000000000005</v>
      </c>
      <c r="D152" s="1087">
        <f>Deflators_original!B152</f>
        <v>0</v>
      </c>
      <c r="E152" s="1087">
        <f>Deflators_original!C152</f>
        <v>91.831000000000003</v>
      </c>
      <c r="F152" s="1087">
        <f>Deflators_original!D152</f>
        <v>5.6507693150085201E-3</v>
      </c>
      <c r="G152" s="1087">
        <f>Deflators_original!E152</f>
        <v>91.92</v>
      </c>
      <c r="H152" s="1087">
        <f>Deflators_original!F152</f>
        <v>6.8900548794514904E-3</v>
      </c>
      <c r="I152" s="1087">
        <f>Deflators_original!G152</f>
        <v>88.447000000000003</v>
      </c>
      <c r="J152" s="1087">
        <f>Deflators_original!H152</f>
        <v>1.11811041626177E-2</v>
      </c>
      <c r="K152" s="1087">
        <f>Deflators_original!I152</f>
        <v>89.096999999999994</v>
      </c>
      <c r="L152" s="1087">
        <f>Deflators_original!J152</f>
        <v>9.6320554806394992E-3</v>
      </c>
    </row>
    <row r="153" spans="1:12" x14ac:dyDescent="0.3">
      <c r="A153" s="1085" t="str">
        <f>Deflators_original!K153</f>
        <v>2007 Q4</v>
      </c>
      <c r="B153" s="1085" t="str">
        <f>Deflators_original!L153</f>
        <v>historical</v>
      </c>
      <c r="C153" s="1087">
        <f>Deflators_original!A153</f>
        <v>93.331999999999994</v>
      </c>
      <c r="D153" s="1087">
        <f>Deflators_original!B153</f>
        <v>0</v>
      </c>
      <c r="E153" s="1087">
        <f>Deflators_original!C153</f>
        <v>92.765000000000001</v>
      </c>
      <c r="F153" s="1087">
        <f>Deflators_original!D153</f>
        <v>1.0170857335758E-2</v>
      </c>
      <c r="G153" s="1087">
        <f>Deflators_original!E153</f>
        <v>92.656999999999996</v>
      </c>
      <c r="H153" s="1087">
        <f>Deflators_original!F153</f>
        <v>8.0178416013925204E-3</v>
      </c>
      <c r="I153" s="1087">
        <f>Deflators_original!G153</f>
        <v>89.787999999999997</v>
      </c>
      <c r="J153" s="1087">
        <f>Deflators_original!H153</f>
        <v>1.51616222144335E-2</v>
      </c>
      <c r="K153" s="1087">
        <f>Deflators_original!I153</f>
        <v>90.144999999999996</v>
      </c>
      <c r="L153" s="1087">
        <f>Deflators_original!J153</f>
        <v>1.1762461137861099E-2</v>
      </c>
    </row>
    <row r="154" spans="1:12" x14ac:dyDescent="0.3">
      <c r="A154" s="1085" t="str">
        <f>Deflators_original!K154</f>
        <v>2008 Q1</v>
      </c>
      <c r="B154" s="1085" t="str">
        <f>Deflators_original!L154</f>
        <v>historical</v>
      </c>
      <c r="C154" s="1087">
        <f>Deflators_original!A154</f>
        <v>93.734999999999999</v>
      </c>
      <c r="D154" s="1087">
        <f>Deflators_original!B154</f>
        <v>0</v>
      </c>
      <c r="E154" s="1087">
        <f>Deflators_original!C154</f>
        <v>93.52</v>
      </c>
      <c r="F154" s="1087">
        <f>Deflators_original!D154</f>
        <v>8.1388454697353101E-3</v>
      </c>
      <c r="G154" s="1087">
        <f>Deflators_original!E154</f>
        <v>93.438000000000002</v>
      </c>
      <c r="H154" s="1087">
        <f>Deflators_original!F154</f>
        <v>8.4289368315399998E-3</v>
      </c>
      <c r="I154" s="1087">
        <f>Deflators_original!G154</f>
        <v>91.369</v>
      </c>
      <c r="J154" s="1087">
        <f>Deflators_original!H154</f>
        <v>1.7608143627210901E-2</v>
      </c>
      <c r="K154" s="1087">
        <f>Deflators_original!I154</f>
        <v>90.998999999999995</v>
      </c>
      <c r="L154" s="1087">
        <f>Deflators_original!J154</f>
        <v>9.4736258250596207E-3</v>
      </c>
    </row>
    <row r="155" spans="1:12" x14ac:dyDescent="0.3">
      <c r="A155" s="1085" t="str">
        <f>Deflators_original!K155</f>
        <v>2008 Q2</v>
      </c>
      <c r="B155" s="1085" t="str">
        <f>Deflators_original!L155</f>
        <v>historical</v>
      </c>
      <c r="C155" s="1087">
        <f>Deflators_original!A155</f>
        <v>94.075000000000003</v>
      </c>
      <c r="D155" s="1087">
        <f>Deflators_original!B155</f>
        <v>0</v>
      </c>
      <c r="E155" s="1087">
        <f>Deflators_original!C155</f>
        <v>94.43</v>
      </c>
      <c r="F155" s="1087">
        <f>Deflators_original!D155</f>
        <v>9.7305389221558104E-3</v>
      </c>
      <c r="G155" s="1087">
        <f>Deflators_original!E155</f>
        <v>94.394999999999996</v>
      </c>
      <c r="H155" s="1087">
        <f>Deflators_original!F155</f>
        <v>1.02420856610801E-2</v>
      </c>
      <c r="I155" s="1087">
        <f>Deflators_original!G155</f>
        <v>92.781000000000006</v>
      </c>
      <c r="J155" s="1087">
        <f>Deflators_original!H155</f>
        <v>1.5453819129026301E-2</v>
      </c>
      <c r="K155" s="1087">
        <f>Deflators_original!I155</f>
        <v>91.698999999999998</v>
      </c>
      <c r="L155" s="1087">
        <f>Deflators_original!J155</f>
        <v>7.6923922240903497E-3</v>
      </c>
    </row>
    <row r="156" spans="1:12" x14ac:dyDescent="0.3">
      <c r="A156" s="1085" t="str">
        <f>Deflators_original!K156</f>
        <v>2008 Q3</v>
      </c>
      <c r="B156" s="1085" t="str">
        <f>Deflators_original!L156</f>
        <v>historical</v>
      </c>
      <c r="C156" s="1087">
        <f>Deflators_original!A156</f>
        <v>94.804000000000002</v>
      </c>
      <c r="D156" s="1087">
        <f>Deflators_original!B156</f>
        <v>0</v>
      </c>
      <c r="E156" s="1087">
        <f>Deflators_original!C156</f>
        <v>95.438000000000002</v>
      </c>
      <c r="F156" s="1087">
        <f>Deflators_original!D156</f>
        <v>1.06745737583394E-2</v>
      </c>
      <c r="G156" s="1087">
        <f>Deflators_original!E156</f>
        <v>95.102999999999994</v>
      </c>
      <c r="H156" s="1087">
        <f>Deflators_original!F156</f>
        <v>7.5003972668044004E-3</v>
      </c>
      <c r="I156" s="1087">
        <f>Deflators_original!G156</f>
        <v>94.036000000000001</v>
      </c>
      <c r="J156" s="1087">
        <f>Deflators_original!H156</f>
        <v>1.35264763259719E-2</v>
      </c>
      <c r="K156" s="1087">
        <f>Deflators_original!I156</f>
        <v>92.884</v>
      </c>
      <c r="L156" s="1087">
        <f>Deflators_original!J156</f>
        <v>1.29227145334192E-2</v>
      </c>
    </row>
    <row r="157" spans="1:12" x14ac:dyDescent="0.3">
      <c r="A157" s="1085" t="str">
        <f>Deflators_original!K157</f>
        <v>2008 Q4</v>
      </c>
      <c r="B157" s="1085" t="str">
        <f>Deflators_original!L157</f>
        <v>historical</v>
      </c>
      <c r="C157" s="1087">
        <f>Deflators_original!A157</f>
        <v>94.974999999999994</v>
      </c>
      <c r="D157" s="1087">
        <f>Deflators_original!B157</f>
        <v>0</v>
      </c>
      <c r="E157" s="1087">
        <f>Deflators_original!C157</f>
        <v>93.914000000000001</v>
      </c>
      <c r="F157" s="1087">
        <f>Deflators_original!D157</f>
        <v>-1.59684821559547E-2</v>
      </c>
      <c r="G157" s="1087">
        <f>Deflators_original!E157</f>
        <v>94.65</v>
      </c>
      <c r="H157" s="1087">
        <f>Deflators_original!F157</f>
        <v>-4.7632566795998699E-3</v>
      </c>
      <c r="I157" s="1087">
        <f>Deflators_original!G157</f>
        <v>92.242000000000004</v>
      </c>
      <c r="J157" s="1087">
        <f>Deflators_original!H157</f>
        <v>-1.9077799991492599E-2</v>
      </c>
      <c r="K157" s="1087">
        <f>Deflators_original!I157</f>
        <v>94.585999999999999</v>
      </c>
      <c r="L157" s="1087">
        <f>Deflators_original!J157</f>
        <v>1.8323930924594199E-2</v>
      </c>
    </row>
    <row r="158" spans="1:12" x14ac:dyDescent="0.3">
      <c r="A158" s="1085" t="str">
        <f>Deflators_original!K158</f>
        <v>2009 Q1</v>
      </c>
      <c r="B158" s="1085" t="str">
        <f>Deflators_original!L158</f>
        <v>historical</v>
      </c>
      <c r="C158" s="1087">
        <f>Deflators_original!A158</f>
        <v>95.001000000000005</v>
      </c>
      <c r="D158" s="1087">
        <f>Deflators_original!B158</f>
        <v>0</v>
      </c>
      <c r="E158" s="1087">
        <f>Deflators_original!C158</f>
        <v>93.28</v>
      </c>
      <c r="F158" s="1087">
        <f>Deflators_original!D158</f>
        <v>-6.7508571671954804E-3</v>
      </c>
      <c r="G158" s="1087">
        <f>Deflators_original!E158</f>
        <v>93.855999999999995</v>
      </c>
      <c r="H158" s="1087">
        <f>Deflators_original!F158</f>
        <v>-8.3888008452193095E-3</v>
      </c>
      <c r="I158" s="1087">
        <f>Deflators_original!G158</f>
        <v>90.620999999999995</v>
      </c>
      <c r="J158" s="1087">
        <f>Deflators_original!H158</f>
        <v>-1.7573339693415201E-2</v>
      </c>
      <c r="K158" s="1087">
        <f>Deflators_original!I158</f>
        <v>95.176000000000002</v>
      </c>
      <c r="L158" s="1087">
        <f>Deflators_original!J158</f>
        <v>6.2377095976149403E-3</v>
      </c>
    </row>
    <row r="159" spans="1:12" x14ac:dyDescent="0.3">
      <c r="A159" s="1085" t="str">
        <f>Deflators_original!K159</f>
        <v>2009 Q2</v>
      </c>
      <c r="B159" s="1085" t="str">
        <f>Deflators_original!L159</f>
        <v>historical</v>
      </c>
      <c r="C159" s="1087">
        <f>Deflators_original!A159</f>
        <v>94.87</v>
      </c>
      <c r="D159" s="1087">
        <f>Deflators_original!B159</f>
        <v>0</v>
      </c>
      <c r="E159" s="1087">
        <f>Deflators_original!C159</f>
        <v>93.650999999999996</v>
      </c>
      <c r="F159" s="1087">
        <f>Deflators_original!D159</f>
        <v>3.9772727272726601E-3</v>
      </c>
      <c r="G159" s="1087">
        <f>Deflators_original!E159</f>
        <v>93.873000000000005</v>
      </c>
      <c r="H159" s="1087">
        <f>Deflators_original!F159</f>
        <v>1.81128537333874E-4</v>
      </c>
      <c r="I159" s="1087">
        <f>Deflators_original!G159</f>
        <v>91.066999999999993</v>
      </c>
      <c r="J159" s="1087">
        <f>Deflators_original!H159</f>
        <v>4.9215965394333603E-3</v>
      </c>
      <c r="K159" s="1087">
        <f>Deflators_original!I159</f>
        <v>94.34</v>
      </c>
      <c r="L159" s="1087">
        <f>Deflators_original!J159</f>
        <v>-8.7837269899974108E-3</v>
      </c>
    </row>
    <row r="160" spans="1:12" x14ac:dyDescent="0.3">
      <c r="A160" s="1085" t="str">
        <f>Deflators_original!K160</f>
        <v>2009 Q3</v>
      </c>
      <c r="B160" s="1085" t="str">
        <f>Deflators_original!L160</f>
        <v>historical</v>
      </c>
      <c r="C160" s="1087">
        <f>Deflators_original!A160</f>
        <v>94.927999999999997</v>
      </c>
      <c r="D160" s="1087">
        <f>Deflators_original!B160</f>
        <v>0</v>
      </c>
      <c r="E160" s="1087">
        <f>Deflators_original!C160</f>
        <v>94.296000000000006</v>
      </c>
      <c r="F160" s="1087">
        <f>Deflators_original!D160</f>
        <v>6.88727296024605E-3</v>
      </c>
      <c r="G160" s="1087">
        <f>Deflators_original!E160</f>
        <v>94.16</v>
      </c>
      <c r="H160" s="1087">
        <f>Deflators_original!F160</f>
        <v>3.0573221267029501E-3</v>
      </c>
      <c r="I160" s="1087">
        <f>Deflators_original!G160</f>
        <v>91.849000000000004</v>
      </c>
      <c r="J160" s="1087">
        <f>Deflators_original!H160</f>
        <v>8.5870842346844594E-3</v>
      </c>
      <c r="K160" s="1087">
        <f>Deflators_original!I160</f>
        <v>93.49</v>
      </c>
      <c r="L160" s="1087">
        <f>Deflators_original!J160</f>
        <v>-9.0099639601441996E-3</v>
      </c>
    </row>
    <row r="161" spans="1:12" x14ac:dyDescent="0.3">
      <c r="A161" s="1085" t="str">
        <f>Deflators_original!K161</f>
        <v>2009 Q4</v>
      </c>
      <c r="B161" s="1085" t="str">
        <f>Deflators_original!L161</f>
        <v>historical</v>
      </c>
      <c r="C161" s="1087">
        <f>Deflators_original!A161</f>
        <v>95.277000000000001</v>
      </c>
      <c r="D161" s="1087">
        <f>Deflators_original!B161</f>
        <v>0</v>
      </c>
      <c r="E161" s="1087">
        <f>Deflators_original!C161</f>
        <v>95.024000000000001</v>
      </c>
      <c r="F161" s="1087">
        <f>Deflators_original!D161</f>
        <v>7.7203698990413504E-3</v>
      </c>
      <c r="G161" s="1087">
        <f>Deflators_original!E161</f>
        <v>94.884</v>
      </c>
      <c r="H161" s="1087">
        <f>Deflators_original!F161</f>
        <v>7.6890399320306297E-3</v>
      </c>
      <c r="I161" s="1087">
        <f>Deflators_original!G161</f>
        <v>92.700999999999993</v>
      </c>
      <c r="J161" s="1087">
        <f>Deflators_original!H161</f>
        <v>9.2760944593843798E-3</v>
      </c>
      <c r="K161" s="1087">
        <f>Deflators_original!I161</f>
        <v>93.418000000000006</v>
      </c>
      <c r="L161" s="1087">
        <f>Deflators_original!J161</f>
        <v>-7.7013584340557305E-4</v>
      </c>
    </row>
    <row r="162" spans="1:12" x14ac:dyDescent="0.3">
      <c r="A162" s="1085" t="str">
        <f>Deflators_original!K162</f>
        <v>2010 Q1</v>
      </c>
      <c r="B162" s="1085" t="str">
        <f>Deflators_original!L162</f>
        <v>historical</v>
      </c>
      <c r="C162" s="1087">
        <f>Deflators_original!A162</f>
        <v>95.518000000000001</v>
      </c>
      <c r="D162" s="1087">
        <f>Deflators_original!B162</f>
        <v>0</v>
      </c>
      <c r="E162" s="1087">
        <f>Deflators_original!C162</f>
        <v>95.391000000000005</v>
      </c>
      <c r="F162" s="1087">
        <f>Deflators_original!D162</f>
        <v>3.8621821855531202E-3</v>
      </c>
      <c r="G162" s="1087">
        <f>Deflators_original!E162</f>
        <v>95.488</v>
      </c>
      <c r="H162" s="1087">
        <f>Deflators_original!F162</f>
        <v>6.3656675519581096E-3</v>
      </c>
      <c r="I162" s="1087">
        <f>Deflators_original!G162</f>
        <v>93.771000000000001</v>
      </c>
      <c r="J162" s="1087">
        <f>Deflators_original!H162</f>
        <v>1.15424860573241E-2</v>
      </c>
      <c r="K162" s="1087">
        <f>Deflators_original!I162</f>
        <v>93.683000000000007</v>
      </c>
      <c r="L162" s="1087">
        <f>Deflators_original!J162</f>
        <v>2.8367124108843499E-3</v>
      </c>
    </row>
    <row r="163" spans="1:12" x14ac:dyDescent="0.3">
      <c r="A163" s="1085" t="str">
        <f>Deflators_original!K163</f>
        <v>2010 Q2</v>
      </c>
      <c r="B163" s="1085" t="str">
        <f>Deflators_original!L163</f>
        <v>historical</v>
      </c>
      <c r="C163" s="1087">
        <f>Deflators_original!A163</f>
        <v>95.962999999999994</v>
      </c>
      <c r="D163" s="1087">
        <f>Deflators_original!B163</f>
        <v>0</v>
      </c>
      <c r="E163" s="1087">
        <f>Deflators_original!C163</f>
        <v>95.539000000000001</v>
      </c>
      <c r="F163" s="1087">
        <f>Deflators_original!D163</f>
        <v>1.5515090522166799E-3</v>
      </c>
      <c r="G163" s="1087">
        <f>Deflators_original!E163</f>
        <v>96.22</v>
      </c>
      <c r="H163" s="1087">
        <f>Deflators_original!F163</f>
        <v>7.6658847184987201E-3</v>
      </c>
      <c r="I163" s="1087">
        <f>Deflators_original!G163</f>
        <v>94.444999999999993</v>
      </c>
      <c r="J163" s="1087">
        <f>Deflators_original!H163</f>
        <v>7.18772328331774E-3</v>
      </c>
      <c r="K163" s="1087">
        <f>Deflators_original!I163</f>
        <v>94.09</v>
      </c>
      <c r="L163" s="1087">
        <f>Deflators_original!J163</f>
        <v>4.3444381584705196E-3</v>
      </c>
    </row>
    <row r="164" spans="1:12" x14ac:dyDescent="0.3">
      <c r="A164" s="1085" t="str">
        <f>Deflators_original!K164</f>
        <v>2010 Q3</v>
      </c>
      <c r="B164" s="1085" t="str">
        <f>Deflators_original!L164</f>
        <v>historical</v>
      </c>
      <c r="C164" s="1087">
        <f>Deflators_original!A164</f>
        <v>96.311999999999998</v>
      </c>
      <c r="D164" s="1087">
        <f>Deflators_original!B164</f>
        <v>0</v>
      </c>
      <c r="E164" s="1087">
        <f>Deflators_original!C164</f>
        <v>95.722999999999999</v>
      </c>
      <c r="F164" s="1087">
        <f>Deflators_original!D164</f>
        <v>1.925915071332E-3</v>
      </c>
      <c r="G164" s="1087">
        <f>Deflators_original!E164</f>
        <v>96.602000000000004</v>
      </c>
      <c r="H164" s="1087">
        <f>Deflators_original!F164</f>
        <v>3.97006859280813E-3</v>
      </c>
      <c r="I164" s="1087">
        <f>Deflators_original!G164</f>
        <v>94.984999999999999</v>
      </c>
      <c r="J164" s="1087">
        <f>Deflators_original!H164</f>
        <v>5.7176134258034601E-3</v>
      </c>
      <c r="K164" s="1087">
        <f>Deflators_original!I164</f>
        <v>94.385999999999996</v>
      </c>
      <c r="L164" s="1087">
        <f>Deflators_original!J164</f>
        <v>3.1459241152087501E-3</v>
      </c>
    </row>
    <row r="165" spans="1:12" x14ac:dyDescent="0.3">
      <c r="A165" s="1085" t="str">
        <f>Deflators_original!K165</f>
        <v>2010 Q4</v>
      </c>
      <c r="B165" s="1085" t="str">
        <f>Deflators_original!L165</f>
        <v>historical</v>
      </c>
      <c r="C165" s="1087">
        <f>Deflators_original!A165</f>
        <v>96.864000000000004</v>
      </c>
      <c r="D165" s="1087">
        <f>Deflators_original!B165</f>
        <v>0</v>
      </c>
      <c r="E165" s="1087">
        <f>Deflators_original!C165</f>
        <v>96.335999999999999</v>
      </c>
      <c r="F165" s="1087">
        <f>Deflators_original!D165</f>
        <v>6.4038945707927102E-3</v>
      </c>
      <c r="G165" s="1087">
        <f>Deflators_original!E165</f>
        <v>97.388000000000005</v>
      </c>
      <c r="H165" s="1087">
        <f>Deflators_original!F165</f>
        <v>8.1364775056416098E-3</v>
      </c>
      <c r="I165" s="1087">
        <f>Deflators_original!G165</f>
        <v>95.872</v>
      </c>
      <c r="J165" s="1087">
        <f>Deflators_original!H165</f>
        <v>9.3383165763014607E-3</v>
      </c>
      <c r="K165" s="1087">
        <f>Deflators_original!I165</f>
        <v>94.81</v>
      </c>
      <c r="L165" s="1087">
        <f>Deflators_original!J165</f>
        <v>4.4921916385904899E-3</v>
      </c>
    </row>
    <row r="166" spans="1:12" x14ac:dyDescent="0.3">
      <c r="A166" s="1085" t="str">
        <f>Deflators_original!K166</f>
        <v>2011 Q1</v>
      </c>
      <c r="B166" s="1085" t="str">
        <f>Deflators_original!L166</f>
        <v>historical</v>
      </c>
      <c r="C166" s="1087">
        <f>Deflators_original!A166</f>
        <v>97.338999999999999</v>
      </c>
      <c r="D166" s="1087">
        <f>Deflators_original!B166</f>
        <v>0</v>
      </c>
      <c r="E166" s="1087">
        <f>Deflators_original!C166</f>
        <v>97.144999999999996</v>
      </c>
      <c r="F166" s="1087">
        <f>Deflators_original!D166</f>
        <v>8.3976914133865304E-3</v>
      </c>
      <c r="G166" s="1087">
        <f>Deflators_original!E166</f>
        <v>98.263000000000005</v>
      </c>
      <c r="H166" s="1087">
        <f>Deflators_original!F166</f>
        <v>8.9846798373516296E-3</v>
      </c>
      <c r="I166" s="1087">
        <f>Deflators_original!G166</f>
        <v>96.936000000000007</v>
      </c>
      <c r="J166" s="1087">
        <f>Deflators_original!H166</f>
        <v>1.10981308411215E-2</v>
      </c>
      <c r="K166" s="1087">
        <f>Deflators_original!I166</f>
        <v>95.382999999999996</v>
      </c>
      <c r="L166" s="1087">
        <f>Deflators_original!J166</f>
        <v>6.0436662799281402E-3</v>
      </c>
    </row>
    <row r="167" spans="1:12" x14ac:dyDescent="0.3">
      <c r="A167" s="1085" t="str">
        <f>Deflators_original!K167</f>
        <v>2011 Q2</v>
      </c>
      <c r="B167" s="1085" t="str">
        <f>Deflators_original!L167</f>
        <v>historical</v>
      </c>
      <c r="C167" s="1087">
        <f>Deflators_original!A167</f>
        <v>98.042000000000002</v>
      </c>
      <c r="D167" s="1087">
        <f>Deflators_original!B167</f>
        <v>0</v>
      </c>
      <c r="E167" s="1087">
        <f>Deflators_original!C167</f>
        <v>98.1</v>
      </c>
      <c r="F167" s="1087">
        <f>Deflators_original!D167</f>
        <v>9.8306655000257592E-3</v>
      </c>
      <c r="G167" s="1087">
        <f>Deflators_original!E167</f>
        <v>99.152000000000001</v>
      </c>
      <c r="H167" s="1087">
        <f>Deflators_original!F167</f>
        <v>9.0471489777432801E-3</v>
      </c>
      <c r="I167" s="1087">
        <f>Deflators_original!G167</f>
        <v>98.144999999999996</v>
      </c>
      <c r="J167" s="1087">
        <f>Deflators_original!H167</f>
        <v>1.24721465709332E-2</v>
      </c>
      <c r="K167" s="1087">
        <f>Deflators_original!I167</f>
        <v>96.346999999999994</v>
      </c>
      <c r="L167" s="1087">
        <f>Deflators_original!J167</f>
        <v>1.01066227734501E-2</v>
      </c>
    </row>
    <row r="168" spans="1:12" x14ac:dyDescent="0.3">
      <c r="A168" s="1085" t="str">
        <f>Deflators_original!K168</f>
        <v>2011 Q3</v>
      </c>
      <c r="B168" s="1085" t="str">
        <f>Deflators_original!L168</f>
        <v>historical</v>
      </c>
      <c r="C168" s="1087">
        <f>Deflators_original!A168</f>
        <v>98.561000000000007</v>
      </c>
      <c r="D168" s="1087">
        <f>Deflators_original!B168</f>
        <v>0</v>
      </c>
      <c r="E168" s="1087">
        <f>Deflators_original!C168</f>
        <v>98.554000000000002</v>
      </c>
      <c r="F168" s="1087">
        <f>Deflators_original!D168</f>
        <v>4.6279306829766203E-3</v>
      </c>
      <c r="G168" s="1087">
        <f>Deflators_original!E168</f>
        <v>99.497</v>
      </c>
      <c r="H168" s="1087">
        <f>Deflators_original!F168</f>
        <v>3.4795062126835598E-3</v>
      </c>
      <c r="I168" s="1087">
        <f>Deflators_original!G168</f>
        <v>98.516999999999996</v>
      </c>
      <c r="J168" s="1087">
        <f>Deflators_original!H168</f>
        <v>3.7903102552345699E-3</v>
      </c>
      <c r="K168" s="1087">
        <f>Deflators_original!I168</f>
        <v>97.436000000000007</v>
      </c>
      <c r="L168" s="1087">
        <f>Deflators_original!J168</f>
        <v>1.13028947450362E-2</v>
      </c>
    </row>
    <row r="169" spans="1:12" x14ac:dyDescent="0.3">
      <c r="A169" s="1085" t="str">
        <f>Deflators_original!K169</f>
        <v>2011 Q4</v>
      </c>
      <c r="B169" s="1085" t="str">
        <f>Deflators_original!L169</f>
        <v>historical</v>
      </c>
      <c r="C169" s="1087">
        <f>Deflators_original!A169</f>
        <v>98.686999999999998</v>
      </c>
      <c r="D169" s="1087">
        <f>Deflators_original!B169</f>
        <v>0</v>
      </c>
      <c r="E169" s="1087">
        <f>Deflators_original!C169</f>
        <v>98.879000000000005</v>
      </c>
      <c r="F169" s="1087">
        <f>Deflators_original!D169</f>
        <v>3.2976845181322801E-3</v>
      </c>
      <c r="G169" s="1087">
        <f>Deflators_original!E169</f>
        <v>99.364000000000004</v>
      </c>
      <c r="H169" s="1087">
        <f>Deflators_original!F169</f>
        <v>-1.3367237203131301E-3</v>
      </c>
      <c r="I169" s="1087">
        <f>Deflators_original!G169</f>
        <v>98.168000000000006</v>
      </c>
      <c r="J169" s="1087">
        <f>Deflators_original!H169</f>
        <v>-3.54253580600294E-3</v>
      </c>
      <c r="K169" s="1087">
        <f>Deflators_original!I169</f>
        <v>98.352000000000004</v>
      </c>
      <c r="L169" s="1087">
        <f>Deflators_original!J169</f>
        <v>9.4010427357444897E-3</v>
      </c>
    </row>
    <row r="170" spans="1:12" x14ac:dyDescent="0.3">
      <c r="A170" s="1085" t="str">
        <f>Deflators_original!K170</f>
        <v>2012 Q1</v>
      </c>
      <c r="B170" s="1085" t="str">
        <f>Deflators_original!L170</f>
        <v>historical</v>
      </c>
      <c r="C170" s="1087">
        <f>Deflators_original!A170</f>
        <v>99.277000000000001</v>
      </c>
      <c r="D170" s="1087">
        <f>Deflators_original!B170</f>
        <v>0</v>
      </c>
      <c r="E170" s="1087">
        <f>Deflators_original!C170</f>
        <v>99.534000000000006</v>
      </c>
      <c r="F170" s="1087">
        <f>Deflators_original!D170</f>
        <v>6.6242579314110799E-3</v>
      </c>
      <c r="G170" s="1087">
        <f>Deflators_original!E170</f>
        <v>99.707999999999998</v>
      </c>
      <c r="H170" s="1087">
        <f>Deflators_original!F170</f>
        <v>3.4620184372609101E-3</v>
      </c>
      <c r="I170" s="1087">
        <f>Deflators_original!G170</f>
        <v>99.47</v>
      </c>
      <c r="J170" s="1087">
        <f>Deflators_original!H170</f>
        <v>1.32629777524242E-2</v>
      </c>
      <c r="K170" s="1087">
        <f>Deflators_original!I170</f>
        <v>99.088999999999999</v>
      </c>
      <c r="L170" s="1087">
        <f>Deflators_original!J170</f>
        <v>7.4934927606962196E-3</v>
      </c>
    </row>
    <row r="171" spans="1:12" x14ac:dyDescent="0.3">
      <c r="A171" s="1085" t="str">
        <f>Deflators_original!K171</f>
        <v>2012 Q2</v>
      </c>
      <c r="B171" s="1085" t="str">
        <f>Deflators_original!L171</f>
        <v>historical</v>
      </c>
      <c r="C171" s="1087">
        <f>Deflators_original!A171</f>
        <v>99.69</v>
      </c>
      <c r="D171" s="1087">
        <f>Deflators_original!B171</f>
        <v>0</v>
      </c>
      <c r="E171" s="1087">
        <f>Deflators_original!C171</f>
        <v>99.775000000000006</v>
      </c>
      <c r="F171" s="1087">
        <f>Deflators_original!D171</f>
        <v>2.4212831796171E-3</v>
      </c>
      <c r="G171" s="1087">
        <f>Deflators_original!E171</f>
        <v>99.927999999999997</v>
      </c>
      <c r="H171" s="1087">
        <f>Deflators_original!F171</f>
        <v>2.2064428130139598E-3</v>
      </c>
      <c r="I171" s="1087">
        <f>Deflators_original!G171</f>
        <v>99.296000000000006</v>
      </c>
      <c r="J171" s="1087">
        <f>Deflators_original!H171</f>
        <v>-1.7492711370261599E-3</v>
      </c>
      <c r="K171" s="1087">
        <f>Deflators_original!I171</f>
        <v>99.879000000000005</v>
      </c>
      <c r="L171" s="1087">
        <f>Deflators_original!J171</f>
        <v>7.9726306653615797E-3</v>
      </c>
    </row>
    <row r="172" spans="1:12" x14ac:dyDescent="0.3">
      <c r="A172" s="1085" t="str">
        <f>Deflators_original!K172</f>
        <v>2012 Q3</v>
      </c>
      <c r="B172" s="1085" t="str">
        <f>Deflators_original!L172</f>
        <v>historical</v>
      </c>
      <c r="C172" s="1087">
        <f>Deflators_original!A172</f>
        <v>100.304</v>
      </c>
      <c r="D172" s="1087">
        <f>Deflators_original!B172</f>
        <v>0</v>
      </c>
      <c r="E172" s="1087">
        <f>Deflators_original!C172</f>
        <v>100.065</v>
      </c>
      <c r="F172" s="1087">
        <f>Deflators_original!D172</f>
        <v>2.90653971435728E-3</v>
      </c>
      <c r="G172" s="1087">
        <f>Deflators_original!E172</f>
        <v>100.12</v>
      </c>
      <c r="H172" s="1087">
        <f>Deflators_original!F172</f>
        <v>1.9213833960451999E-3</v>
      </c>
      <c r="I172" s="1087">
        <f>Deflators_original!G172</f>
        <v>99.897000000000006</v>
      </c>
      <c r="J172" s="1087">
        <f>Deflators_original!H172</f>
        <v>6.0526103770543998E-3</v>
      </c>
      <c r="K172" s="1087">
        <f>Deflators_original!I172</f>
        <v>100.417</v>
      </c>
      <c r="L172" s="1087">
        <f>Deflators_original!J172</f>
        <v>5.3865176864005297E-3</v>
      </c>
    </row>
    <row r="173" spans="1:12" x14ac:dyDescent="0.3">
      <c r="A173" s="1085" t="str">
        <f>Deflators_original!K173</f>
        <v>2012 Q4</v>
      </c>
      <c r="B173" s="1085" t="str">
        <f>Deflators_original!L173</f>
        <v>historical</v>
      </c>
      <c r="C173" s="1087">
        <f>Deflators_original!A173</f>
        <v>100.73</v>
      </c>
      <c r="D173" s="1087">
        <f>Deflators_original!B173</f>
        <v>0</v>
      </c>
      <c r="E173" s="1087">
        <f>Deflators_original!C173</f>
        <v>100.626</v>
      </c>
      <c r="F173" s="1087">
        <f>Deflators_original!D173</f>
        <v>5.6063558686854104E-3</v>
      </c>
      <c r="G173" s="1087">
        <f>Deflators_original!E173</f>
        <v>100.244</v>
      </c>
      <c r="H173" s="1087">
        <f>Deflators_original!F173</f>
        <v>1.2385137834598501E-3</v>
      </c>
      <c r="I173" s="1087">
        <f>Deflators_original!G173</f>
        <v>101.337</v>
      </c>
      <c r="J173" s="1087">
        <f>Deflators_original!H173</f>
        <v>1.4414847292711501E-2</v>
      </c>
      <c r="K173" s="1087">
        <f>Deflators_original!I173</f>
        <v>100.61499999999999</v>
      </c>
      <c r="L173" s="1087">
        <f>Deflators_original!J173</f>
        <v>1.9717776870449301E-3</v>
      </c>
    </row>
    <row r="174" spans="1:12" x14ac:dyDescent="0.3">
      <c r="A174" s="1085" t="str">
        <f>Deflators_original!K174</f>
        <v>2013 Q1</v>
      </c>
      <c r="B174" s="1085" t="str">
        <f>Deflators_original!L174</f>
        <v>historical</v>
      </c>
      <c r="C174" s="1087">
        <f>Deflators_original!A174</f>
        <v>101.124</v>
      </c>
      <c r="D174" s="1087">
        <f>Deflators_original!B174</f>
        <v>0</v>
      </c>
      <c r="E174" s="1087">
        <f>Deflators_original!C174</f>
        <v>100.989</v>
      </c>
      <c r="F174" s="1087">
        <f>Deflators_original!D174</f>
        <v>3.60741756603655E-3</v>
      </c>
      <c r="G174" s="1087">
        <f>Deflators_original!E174</f>
        <v>100.239</v>
      </c>
      <c r="H174" s="1087">
        <f>Deflators_original!F174</f>
        <v>-4.9878296955352397E-5</v>
      </c>
      <c r="I174" s="1087">
        <f>Deflators_original!G174</f>
        <v>102.663</v>
      </c>
      <c r="J174" s="1087">
        <f>Deflators_original!H174</f>
        <v>1.3085052843482501E-2</v>
      </c>
      <c r="K174" s="1087">
        <f>Deflators_original!I174</f>
        <v>101.023</v>
      </c>
      <c r="L174" s="1087">
        <f>Deflators_original!J174</f>
        <v>4.05506137255873E-3</v>
      </c>
    </row>
    <row r="175" spans="1:12" x14ac:dyDescent="0.3">
      <c r="A175" s="1085" t="str">
        <f>Deflators_original!K175</f>
        <v>2013 Q2</v>
      </c>
      <c r="B175" s="1085" t="str">
        <f>Deflators_original!L175</f>
        <v>historical</v>
      </c>
      <c r="C175" s="1087">
        <f>Deflators_original!A175</f>
        <v>101.428</v>
      </c>
      <c r="D175" s="1087">
        <f>Deflators_original!B175</f>
        <v>0</v>
      </c>
      <c r="E175" s="1087">
        <f>Deflators_original!C175</f>
        <v>101.06100000000001</v>
      </c>
      <c r="F175" s="1087">
        <f>Deflators_original!D175</f>
        <v>7.1294893503259804E-4</v>
      </c>
      <c r="G175" s="1087">
        <f>Deflators_original!E175</f>
        <v>100.437</v>
      </c>
      <c r="H175" s="1087">
        <f>Deflators_original!F175</f>
        <v>1.9752790829916699E-3</v>
      </c>
      <c r="I175" s="1087">
        <f>Deflators_original!G175</f>
        <v>103.21</v>
      </c>
      <c r="J175" s="1087">
        <f>Deflators_original!H175</f>
        <v>5.3281123676494103E-3</v>
      </c>
      <c r="K175" s="1087">
        <f>Deflators_original!I175</f>
        <v>101.538</v>
      </c>
      <c r="L175" s="1087">
        <f>Deflators_original!J175</f>
        <v>5.0978490046820202E-3</v>
      </c>
    </row>
    <row r="176" spans="1:12" x14ac:dyDescent="0.3">
      <c r="A176" s="1085" t="str">
        <f>Deflators_original!K176</f>
        <v>2013 Q3</v>
      </c>
      <c r="B176" s="1085" t="str">
        <f>Deflators_original!L176</f>
        <v>historical</v>
      </c>
      <c r="C176" s="1087">
        <f>Deflators_original!A176</f>
        <v>101.973</v>
      </c>
      <c r="D176" s="1087">
        <f>Deflators_original!B176</f>
        <v>0</v>
      </c>
      <c r="E176" s="1087">
        <f>Deflators_original!C176</f>
        <v>101.471</v>
      </c>
      <c r="F176" s="1087">
        <f>Deflators_original!D176</f>
        <v>4.0569557000227404E-3</v>
      </c>
      <c r="G176" s="1087">
        <f>Deflators_original!E176</f>
        <v>100.762</v>
      </c>
      <c r="H176" s="1087">
        <f>Deflators_original!F176</f>
        <v>3.23585929488135E-3</v>
      </c>
      <c r="I176" s="1087">
        <f>Deflators_original!G176</f>
        <v>104.08199999999999</v>
      </c>
      <c r="J176" s="1087">
        <f>Deflators_original!H176</f>
        <v>8.4487937215385108E-3</v>
      </c>
      <c r="K176" s="1087">
        <f>Deflators_original!I176</f>
        <v>102.08499999999999</v>
      </c>
      <c r="L176" s="1087">
        <f>Deflators_original!J176</f>
        <v>5.3871456991470001E-3</v>
      </c>
    </row>
    <row r="177" spans="1:12" x14ac:dyDescent="0.3">
      <c r="A177" s="1085" t="str">
        <f>Deflators_original!K177</f>
        <v>2013 Q4</v>
      </c>
      <c r="B177" s="1085" t="str">
        <f>Deflators_original!L177</f>
        <v>historical</v>
      </c>
      <c r="C177" s="1087">
        <f>Deflators_original!A177</f>
        <v>102.55</v>
      </c>
      <c r="D177" s="1087">
        <f>Deflators_original!B177</f>
        <v>0</v>
      </c>
      <c r="E177" s="1087">
        <f>Deflators_original!C177</f>
        <v>101.896</v>
      </c>
      <c r="F177" s="1087">
        <f>Deflators_original!D177</f>
        <v>4.1883888007410199E-3</v>
      </c>
      <c r="G177" s="1087">
        <f>Deflators_original!E177</f>
        <v>102.295</v>
      </c>
      <c r="H177" s="1087">
        <f>Deflators_original!F177</f>
        <v>1.5214068795776199E-2</v>
      </c>
      <c r="I177" s="1087">
        <f>Deflators_original!G177</f>
        <v>104.636</v>
      </c>
      <c r="J177" s="1087">
        <f>Deflators_original!H177</f>
        <v>5.3227263119464104E-3</v>
      </c>
      <c r="K177" s="1087">
        <f>Deflators_original!I177</f>
        <v>102.85599999999999</v>
      </c>
      <c r="L177" s="1087">
        <f>Deflators_original!J177</f>
        <v>7.55252975461618E-3</v>
      </c>
    </row>
    <row r="178" spans="1:12" x14ac:dyDescent="0.3">
      <c r="A178" s="1085" t="str">
        <f>Deflators_original!K178</f>
        <v>2014 Q1</v>
      </c>
      <c r="B178" s="1085" t="str">
        <f>Deflators_original!L178</f>
        <v>historical</v>
      </c>
      <c r="C178" s="1087">
        <f>Deflators_original!A178</f>
        <v>102.965</v>
      </c>
      <c r="D178" s="1087">
        <f>Deflators_original!B178</f>
        <v>0</v>
      </c>
      <c r="E178" s="1087">
        <f>Deflators_original!C178</f>
        <v>102.386</v>
      </c>
      <c r="F178" s="1087">
        <f>Deflators_original!D178</f>
        <v>4.8088246839914604E-3</v>
      </c>
      <c r="G178" s="1087">
        <f>Deflators_original!E178</f>
        <v>102.03100000000001</v>
      </c>
      <c r="H178" s="1087">
        <f>Deflators_original!F178</f>
        <v>-2.5807712986949398E-3</v>
      </c>
      <c r="I178" s="1087">
        <f>Deflators_original!G178</f>
        <v>105.515</v>
      </c>
      <c r="J178" s="1087">
        <f>Deflators_original!H178</f>
        <v>8.4005504797584098E-3</v>
      </c>
      <c r="K178" s="1087">
        <f>Deflators_original!I178</f>
        <v>103.435</v>
      </c>
      <c r="L178" s="1087">
        <f>Deflators_original!J178</f>
        <v>5.6292292136579398E-3</v>
      </c>
    </row>
    <row r="179" spans="1:12" x14ac:dyDescent="0.3">
      <c r="A179" s="1085" t="str">
        <f>Deflators_original!K179</f>
        <v>2014 Q2</v>
      </c>
      <c r="B179" s="1085" t="str">
        <f>Deflators_original!L179</f>
        <v>historical</v>
      </c>
      <c r="C179" s="1087">
        <f>Deflators_original!A179</f>
        <v>103.55200000000001</v>
      </c>
      <c r="D179" s="1087">
        <f>Deflators_original!B179</f>
        <v>0</v>
      </c>
      <c r="E179" s="1087">
        <f>Deflators_original!C179</f>
        <v>102.899</v>
      </c>
      <c r="F179" s="1087">
        <f>Deflators_original!D179</f>
        <v>5.0104506475494599E-3</v>
      </c>
      <c r="G179" s="1087">
        <f>Deflators_original!E179</f>
        <v>102.482</v>
      </c>
      <c r="H179" s="1087">
        <f>Deflators_original!F179</f>
        <v>4.4202252256666501E-3</v>
      </c>
      <c r="I179" s="1087">
        <f>Deflators_original!G179</f>
        <v>105.848</v>
      </c>
      <c r="J179" s="1087">
        <f>Deflators_original!H179</f>
        <v>3.1559493910817702E-3</v>
      </c>
      <c r="K179" s="1087">
        <f>Deflators_original!I179</f>
        <v>103.907</v>
      </c>
      <c r="L179" s="1087">
        <f>Deflators_original!J179</f>
        <v>4.5632522840430801E-3</v>
      </c>
    </row>
    <row r="180" spans="1:12" x14ac:dyDescent="0.3">
      <c r="A180" s="1085" t="str">
        <f>Deflators_original!K180</f>
        <v>2014 Q3</v>
      </c>
      <c r="B180" s="1085" t="str">
        <f>Deflators_original!L180</f>
        <v>historical</v>
      </c>
      <c r="C180" s="1087">
        <f>Deflators_original!A180</f>
        <v>104.029</v>
      </c>
      <c r="D180" s="1087">
        <f>Deflators_original!B180</f>
        <v>0</v>
      </c>
      <c r="E180" s="1087">
        <f>Deflators_original!C180</f>
        <v>103.19</v>
      </c>
      <c r="F180" s="1087">
        <f>Deflators_original!D180</f>
        <v>2.8280158213393998E-3</v>
      </c>
      <c r="G180" s="1087">
        <f>Deflators_original!E180</f>
        <v>102.961</v>
      </c>
      <c r="H180" s="1087">
        <f>Deflators_original!F180</f>
        <v>4.6739915302198599E-3</v>
      </c>
      <c r="I180" s="1087">
        <f>Deflators_original!G180</f>
        <v>106.45399999999999</v>
      </c>
      <c r="J180" s="1087">
        <f>Deflators_original!H180</f>
        <v>5.7251908396946903E-3</v>
      </c>
      <c r="K180" s="1087">
        <f>Deflators_original!I180</f>
        <v>104.40900000000001</v>
      </c>
      <c r="L180" s="1087">
        <f>Deflators_original!J180</f>
        <v>4.8312433233566E-3</v>
      </c>
    </row>
    <row r="181" spans="1:12" x14ac:dyDescent="0.3">
      <c r="A181" s="1085" t="str">
        <f>Deflators_original!K181</f>
        <v>2014 Q4</v>
      </c>
      <c r="B181" s="1085" t="str">
        <f>Deflators_original!L181</f>
        <v>historical</v>
      </c>
      <c r="C181" s="1087">
        <f>Deflators_original!A181</f>
        <v>104.104</v>
      </c>
      <c r="D181" s="1087">
        <f>Deflators_original!B181</f>
        <v>0</v>
      </c>
      <c r="E181" s="1087">
        <f>Deflators_original!C181</f>
        <v>103.071</v>
      </c>
      <c r="F181" s="1087">
        <f>Deflators_original!D181</f>
        <v>-1.15321252059308E-3</v>
      </c>
      <c r="G181" s="1087">
        <f>Deflators_original!E181</f>
        <v>103.099</v>
      </c>
      <c r="H181" s="1087">
        <f>Deflators_original!F181</f>
        <v>1.3403133225202699E-3</v>
      </c>
      <c r="I181" s="1087">
        <f>Deflators_original!G181</f>
        <v>106.371</v>
      </c>
      <c r="J181" s="1087">
        <f>Deflators_original!H181</f>
        <v>-7.7967948597512703E-4</v>
      </c>
      <c r="K181" s="1087">
        <f>Deflators_original!I181</f>
        <v>104.593</v>
      </c>
      <c r="L181" s="1087">
        <f>Deflators_original!J181</f>
        <v>1.76230018484991E-3</v>
      </c>
    </row>
    <row r="182" spans="1:12" x14ac:dyDescent="0.3">
      <c r="A182" s="1085" t="str">
        <f>Deflators_original!K182</f>
        <v>2015 Q1</v>
      </c>
      <c r="B182" s="1085" t="str">
        <f>Deflators_original!L182</f>
        <v>historical</v>
      </c>
      <c r="C182" s="1087">
        <f>Deflators_original!A182</f>
        <v>104.092</v>
      </c>
      <c r="D182" s="1087">
        <f>Deflators_original!B182</f>
        <v>0</v>
      </c>
      <c r="E182" s="1087">
        <f>Deflators_original!C182</f>
        <v>102.643</v>
      </c>
      <c r="F182" s="1087">
        <f>Deflators_original!D182</f>
        <v>-4.1524774184784601E-3</v>
      </c>
      <c r="G182" s="1087">
        <f>Deflators_original!E182</f>
        <v>102.93300000000001</v>
      </c>
      <c r="H182" s="1087">
        <f>Deflators_original!F182</f>
        <v>-1.6101029107944401E-3</v>
      </c>
      <c r="I182" s="1087">
        <f>Deflators_original!G182</f>
        <v>105.31</v>
      </c>
      <c r="J182" s="1087">
        <f>Deflators_original!H182</f>
        <v>-9.9745231313045392E-3</v>
      </c>
      <c r="K182" s="1087">
        <f>Deflators_original!I182</f>
        <v>104.562</v>
      </c>
      <c r="L182" s="1087">
        <f>Deflators_original!J182</f>
        <v>-2.9638694750133698E-4</v>
      </c>
    </row>
    <row r="183" spans="1:12" x14ac:dyDescent="0.3">
      <c r="A183" s="1085" t="str">
        <f>Deflators_original!K183</f>
        <v>2015 Q2</v>
      </c>
      <c r="B183" s="1085" t="str">
        <f>Deflators_original!L183</f>
        <v>historical</v>
      </c>
      <c r="C183" s="1087">
        <f>Deflators_original!A183</f>
        <v>104.68300000000001</v>
      </c>
      <c r="D183" s="1087">
        <f>Deflators_original!B183</f>
        <v>0</v>
      </c>
      <c r="E183" s="1087">
        <f>Deflators_original!C183</f>
        <v>103.14100000000001</v>
      </c>
      <c r="F183" s="1087">
        <f>Deflators_original!D183</f>
        <v>4.8517677776371802E-3</v>
      </c>
      <c r="G183" s="1087">
        <f>Deflators_original!E183</f>
        <v>103.13500000000001</v>
      </c>
      <c r="H183" s="1087">
        <f>Deflators_original!F183</f>
        <v>1.9624415882175698E-3</v>
      </c>
      <c r="I183" s="1087">
        <f>Deflators_original!G183</f>
        <v>106.047</v>
      </c>
      <c r="J183" s="1087">
        <f>Deflators_original!H183</f>
        <v>6.9983857183553199E-3</v>
      </c>
      <c r="K183" s="1087">
        <f>Deflators_original!I183</f>
        <v>105.021</v>
      </c>
      <c r="L183" s="1087">
        <f>Deflators_original!J183</f>
        <v>4.3897400585299904E-3</v>
      </c>
    </row>
    <row r="184" spans="1:12" x14ac:dyDescent="0.3">
      <c r="A184" s="1085" t="str">
        <f>Deflators_original!K184</f>
        <v>2015 Q3</v>
      </c>
      <c r="B184" s="1085" t="str">
        <f>Deflators_original!L184</f>
        <v>historical</v>
      </c>
      <c r="C184" s="1087">
        <f>Deflators_original!A184</f>
        <v>104.93899999999999</v>
      </c>
      <c r="D184" s="1087">
        <f>Deflators_original!B184</f>
        <v>0</v>
      </c>
      <c r="E184" s="1087">
        <f>Deflators_original!C184</f>
        <v>103.39</v>
      </c>
      <c r="F184" s="1087">
        <f>Deflators_original!D184</f>
        <v>2.4141708922735799E-3</v>
      </c>
      <c r="G184" s="1087">
        <f>Deflators_original!E184</f>
        <v>103.29300000000001</v>
      </c>
      <c r="H184" s="1087">
        <f>Deflators_original!F184</f>
        <v>1.53197265719696E-3</v>
      </c>
      <c r="I184" s="1087">
        <f>Deflators_original!G184</f>
        <v>106.111</v>
      </c>
      <c r="J184" s="1087">
        <f>Deflators_original!H184</f>
        <v>6.0350599262592997E-4</v>
      </c>
      <c r="K184" s="1087">
        <f>Deflators_original!I184</f>
        <v>105.319</v>
      </c>
      <c r="L184" s="1087">
        <f>Deflators_original!J184</f>
        <v>2.8375277325487498E-3</v>
      </c>
    </row>
    <row r="185" spans="1:12" x14ac:dyDescent="0.3">
      <c r="A185" s="1085" t="str">
        <f>Deflators_original!K185</f>
        <v>2015 Q4</v>
      </c>
      <c r="B185" s="1085" t="str">
        <f>Deflators_original!L185</f>
        <v>historical</v>
      </c>
      <c r="C185" s="1087">
        <f>Deflators_original!A185</f>
        <v>104.932</v>
      </c>
      <c r="D185" s="1087">
        <f>Deflators_original!B185</f>
        <v>0</v>
      </c>
      <c r="E185" s="1087">
        <f>Deflators_original!C185</f>
        <v>103.288</v>
      </c>
      <c r="F185" s="1087">
        <f>Deflators_original!D185</f>
        <v>-9.8655575974471209E-4</v>
      </c>
      <c r="G185" s="1087">
        <f>Deflators_original!E185</f>
        <v>103.211</v>
      </c>
      <c r="H185" s="1087">
        <f>Deflators_original!F185</f>
        <v>-7.9385824789679504E-4</v>
      </c>
      <c r="I185" s="1087">
        <f>Deflators_original!G185</f>
        <v>105.693</v>
      </c>
      <c r="J185" s="1087">
        <f>Deflators_original!H185</f>
        <v>-3.9392711405981098E-3</v>
      </c>
      <c r="K185" s="1087">
        <f>Deflators_original!I185</f>
        <v>105.261</v>
      </c>
      <c r="L185" s="1087">
        <f>Deflators_original!J185</f>
        <v>-5.5070784948596497E-4</v>
      </c>
    </row>
    <row r="186" spans="1:12" x14ac:dyDescent="0.3">
      <c r="A186" s="1085" t="str">
        <f>Deflators_original!K186</f>
        <v>2016 Q1</v>
      </c>
      <c r="B186" s="1085" t="str">
        <f>Deflators_original!L186</f>
        <v>historical</v>
      </c>
      <c r="C186" s="1087">
        <f>Deflators_original!A186</f>
        <v>104.873</v>
      </c>
      <c r="D186" s="1087">
        <f>Deflators_original!B186</f>
        <v>0</v>
      </c>
      <c r="E186" s="1087">
        <f>Deflators_original!C186</f>
        <v>103.343</v>
      </c>
      <c r="F186" s="1087">
        <f>Deflators_original!D186</f>
        <v>5.3249167376656604E-4</v>
      </c>
      <c r="G186" s="1087">
        <f>Deflators_original!E186</f>
        <v>102.953</v>
      </c>
      <c r="H186" s="1087">
        <f>Deflators_original!F186</f>
        <v>-2.4997335555317899E-3</v>
      </c>
      <c r="I186" s="1087">
        <f>Deflators_original!G186</f>
        <v>104.792</v>
      </c>
      <c r="J186" s="1087">
        <f>Deflators_original!H186</f>
        <v>-8.5246894307096106E-3</v>
      </c>
      <c r="K186" s="1087">
        <f>Deflators_original!I186</f>
        <v>105.006</v>
      </c>
      <c r="L186" s="1087">
        <f>Deflators_original!J186</f>
        <v>-2.4225496622680702E-3</v>
      </c>
    </row>
    <row r="187" spans="1:12" x14ac:dyDescent="0.3">
      <c r="A187" s="1085" t="str">
        <f>Deflators_original!K187</f>
        <v>2016 Q2</v>
      </c>
      <c r="B187" s="1085" t="str">
        <f>Deflators_original!L187</f>
        <v>historical</v>
      </c>
      <c r="C187" s="1087">
        <f>Deflators_original!A187</f>
        <v>105.57599999999999</v>
      </c>
      <c r="D187" s="1087">
        <f>Deflators_original!B187</f>
        <v>0</v>
      </c>
      <c r="E187" s="1087">
        <f>Deflators_original!C187</f>
        <v>103.992</v>
      </c>
      <c r="F187" s="1087">
        <f>Deflators_original!D187</f>
        <v>6.2800576720243298E-3</v>
      </c>
      <c r="G187" s="1087">
        <f>Deflators_original!E187</f>
        <v>103.50700000000001</v>
      </c>
      <c r="H187" s="1087">
        <f>Deflators_original!F187</f>
        <v>5.3810962283760101E-3</v>
      </c>
      <c r="I187" s="1087">
        <f>Deflators_original!G187</f>
        <v>105.589</v>
      </c>
      <c r="J187" s="1087">
        <f>Deflators_original!H187</f>
        <v>7.6055424078174099E-3</v>
      </c>
      <c r="K187" s="1087">
        <f>Deflators_original!I187</f>
        <v>105.86199999999999</v>
      </c>
      <c r="L187" s="1087">
        <f>Deflators_original!J187</f>
        <v>8.1519151286593202E-3</v>
      </c>
    </row>
    <row r="188" spans="1:12" x14ac:dyDescent="0.3">
      <c r="A188" s="1085" t="str">
        <f>Deflators_original!K188</f>
        <v>2016 Q3</v>
      </c>
      <c r="B188" s="1085" t="str">
        <f>Deflators_original!L188</f>
        <v>historical</v>
      </c>
      <c r="C188" s="1087">
        <f>Deflators_original!A188</f>
        <v>105.89400000000001</v>
      </c>
      <c r="D188" s="1087">
        <f>Deflators_original!B188</f>
        <v>0</v>
      </c>
      <c r="E188" s="1087">
        <f>Deflators_original!C188</f>
        <v>104.38200000000001</v>
      </c>
      <c r="F188" s="1087">
        <f>Deflators_original!D188</f>
        <v>3.7502884837294901E-3</v>
      </c>
      <c r="G188" s="1087">
        <f>Deflators_original!E188</f>
        <v>103.90900000000001</v>
      </c>
      <c r="H188" s="1087">
        <f>Deflators_original!F188</f>
        <v>3.8837952988686202E-3</v>
      </c>
      <c r="I188" s="1087">
        <f>Deflators_original!G188</f>
        <v>105.995</v>
      </c>
      <c r="J188" s="1087">
        <f>Deflators_original!H188</f>
        <v>3.8450975006867299E-3</v>
      </c>
      <c r="K188" s="1087">
        <f>Deflators_original!I188</f>
        <v>105.94199999999999</v>
      </c>
      <c r="L188" s="1087">
        <f>Deflators_original!J188</f>
        <v>7.5570081804610101E-4</v>
      </c>
    </row>
    <row r="189" spans="1:12" x14ac:dyDescent="0.3">
      <c r="A189" s="1085" t="str">
        <f>Deflators_original!K189</f>
        <v>2016 Q4</v>
      </c>
      <c r="B189" s="1085" t="str">
        <f>Deflators_original!L189</f>
        <v>historical</v>
      </c>
      <c r="C189" s="1087">
        <f>Deflators_original!A189</f>
        <v>106.47</v>
      </c>
      <c r="D189" s="1087">
        <f>Deflators_original!B189</f>
        <v>0</v>
      </c>
      <c r="E189" s="1087">
        <f>Deflators_original!C189</f>
        <v>104.876</v>
      </c>
      <c r="F189" s="1087">
        <f>Deflators_original!D189</f>
        <v>4.7326167346859504E-3</v>
      </c>
      <c r="G189" s="1087">
        <f>Deflators_original!E189</f>
        <v>104.41</v>
      </c>
      <c r="H189" s="1087">
        <f>Deflators_original!F189</f>
        <v>4.8215265280195903E-3</v>
      </c>
      <c r="I189" s="1087">
        <f>Deflators_original!G189</f>
        <v>106.51600000000001</v>
      </c>
      <c r="J189" s="1087">
        <f>Deflators_original!H189</f>
        <v>4.9153261946317502E-3</v>
      </c>
      <c r="K189" s="1087">
        <f>Deflators_original!I189</f>
        <v>106.45399999999999</v>
      </c>
      <c r="L189" s="1087">
        <f>Deflators_original!J189</f>
        <v>4.8328330595985803E-3</v>
      </c>
    </row>
    <row r="190" spans="1:12" x14ac:dyDescent="0.3">
      <c r="A190" s="1085" t="str">
        <f>Deflators_original!K190</f>
        <v>2017 Q1</v>
      </c>
      <c r="B190" s="1085" t="str">
        <f>Deflators_original!L190</f>
        <v>historical</v>
      </c>
      <c r="C190" s="1087">
        <f>Deflators_original!A190</f>
        <v>107.00700000000001</v>
      </c>
      <c r="D190" s="1087">
        <f>Deflators_original!B190</f>
        <v>0</v>
      </c>
      <c r="E190" s="1087">
        <f>Deflators_original!C190</f>
        <v>105.453</v>
      </c>
      <c r="F190" s="1087">
        <f>Deflators_original!D190</f>
        <v>5.50173538273779E-3</v>
      </c>
      <c r="G190" s="1087">
        <f>Deflators_original!E190</f>
        <v>104.958</v>
      </c>
      <c r="H190" s="1087">
        <f>Deflators_original!F190</f>
        <v>5.2485394119337102E-3</v>
      </c>
      <c r="I190" s="1087">
        <f>Deflators_original!G190</f>
        <v>107.53400000000001</v>
      </c>
      <c r="J190" s="1087">
        <f>Deflators_original!H190</f>
        <v>9.5572496150813108E-3</v>
      </c>
      <c r="K190" s="1087">
        <f>Deflators_original!I190</f>
        <v>107.188</v>
      </c>
      <c r="L190" s="1087">
        <f>Deflators_original!J190</f>
        <v>6.8949969000695601E-3</v>
      </c>
    </row>
    <row r="191" spans="1:12" x14ac:dyDescent="0.3">
      <c r="A191" s="1085" t="str">
        <f>Deflators_original!K191</f>
        <v>2017 Q2</v>
      </c>
      <c r="B191" s="1085" t="str">
        <f>Deflators_original!L191</f>
        <v>historical</v>
      </c>
      <c r="C191" s="1087">
        <f>Deflators_original!A191</f>
        <v>107.361</v>
      </c>
      <c r="D191" s="1087">
        <f>Deflators_original!B191</f>
        <v>8.8232683683218092E-3</v>
      </c>
      <c r="E191" s="1087">
        <f>Deflators_original!C191</f>
        <v>105.751</v>
      </c>
      <c r="F191" s="1087">
        <f>Deflators_original!D191</f>
        <v>2.8259034830682198E-3</v>
      </c>
      <c r="G191" s="1087">
        <f>Deflators_original!E191</f>
        <v>105.35599999999999</v>
      </c>
      <c r="H191" s="1087">
        <f>Deflators_original!F191</f>
        <v>3.7919929876712999E-3</v>
      </c>
      <c r="I191" s="1087">
        <f>Deflators_original!G191</f>
        <v>107.80200000000001</v>
      </c>
      <c r="J191" s="1087">
        <f>Deflators_original!H191</f>
        <v>2.49223501404217E-3</v>
      </c>
      <c r="K191" s="1087">
        <f>Deflators_original!I191</f>
        <v>107.712</v>
      </c>
      <c r="L191" s="1087">
        <f>Deflators_original!J191</f>
        <v>4.8886069336120403E-3</v>
      </c>
    </row>
    <row r="192" spans="1:12" x14ac:dyDescent="0.3">
      <c r="A192" s="1085" t="str">
        <f>Deflators_original!K192</f>
        <v>2017 Q3</v>
      </c>
      <c r="B192" s="1085" t="str">
        <f>Deflators_original!L192</f>
        <v>historical</v>
      </c>
      <c r="C192" s="1087">
        <f>Deflators_original!A192</f>
        <v>107.94199999999999</v>
      </c>
      <c r="D192" s="1087">
        <f>Deflators_original!B192</f>
        <v>1.2203137210253101E-2</v>
      </c>
      <c r="E192" s="1087">
        <f>Deflators_original!C192</f>
        <v>106.146</v>
      </c>
      <c r="F192" s="1087">
        <f>Deflators_original!D192</f>
        <v>3.7351892653496601E-3</v>
      </c>
      <c r="G192" s="1087">
        <f>Deflators_original!E192</f>
        <v>105.86</v>
      </c>
      <c r="H192" s="1087">
        <f>Deflators_original!F192</f>
        <v>4.7837807054178496E-3</v>
      </c>
      <c r="I192" s="1087">
        <f>Deflators_original!G192</f>
        <v>108.785</v>
      </c>
      <c r="J192" s="1087">
        <f>Deflators_original!H192</f>
        <v>9.1185692287711895E-3</v>
      </c>
      <c r="K192" s="1087">
        <f>Deflators_original!I192</f>
        <v>108.676</v>
      </c>
      <c r="L192" s="1087">
        <f>Deflators_original!J192</f>
        <v>8.94979203802726E-3</v>
      </c>
    </row>
    <row r="193" spans="1:12" x14ac:dyDescent="0.3">
      <c r="A193" s="1085" t="str">
        <f>Deflators_original!K193</f>
        <v>2017 Q4</v>
      </c>
      <c r="B193" s="1085" t="str">
        <f>Deflators_original!L193</f>
        <v>historical</v>
      </c>
      <c r="C193" s="1087">
        <f>Deflators_original!A193</f>
        <v>108.658</v>
      </c>
      <c r="D193" s="1087">
        <f>Deflators_original!B193</f>
        <v>1.65808566008987E-2</v>
      </c>
      <c r="E193" s="1087">
        <f>Deflators_original!C193</f>
        <v>106.85599999999999</v>
      </c>
      <c r="F193" s="1087">
        <f>Deflators_original!D193</f>
        <v>6.6889001940722004E-3</v>
      </c>
      <c r="G193" s="1087">
        <f>Deflators_original!E193</f>
        <v>106.633</v>
      </c>
      <c r="H193" s="1087">
        <f>Deflators_original!F193</f>
        <v>7.3020971093897798E-3</v>
      </c>
      <c r="I193" s="1087">
        <f>Deflators_original!G193</f>
        <v>110.252</v>
      </c>
      <c r="J193" s="1087">
        <f>Deflators_original!H193</f>
        <v>1.3485315071011699E-2</v>
      </c>
      <c r="K193" s="1087">
        <f>Deflators_original!I193</f>
        <v>109.285</v>
      </c>
      <c r="L193" s="1087">
        <f>Deflators_original!J193</f>
        <v>5.6038131694209304E-3</v>
      </c>
    </row>
    <row r="194" spans="1:12" x14ac:dyDescent="0.3">
      <c r="A194" s="1085" t="str">
        <f>Deflators_original!K194</f>
        <v>2018 Q1</v>
      </c>
      <c r="B194" s="1085" t="str">
        <f>Deflators_original!L194</f>
        <v>historical</v>
      </c>
      <c r="C194" s="1087">
        <f>Deflators_original!A194</f>
        <v>109.312</v>
      </c>
      <c r="D194" s="1087">
        <f>Deflators_original!B194</f>
        <v>1.31117034652719E-2</v>
      </c>
      <c r="E194" s="1087">
        <f>Deflators_original!C194</f>
        <v>107.557</v>
      </c>
      <c r="F194" s="1087">
        <f>Deflators_original!D194</f>
        <v>6.56023059070154E-3</v>
      </c>
      <c r="G194" s="1087">
        <f>Deflators_original!E194</f>
        <v>107.655</v>
      </c>
      <c r="H194" s="1087">
        <f>Deflators_original!F194</f>
        <v>9.5842750368084796E-3</v>
      </c>
      <c r="I194" s="1087">
        <f>Deflators_original!G194</f>
        <v>111.627</v>
      </c>
      <c r="J194" s="1087">
        <f>Deflators_original!H194</f>
        <v>1.24714290897217E-2</v>
      </c>
      <c r="K194" s="1087">
        <f>Deflators_original!I194</f>
        <v>110.291</v>
      </c>
      <c r="L194" s="1087">
        <f>Deflators_original!J194</f>
        <v>9.2052889234570702E-3</v>
      </c>
    </row>
    <row r="195" spans="1:12" x14ac:dyDescent="0.3">
      <c r="A195" s="1085" t="str">
        <f>Deflators_original!K195</f>
        <v>2018 Q2</v>
      </c>
      <c r="B195" s="1085" t="str">
        <f>Deflators_original!L195</f>
        <v>historical</v>
      </c>
      <c r="C195" s="1087">
        <f>Deflators_original!A195</f>
        <v>110.15600000000001</v>
      </c>
      <c r="D195" s="1087">
        <f>Deflators_original!B195</f>
        <v>1.7315587503785399E-2</v>
      </c>
      <c r="E195" s="1087">
        <f>Deflators_original!C195</f>
        <v>108.184</v>
      </c>
      <c r="F195" s="1087">
        <f>Deflators_original!D195</f>
        <v>5.8294671662466602E-3</v>
      </c>
      <c r="G195" s="1087">
        <f>Deflators_original!E195</f>
        <v>108.447</v>
      </c>
      <c r="H195" s="1087">
        <f>Deflators_original!F195</f>
        <v>7.3568343318934897E-3</v>
      </c>
      <c r="I195" s="1087">
        <f>Deflators_original!G195</f>
        <v>112.81100000000001</v>
      </c>
      <c r="J195" s="1087">
        <f>Deflators_original!H195</f>
        <v>1.06067528465337E-2</v>
      </c>
      <c r="K195" s="1087">
        <f>Deflators_original!I195</f>
        <v>111.736</v>
      </c>
      <c r="L195" s="1087">
        <f>Deflators_original!J195</f>
        <v>1.3101703674824E-2</v>
      </c>
    </row>
    <row r="196" spans="1:12" x14ac:dyDescent="0.3">
      <c r="A196" s="1085" t="str">
        <f>Deflators_original!K196</f>
        <v>2018 Q3</v>
      </c>
      <c r="B196" s="1085" t="str">
        <f>Deflators_original!L196</f>
        <v>historical</v>
      </c>
      <c r="C196" s="1087">
        <f>Deflators_original!A196</f>
        <v>110.64700000000001</v>
      </c>
      <c r="D196" s="1087">
        <f>Deflators_original!B196</f>
        <v>8.1298035866779195E-3</v>
      </c>
      <c r="E196" s="1087">
        <f>Deflators_original!C196</f>
        <v>108.54600000000001</v>
      </c>
      <c r="F196" s="1087">
        <f>Deflators_original!D196</f>
        <v>3.3461510019967599E-3</v>
      </c>
      <c r="G196" s="1087">
        <f>Deflators_original!E196</f>
        <v>109.07299999999999</v>
      </c>
      <c r="H196" s="1087">
        <f>Deflators_original!F196</f>
        <v>5.7724049535716696E-3</v>
      </c>
      <c r="I196" s="1087">
        <f>Deflators_original!G196</f>
        <v>113.875</v>
      </c>
      <c r="J196" s="1087">
        <f>Deflators_original!H196</f>
        <v>9.4317043550717905E-3</v>
      </c>
      <c r="K196" s="1087">
        <f>Deflators_original!I196</f>
        <v>112.542</v>
      </c>
      <c r="L196" s="1087">
        <f>Deflators_original!J196</f>
        <v>7.2134316603422698E-3</v>
      </c>
    </row>
    <row r="197" spans="1:12" x14ac:dyDescent="0.3">
      <c r="A197" s="1085" t="str">
        <f>Deflators_original!K197</f>
        <v>2018 Q4</v>
      </c>
      <c r="B197" s="1085" t="str">
        <f>Deflators_original!L197</f>
        <v>historical</v>
      </c>
      <c r="C197" s="1087">
        <f>Deflators_original!A197</f>
        <v>111.191</v>
      </c>
      <c r="D197" s="1087">
        <f>Deflators_original!B197</f>
        <v>7.4640231181417596E-3</v>
      </c>
      <c r="E197" s="1087">
        <f>Deflators_original!C197</f>
        <v>108.986</v>
      </c>
      <c r="F197" s="1087">
        <f>Deflators_original!D197</f>
        <v>4.0535809702799703E-3</v>
      </c>
      <c r="G197" s="1087">
        <f>Deflators_original!E197</f>
        <v>109.928</v>
      </c>
      <c r="H197" s="1087">
        <f>Deflators_original!F197</f>
        <v>7.8387868675107199E-3</v>
      </c>
      <c r="I197" s="1087">
        <f>Deflators_original!G197</f>
        <v>114.43899999999999</v>
      </c>
      <c r="J197" s="1087">
        <f>Deflators_original!H197</f>
        <v>4.9527991218440998E-3</v>
      </c>
      <c r="K197" s="1087">
        <f>Deflators_original!I197</f>
        <v>113.715</v>
      </c>
      <c r="L197" s="1087">
        <f>Deflators_original!J197</f>
        <v>1.0422775497147801E-2</v>
      </c>
    </row>
    <row r="198" spans="1:12" x14ac:dyDescent="0.3">
      <c r="A198" s="1085" t="str">
        <f>Deflators_original!K198</f>
        <v>2019 Q1</v>
      </c>
      <c r="B198" s="1085" t="str">
        <f>Deflators_original!L198</f>
        <v>historical</v>
      </c>
      <c r="C198" s="1087">
        <f>Deflators_original!A198</f>
        <v>111.502</v>
      </c>
      <c r="D198" s="1087">
        <f>Deflators_original!B198</f>
        <v>9.0470996910629892E-3</v>
      </c>
      <c r="E198" s="1087">
        <f>Deflators_original!C198</f>
        <v>109.1</v>
      </c>
      <c r="F198" s="1087">
        <f>Deflators_original!D198</f>
        <v>1.0460059090158201E-3</v>
      </c>
      <c r="G198" s="1087">
        <f>Deflators_original!E198</f>
        <v>111.078</v>
      </c>
      <c r="H198" s="1087">
        <f>Deflators_original!F198</f>
        <v>1.0461392911724101E-2</v>
      </c>
      <c r="I198" s="1087">
        <f>Deflators_original!G198</f>
        <v>113.98</v>
      </c>
      <c r="J198" s="1087">
        <f>Deflators_original!H198</f>
        <v>-4.0108704200489996E-3</v>
      </c>
      <c r="K198" s="1087">
        <f>Deflators_original!I198</f>
        <v>114.175</v>
      </c>
      <c r="L198" s="1087">
        <f>Deflators_original!J198</f>
        <v>4.0452007211009304E-3</v>
      </c>
    </row>
    <row r="199" spans="1:12" x14ac:dyDescent="0.3">
      <c r="A199" s="1085" t="str">
        <f>Deflators_original!K199</f>
        <v>2019 Q2</v>
      </c>
      <c r="B199" s="1085" t="str">
        <f>Deflators_original!L199</f>
        <v>historical</v>
      </c>
      <c r="C199" s="1087">
        <f>Deflators_original!A199</f>
        <v>112.142</v>
      </c>
      <c r="D199" s="1087">
        <f>Deflators_original!B199</f>
        <v>1.3698956269998499E-2</v>
      </c>
      <c r="E199" s="1087">
        <f>Deflators_original!C199</f>
        <v>109.83499999999999</v>
      </c>
      <c r="F199" s="1087">
        <f>Deflators_original!D199</f>
        <v>6.7369385884510401E-3</v>
      </c>
      <c r="G199" s="1087">
        <f>Deflators_original!E199</f>
        <v>110.303</v>
      </c>
      <c r="H199" s="1087">
        <f>Deflators_original!F199</f>
        <v>-6.9770791695925602E-3</v>
      </c>
      <c r="I199" s="1087">
        <f>Deflators_original!G199</f>
        <v>114.758</v>
      </c>
      <c r="J199" s="1087">
        <f>Deflators_original!H199</f>
        <v>6.8257589050710896E-3</v>
      </c>
      <c r="K199" s="1087">
        <f>Deflators_original!I199</f>
        <v>115.41800000000001</v>
      </c>
      <c r="L199" s="1087">
        <f>Deflators_original!J199</f>
        <v>1.0886796584191E-2</v>
      </c>
    </row>
    <row r="200" spans="1:12" x14ac:dyDescent="0.3">
      <c r="A200" s="1085" t="str">
        <f>Deflators_original!K200</f>
        <v>2019 Q3</v>
      </c>
      <c r="B200" s="1085" t="str">
        <f>Deflators_original!L200</f>
        <v>historical</v>
      </c>
      <c r="C200" s="1087">
        <f>Deflators_original!A200</f>
        <v>112.524</v>
      </c>
      <c r="D200" s="1087">
        <f>Deflators_original!B200</f>
        <v>1.01318502722025E-2</v>
      </c>
      <c r="E200" s="1087">
        <f>Deflators_original!C200</f>
        <v>110.14100000000001</v>
      </c>
      <c r="F200" s="1087">
        <f>Deflators_original!D200</f>
        <v>2.78599717758476E-3</v>
      </c>
      <c r="G200" s="1087">
        <f>Deflators_original!E200</f>
        <v>110.673</v>
      </c>
      <c r="H200" s="1087">
        <f>Deflators_original!F200</f>
        <v>3.3543965259330601E-3</v>
      </c>
      <c r="I200" s="1087">
        <f>Deflators_original!G200</f>
        <v>114.919</v>
      </c>
      <c r="J200" s="1087">
        <f>Deflators_original!H200</f>
        <v>1.40295229962173E-3</v>
      </c>
      <c r="K200" s="1087">
        <f>Deflators_original!I200</f>
        <v>115.982</v>
      </c>
      <c r="L200" s="1087">
        <f>Deflators_original!J200</f>
        <v>4.8865861477411796E-3</v>
      </c>
    </row>
    <row r="201" spans="1:12" x14ac:dyDescent="0.3">
      <c r="A201" s="1085" t="str">
        <f>Deflators_original!K201</f>
        <v>2019 Q4</v>
      </c>
      <c r="B201" s="1085" t="str">
        <f>Deflators_original!L201</f>
        <v>historical</v>
      </c>
      <c r="C201" s="1087">
        <f>Deflators_original!A201</f>
        <v>112.947</v>
      </c>
      <c r="D201" s="1087">
        <f>Deflators_original!B201</f>
        <v>8.8119042083236697E-3</v>
      </c>
      <c r="E201" s="1087">
        <f>Deflators_original!C201</f>
        <v>110.61199999999999</v>
      </c>
      <c r="F201" s="1087">
        <f>Deflators_original!D201</f>
        <v>4.2763366956899401E-3</v>
      </c>
      <c r="G201" s="1087">
        <f>Deflators_original!E201</f>
        <v>111.068</v>
      </c>
      <c r="H201" s="1087">
        <f>Deflators_original!F201</f>
        <v>3.5690728542643298E-3</v>
      </c>
      <c r="I201" s="1087">
        <f>Deflators_original!G201</f>
        <v>115.285</v>
      </c>
      <c r="J201" s="1087">
        <f>Deflators_original!H201</f>
        <v>3.1848519391919298E-3</v>
      </c>
      <c r="K201" s="1087">
        <f>Deflators_original!I201</f>
        <v>116.167</v>
      </c>
      <c r="L201" s="1087">
        <f>Deflators_original!J201</f>
        <v>1.59507509785994E-3</v>
      </c>
    </row>
    <row r="202" spans="1:12" x14ac:dyDescent="0.3">
      <c r="A202" s="1085" t="str">
        <f>Deflators_original!K202</f>
        <v>2020 Q1</v>
      </c>
      <c r="B202" s="1085" t="str">
        <f>Deflators_original!L202</f>
        <v>historical</v>
      </c>
      <c r="C202" s="1087">
        <f>Deflators_original!A202</f>
        <v>113.39700000000001</v>
      </c>
      <c r="D202" s="1087">
        <f>Deflators_original!B202</f>
        <v>-9.82276613888311E-3</v>
      </c>
      <c r="E202" s="1087">
        <f>Deflators_original!C202</f>
        <v>110.958</v>
      </c>
      <c r="F202" s="1087">
        <f>Deflators_original!D202</f>
        <v>3.1280512060174498E-3</v>
      </c>
      <c r="G202" s="1087">
        <f>Deflators_original!E202</f>
        <v>111.4</v>
      </c>
      <c r="H202" s="1087">
        <f>Deflators_original!F202</f>
        <v>2.9891597940001598E-3</v>
      </c>
      <c r="I202" s="1087">
        <f>Deflators_original!G202</f>
        <v>116.54600000000001</v>
      </c>
      <c r="J202" s="1087">
        <f>Deflators_original!H202</f>
        <v>1.09381099015484E-2</v>
      </c>
      <c r="K202" s="1087">
        <f>Deflators_original!I202</f>
        <v>116.5</v>
      </c>
      <c r="L202" s="1087">
        <f>Deflators_original!J202</f>
        <v>2.86656279322006E-3</v>
      </c>
    </row>
    <row r="203" spans="1:12" x14ac:dyDescent="0.3">
      <c r="A203" s="1085" t="str">
        <f>Deflators_original!K203</f>
        <v>2020 Q2</v>
      </c>
      <c r="B203" s="1085" t="str">
        <f>Deflators_original!L203</f>
        <v>historical</v>
      </c>
      <c r="C203" s="1087">
        <f>Deflators_original!A203</f>
        <v>112.96899999999999</v>
      </c>
      <c r="D203" s="1087">
        <f>Deflators_original!B203</f>
        <v>-9.3290009031068793E-2</v>
      </c>
      <c r="E203" s="1087">
        <f>Deflators_original!C203</f>
        <v>110.505</v>
      </c>
      <c r="F203" s="1087">
        <f>Deflators_original!D203</f>
        <v>-4.0826258584330003E-3</v>
      </c>
      <c r="G203" s="1087">
        <f>Deflators_original!E203</f>
        <v>111.444</v>
      </c>
      <c r="H203" s="1087">
        <f>Deflators_original!F203</f>
        <v>3.94973070017901E-4</v>
      </c>
      <c r="I203" s="1087">
        <f>Deflators_original!G203</f>
        <v>116.072</v>
      </c>
      <c r="J203" s="1087">
        <f>Deflators_original!H203</f>
        <v>-4.0670636486881398E-3</v>
      </c>
      <c r="K203" s="1087">
        <f>Deflators_original!I203</f>
        <v>116.19499999999999</v>
      </c>
      <c r="L203" s="1087">
        <f>Deflators_original!J203</f>
        <v>-2.61802575107306E-3</v>
      </c>
    </row>
    <row r="204" spans="1:12" x14ac:dyDescent="0.3">
      <c r="A204" s="1085" t="str">
        <f>Deflators_original!K204</f>
        <v>2020 Q3</v>
      </c>
      <c r="B204" s="1085" t="str">
        <f>Deflators_original!L204</f>
        <v>historical</v>
      </c>
      <c r="C204" s="1087">
        <f>Deflators_original!A204</f>
        <v>113.98399999999999</v>
      </c>
      <c r="D204" s="1087">
        <f>Deflators_original!B204</f>
        <v>8.5288590879686099E-2</v>
      </c>
      <c r="E204" s="1087">
        <f>Deflators_original!C204</f>
        <v>111.50700000000001</v>
      </c>
      <c r="F204" s="1087">
        <f>Deflators_original!D204</f>
        <v>9.0674630107234807E-3</v>
      </c>
      <c r="G204" s="1087">
        <f>Deflators_original!E204</f>
        <v>112.26900000000001</v>
      </c>
      <c r="H204" s="1087">
        <f>Deflators_original!F204</f>
        <v>7.4028211478411902E-3</v>
      </c>
      <c r="I204" s="1087">
        <f>Deflators_original!G204</f>
        <v>116.51900000000001</v>
      </c>
      <c r="J204" s="1087">
        <f>Deflators_original!H204</f>
        <v>3.8510579640223001E-3</v>
      </c>
      <c r="K204" s="1087">
        <f>Deflators_original!I204</f>
        <v>117.285</v>
      </c>
      <c r="L204" s="1087">
        <f>Deflators_original!J204</f>
        <v>9.3807823056069103E-3</v>
      </c>
    </row>
    <row r="205" spans="1:12" x14ac:dyDescent="0.3">
      <c r="A205" s="1085" t="str">
        <f>Deflators_original!K205</f>
        <v>2020 Q4</v>
      </c>
      <c r="B205" s="1085" t="str">
        <f>Deflators_original!L205</f>
        <v>historical</v>
      </c>
      <c r="C205" s="1087">
        <f>Deflators_original!A205</f>
        <v>114.611</v>
      </c>
      <c r="D205" s="1087">
        <f>Deflators_original!B205</f>
        <v>1.60370128579943E-2</v>
      </c>
      <c r="E205" s="1087">
        <f>Deflators_original!C205</f>
        <v>111.928</v>
      </c>
      <c r="F205" s="1087">
        <f>Deflators_original!D205</f>
        <v>3.7755477234613401E-3</v>
      </c>
      <c r="G205" s="1087">
        <f>Deflators_original!E205</f>
        <v>112.959</v>
      </c>
      <c r="H205" s="1087">
        <f>Deflators_original!F205</f>
        <v>6.1459530235417103E-3</v>
      </c>
      <c r="I205" s="1087">
        <f>Deflators_original!G205</f>
        <v>117.593</v>
      </c>
      <c r="J205" s="1087">
        <f>Deflators_original!H205</f>
        <v>9.2173808563409398E-3</v>
      </c>
      <c r="K205" s="1087">
        <f>Deflators_original!I205</f>
        <v>117.706</v>
      </c>
      <c r="L205" s="1087">
        <f>Deflators_original!J205</f>
        <v>3.5895468303705999E-3</v>
      </c>
    </row>
    <row r="206" spans="1:12" x14ac:dyDescent="0.3">
      <c r="A206" s="1085" t="str">
        <f>Deflators_original!K206</f>
        <v>2021 Q1</v>
      </c>
      <c r="B206" s="1085" t="str">
        <f>Deflators_original!L206</f>
        <v>historical</v>
      </c>
      <c r="C206" s="1087">
        <f>Deflators_original!A206</f>
        <v>115.82599999999999</v>
      </c>
      <c r="D206" s="1087">
        <f>Deflators_original!B206</f>
        <v>2.6101612843148402E-2</v>
      </c>
      <c r="E206" s="1087">
        <f>Deflators_original!C206</f>
        <v>112.989</v>
      </c>
      <c r="F206" s="1087">
        <f>Deflators_original!D206</f>
        <v>9.4793081266528693E-3</v>
      </c>
      <c r="G206" s="1087">
        <f>Deflators_original!E206</f>
        <v>114.065</v>
      </c>
      <c r="H206" s="1087">
        <f>Deflators_original!F206</f>
        <v>9.7911631653961901E-3</v>
      </c>
      <c r="I206" s="1087">
        <f>Deflators_original!G206</f>
        <v>119.419</v>
      </c>
      <c r="J206" s="1087">
        <f>Deflators_original!H206</f>
        <v>1.5528135178114201E-2</v>
      </c>
      <c r="K206" s="1087">
        <f>Deflators_original!I206</f>
        <v>119.416</v>
      </c>
      <c r="L206" s="1087">
        <f>Deflators_original!J206</f>
        <v>1.45277216114725E-2</v>
      </c>
    </row>
    <row r="207" spans="1:12" x14ac:dyDescent="0.3">
      <c r="A207" s="1085" t="str">
        <f>Deflators_original!K207</f>
        <v>2021 Q2</v>
      </c>
      <c r="B207" s="1085" t="str">
        <f>Deflators_original!L207</f>
        <v>historical</v>
      </c>
      <c r="C207" s="1087">
        <f>Deflators_original!A207</f>
        <v>117.54600000000001</v>
      </c>
      <c r="D207" s="1087">
        <f>Deflators_original!B207</f>
        <v>3.1890081767113498E-2</v>
      </c>
      <c r="E207" s="1087">
        <f>Deflators_original!C207</f>
        <v>114.77200000000001</v>
      </c>
      <c r="F207" s="1087">
        <f>Deflators_original!D207</f>
        <v>1.5780297197072201E-2</v>
      </c>
      <c r="G207" s="1087">
        <f>Deflators_original!E207</f>
        <v>115.22799999999999</v>
      </c>
      <c r="H207" s="1087">
        <f>Deflators_original!F207</f>
        <v>1.0195940910884001E-2</v>
      </c>
      <c r="I207" s="1087">
        <f>Deflators_original!G207</f>
        <v>121.425</v>
      </c>
      <c r="J207" s="1087">
        <f>Deflators_original!H207</f>
        <v>1.6797996968656699E-2</v>
      </c>
      <c r="K207" s="1087">
        <f>Deflators_original!I207</f>
        <v>122.101</v>
      </c>
      <c r="L207" s="1087">
        <f>Deflators_original!J207</f>
        <v>2.24844241977624E-2</v>
      </c>
    </row>
    <row r="208" spans="1:12" x14ac:dyDescent="0.3">
      <c r="A208" s="1085" t="str">
        <f>Deflators_original!K208</f>
        <v>2021 Q3</v>
      </c>
      <c r="B208" s="1085" t="str">
        <f>Deflators_original!L208</f>
        <v>historical</v>
      </c>
      <c r="C208" s="1087">
        <f>Deflators_original!A208</f>
        <v>119.259</v>
      </c>
      <c r="D208" s="1087">
        <f>Deflators_original!B208</f>
        <v>2.02849478914735E-2</v>
      </c>
      <c r="E208" s="1087">
        <f>Deflators_original!C208</f>
        <v>116.277</v>
      </c>
      <c r="F208" s="1087">
        <f>Deflators_original!D208</f>
        <v>1.3112954379116901E-2</v>
      </c>
      <c r="G208" s="1087">
        <f>Deflators_original!E208</f>
        <v>116.643</v>
      </c>
      <c r="H208" s="1087">
        <f>Deflators_original!F208</f>
        <v>1.2280001388551299E-2</v>
      </c>
      <c r="I208" s="1087">
        <f>Deflators_original!G208</f>
        <v>123.291</v>
      </c>
      <c r="J208" s="1087">
        <f>Deflators_original!H208</f>
        <v>1.53675108091413E-2</v>
      </c>
      <c r="K208" s="1087">
        <f>Deflators_original!I208</f>
        <v>124.71</v>
      </c>
      <c r="L208" s="1087">
        <f>Deflators_original!J208</f>
        <v>2.13675563672697E-2</v>
      </c>
    </row>
    <row r="209" spans="1:12" x14ac:dyDescent="0.3">
      <c r="A209" s="1085" t="str">
        <f>Deflators_original!K209</f>
        <v>2021 Q4</v>
      </c>
      <c r="B209" s="1085" t="str">
        <f>Deflators_original!L209</f>
        <v>historical</v>
      </c>
      <c r="C209" s="1087">
        <f>Deflators_original!A209</f>
        <v>121.331</v>
      </c>
      <c r="D209" s="1087">
        <f>Deflators_original!B209</f>
        <v>3.4746555298397201E-2</v>
      </c>
      <c r="E209" s="1087">
        <f>Deflators_original!C209</f>
        <v>118.081</v>
      </c>
      <c r="F209" s="1087">
        <f>Deflators_original!D209</f>
        <v>1.55146761612357E-2</v>
      </c>
      <c r="G209" s="1087">
        <f>Deflators_original!E209</f>
        <v>118.261</v>
      </c>
      <c r="H209" s="1087">
        <f>Deflators_original!F209</f>
        <v>1.38713853381685E-2</v>
      </c>
      <c r="I209" s="1087">
        <f>Deflators_original!G209</f>
        <v>125.712</v>
      </c>
      <c r="J209" s="1087">
        <f>Deflators_original!H209</f>
        <v>1.96364698153151E-2</v>
      </c>
      <c r="K209" s="1087">
        <f>Deflators_original!I209</f>
        <v>128.44900000000001</v>
      </c>
      <c r="L209" s="1087">
        <f>Deflators_original!J209</f>
        <v>2.9981557212733798E-2</v>
      </c>
    </row>
    <row r="210" spans="1:12" x14ac:dyDescent="0.3">
      <c r="A210" s="1085" t="str">
        <f>Deflators_original!K210</f>
        <v>2022 Q1</v>
      </c>
      <c r="B210" s="1085" t="str">
        <f>Deflators_original!L210</f>
        <v>historical</v>
      </c>
      <c r="C210" s="1087">
        <f>Deflators_original!A210</f>
        <v>123.745</v>
      </c>
      <c r="D210" s="1087">
        <f>Deflators_original!B210</f>
        <v>1.7256388362455001E-2</v>
      </c>
      <c r="E210" s="1087">
        <f>Deflators_original!C210</f>
        <v>120.11199999999999</v>
      </c>
      <c r="F210" s="1087">
        <f>Deflators_original!D210</f>
        <v>1.7200057587588101E-2</v>
      </c>
      <c r="G210" s="1087">
        <f>Deflators_original!E210</f>
        <v>120.43</v>
      </c>
      <c r="H210" s="1087">
        <f>Deflators_original!F210</f>
        <v>1.8340788594718702E-2</v>
      </c>
      <c r="I210" s="1087">
        <f>Deflators_original!G210</f>
        <v>129</v>
      </c>
      <c r="J210" s="1087">
        <f>Deflators_original!H210</f>
        <v>2.6155021000381799E-2</v>
      </c>
      <c r="K210" s="1087">
        <f>Deflators_original!I210</f>
        <v>132.33099999999999</v>
      </c>
      <c r="L210" s="1087">
        <f>Deflators_original!J210</f>
        <v>3.0222111499505398E-2</v>
      </c>
    </row>
    <row r="211" spans="1:12" x14ac:dyDescent="0.3">
      <c r="A211" s="1085" t="str">
        <f>Deflators_original!K211</f>
        <v>2022 Q2</v>
      </c>
      <c r="B211" s="1085" t="str">
        <f>Deflators_original!L211</f>
        <v>historical</v>
      </c>
      <c r="C211" s="1087">
        <f>Deflators_original!A211</f>
        <v>126.367</v>
      </c>
      <c r="D211" s="1087">
        <f>Deflators_original!B211</f>
        <v>2.1868909379759899E-2</v>
      </c>
      <c r="E211" s="1087">
        <f>Deflators_original!C211</f>
        <v>122.17700000000001</v>
      </c>
      <c r="F211" s="1087">
        <f>Deflators_original!D211</f>
        <v>1.7192287198614799E-2</v>
      </c>
      <c r="G211" s="1087">
        <f>Deflators_original!E211</f>
        <v>122.277</v>
      </c>
      <c r="H211" s="1087">
        <f>Deflators_original!F211</f>
        <v>1.5336710122062501E-2</v>
      </c>
      <c r="I211" s="1087">
        <f>Deflators_original!G211</f>
        <v>133.62100000000001</v>
      </c>
      <c r="J211" s="1087">
        <f>Deflators_original!H211</f>
        <v>3.5821705426356799E-2</v>
      </c>
      <c r="K211" s="1087">
        <f>Deflators_original!I211</f>
        <v>136.69900000000001</v>
      </c>
      <c r="L211" s="1087">
        <f>Deflators_original!J211</f>
        <v>3.3008138682546297E-2</v>
      </c>
    </row>
    <row r="212" spans="1:12" x14ac:dyDescent="0.3">
      <c r="A212" s="1085" t="str">
        <f>Deflators_original!K212</f>
        <v>2022 Q3</v>
      </c>
      <c r="B212" s="1085" t="str">
        <f>Deflators_original!L212</f>
        <v>projection</v>
      </c>
      <c r="C212" s="1087">
        <f>Deflators_original!A212</f>
        <v>125.25700000000001</v>
      </c>
      <c r="D212" s="1087">
        <f>Deflators_original!B212</f>
        <v>1.7285800720441901E-2</v>
      </c>
      <c r="E212" s="1087">
        <f>Deflators_original!C212</f>
        <v>1.2198714458453199</v>
      </c>
      <c r="F212" s="1087">
        <f>Deflators_original!D212</f>
        <v>7.5981647669616202E-3</v>
      </c>
      <c r="G212" s="1087">
        <f>Deflators_original!E212</f>
        <v>1.2131432020522099</v>
      </c>
      <c r="H212" s="1087">
        <f>Deflators_original!F212</f>
        <v>7.4714439061212001E-3</v>
      </c>
      <c r="I212" s="1087">
        <f>Deflators_original!G212</f>
        <v>0</v>
      </c>
      <c r="J212" s="1087">
        <f>Deflators_original!H212</f>
        <v>1.10762503071244E-2</v>
      </c>
      <c r="K212" s="1087">
        <f>Deflators_original!I212</f>
        <v>0</v>
      </c>
      <c r="L212" s="1087">
        <f>Deflators_original!J212</f>
        <v>1.10762503071244E-2</v>
      </c>
    </row>
    <row r="213" spans="1:12" x14ac:dyDescent="0.3">
      <c r="A213" s="1085" t="str">
        <f>Deflators_original!K213</f>
        <v>2022 Q4</v>
      </c>
      <c r="B213" s="1085" t="str">
        <f>Deflators_original!L213</f>
        <v>projection</v>
      </c>
      <c r="C213" s="1087">
        <f>Deflators_original!A213</f>
        <v>126.15</v>
      </c>
      <c r="D213" s="1087">
        <f>Deflators_original!B213</f>
        <v>1.5172343165946499E-2</v>
      </c>
      <c r="E213" s="1087">
        <f>Deflators_original!C213</f>
        <v>1.22815728301251</v>
      </c>
      <c r="F213" s="1087">
        <f>Deflators_original!D213</f>
        <v>6.7923855381670801E-3</v>
      </c>
      <c r="G213" s="1087">
        <f>Deflators_original!E213</f>
        <v>1.2201338245244699</v>
      </c>
      <c r="H213" s="1087">
        <f>Deflators_original!F213</f>
        <v>5.7624050156945801E-3</v>
      </c>
      <c r="I213" s="1087">
        <f>Deflators_original!G213</f>
        <v>0</v>
      </c>
      <c r="J213" s="1087">
        <f>Deflators_original!H213</f>
        <v>9.4401732935755992E-3</v>
      </c>
      <c r="K213" s="1087">
        <f>Deflators_original!I213</f>
        <v>0</v>
      </c>
      <c r="L213" s="1087">
        <f>Deflators_original!J213</f>
        <v>9.4401732935755992E-3</v>
      </c>
    </row>
    <row r="214" spans="1:12" x14ac:dyDescent="0.3">
      <c r="A214" s="1085" t="str">
        <f>Deflators_original!K214</f>
        <v>2023 Q1</v>
      </c>
      <c r="B214" s="1085" t="str">
        <f>Deflators_original!L214</f>
        <v>projection</v>
      </c>
      <c r="C214" s="1087">
        <f>Deflators_original!A214</f>
        <v>126.935</v>
      </c>
      <c r="D214" s="1087">
        <f>Deflators_original!B214</f>
        <v>1.24779327603934E-2</v>
      </c>
      <c r="E214" s="1087">
        <f>Deflators_original!C214</f>
        <v>1.23573743469393</v>
      </c>
      <c r="F214" s="1087">
        <f>Deflators_original!D214</f>
        <v>6.1719714455739103E-3</v>
      </c>
      <c r="G214" s="1087">
        <f>Deflators_original!E214</f>
        <v>1.2267045879799401</v>
      </c>
      <c r="H214" s="1087">
        <f>Deflators_original!F214</f>
        <v>5.3852809613164103E-3</v>
      </c>
      <c r="I214" s="1087">
        <f>Deflators_original!G214</f>
        <v>0</v>
      </c>
      <c r="J214" s="1087">
        <f>Deflators_original!H214</f>
        <v>8.9018658885664497E-3</v>
      </c>
      <c r="K214" s="1087">
        <f>Deflators_original!I214</f>
        <v>0</v>
      </c>
      <c r="L214" s="1087">
        <f>Deflators_original!J214</f>
        <v>8.9018658885664497E-3</v>
      </c>
    </row>
    <row r="215" spans="1:12" x14ac:dyDescent="0.3">
      <c r="A215" s="1085" t="str">
        <f>Deflators_original!K215</f>
        <v>2023 Q2</v>
      </c>
      <c r="B215" s="1085" t="str">
        <f>Deflators_original!L215</f>
        <v>projection</v>
      </c>
      <c r="C215" s="1087">
        <f>Deflators_original!A215</f>
        <v>127.651</v>
      </c>
      <c r="D215" s="1087">
        <f>Deflators_original!B215</f>
        <v>1.18259749914735E-2</v>
      </c>
      <c r="E215" s="1087">
        <f>Deflators_original!C215</f>
        <v>1.2428869130314</v>
      </c>
      <c r="F215" s="1087">
        <f>Deflators_original!D215</f>
        <v>5.7855966297839503E-3</v>
      </c>
      <c r="G215" s="1087">
        <f>Deflators_original!E215</f>
        <v>1.23324136902543</v>
      </c>
      <c r="H215" s="1087">
        <f>Deflators_original!F215</f>
        <v>5.3287328583728798E-3</v>
      </c>
      <c r="I215" s="1087">
        <f>Deflators_original!G215</f>
        <v>0</v>
      </c>
      <c r="J215" s="1087">
        <f>Deflators_original!H215</f>
        <v>7.9070438771131606E-3</v>
      </c>
      <c r="K215" s="1087">
        <f>Deflators_original!I215</f>
        <v>0</v>
      </c>
      <c r="L215" s="1087">
        <f>Deflators_original!J215</f>
        <v>7.9070438771131606E-3</v>
      </c>
    </row>
    <row r="216" spans="1:12" x14ac:dyDescent="0.3">
      <c r="A216" s="1085" t="str">
        <f>Deflators_original!K216</f>
        <v>2023 Q3</v>
      </c>
      <c r="B216" s="1085" t="str">
        <f>Deflators_original!L216</f>
        <v>projection</v>
      </c>
      <c r="C216" s="1087">
        <f>Deflators_original!A216</f>
        <v>128.34299999999999</v>
      </c>
      <c r="D216" s="1087">
        <f>Deflators_original!B216</f>
        <v>1.0703045406514899E-2</v>
      </c>
      <c r="E216" s="1087">
        <f>Deflators_original!C216</f>
        <v>1.2498738813448</v>
      </c>
      <c r="F216" s="1087">
        <f>Deflators_original!D216</f>
        <v>5.6215639895718103E-3</v>
      </c>
      <c r="G216" s="1087">
        <f>Deflators_original!E216</f>
        <v>1.23988697204045</v>
      </c>
      <c r="H216" s="1087">
        <f>Deflators_original!F216</f>
        <v>5.3887285830158697E-3</v>
      </c>
      <c r="I216" s="1087">
        <f>Deflators_original!G216</f>
        <v>0</v>
      </c>
      <c r="J216" s="1087">
        <f>Deflators_original!H216</f>
        <v>7.3042210756391101E-3</v>
      </c>
      <c r="K216" s="1087">
        <f>Deflators_original!I216</f>
        <v>0</v>
      </c>
      <c r="L216" s="1087">
        <f>Deflators_original!J216</f>
        <v>7.3042210756391101E-3</v>
      </c>
    </row>
    <row r="217" spans="1:12" x14ac:dyDescent="0.3">
      <c r="A217" s="1085" t="str">
        <f>Deflators_original!K217</f>
        <v>2023 Q4</v>
      </c>
      <c r="B217" s="1085" t="str">
        <f>Deflators_original!L217</f>
        <v>projection</v>
      </c>
      <c r="C217" s="1087">
        <f>Deflators_original!A217</f>
        <v>129.029</v>
      </c>
      <c r="D217" s="1087">
        <f>Deflators_original!B217</f>
        <v>9.1844879207683104E-3</v>
      </c>
      <c r="E217" s="1087">
        <f>Deflators_original!C217</f>
        <v>1.2567469954114201</v>
      </c>
      <c r="F217" s="1087">
        <f>Deflators_original!D217</f>
        <v>5.4990460791324303E-3</v>
      </c>
      <c r="G217" s="1087">
        <f>Deflators_original!E217</f>
        <v>1.2467339667458399</v>
      </c>
      <c r="H217" s="1087">
        <f>Deflators_original!F217</f>
        <v>5.5222732876392096E-3</v>
      </c>
      <c r="I217" s="1087">
        <f>Deflators_original!G217</f>
        <v>0</v>
      </c>
      <c r="J217" s="1087">
        <f>Deflators_original!H217</f>
        <v>7.0530654325617901E-3</v>
      </c>
      <c r="K217" s="1087">
        <f>Deflators_original!I217</f>
        <v>0</v>
      </c>
      <c r="L217" s="1087">
        <f>Deflators_original!J217</f>
        <v>7.0530654325617901E-3</v>
      </c>
    </row>
    <row r="218" spans="1:12" x14ac:dyDescent="0.3">
      <c r="A218" s="1085" t="str">
        <f>Deflators_original!K218</f>
        <v>2024 Q1</v>
      </c>
      <c r="B218" s="1085" t="str">
        <f>Deflators_original!L218</f>
        <v>projection</v>
      </c>
      <c r="C218" s="1087">
        <f>Deflators_original!A218</f>
        <v>129.727</v>
      </c>
      <c r="D218" s="1087">
        <f>Deflators_original!B218</f>
        <v>9.0043592238056008E-3</v>
      </c>
      <c r="E218" s="1087">
        <f>Deflators_original!C218</f>
        <v>1.2634278982479701</v>
      </c>
      <c r="F218" s="1087">
        <f>Deflators_original!D218</f>
        <v>5.3160284933546596E-3</v>
      </c>
      <c r="G218" s="1087">
        <f>Deflators_original!E218</f>
        <v>1.25364625749611</v>
      </c>
      <c r="H218" s="1087">
        <f>Deflators_original!F218</f>
        <v>5.5443189442509998E-3</v>
      </c>
      <c r="I218" s="1087">
        <f>Deflators_original!G218</f>
        <v>0</v>
      </c>
      <c r="J218" s="1087">
        <f>Deflators_original!H218</f>
        <v>6.9971134735056202E-3</v>
      </c>
      <c r="K218" s="1087">
        <f>Deflators_original!I218</f>
        <v>0</v>
      </c>
      <c r="L218" s="1087">
        <f>Deflators_original!J218</f>
        <v>6.9971134735056202E-3</v>
      </c>
    </row>
    <row r="219" spans="1:12" x14ac:dyDescent="0.3">
      <c r="A219" s="1085" t="str">
        <f>Deflators_original!K219</f>
        <v>2024 Q2</v>
      </c>
      <c r="B219" s="1085" t="str">
        <f>Deflators_original!L219</f>
        <v>projection</v>
      </c>
      <c r="C219" s="1087">
        <f>Deflators_original!A219</f>
        <v>130.39599999999999</v>
      </c>
      <c r="D219" s="1087">
        <f>Deflators_original!B219</f>
        <v>8.7289641899026497E-3</v>
      </c>
      <c r="E219" s="1087">
        <f>Deflators_original!C219</f>
        <v>1.2700115316643099</v>
      </c>
      <c r="F219" s="1087">
        <f>Deflators_original!D219</f>
        <v>5.21092927065592E-3</v>
      </c>
      <c r="G219" s="1087">
        <f>Deflators_original!E219</f>
        <v>1.2606382978723401</v>
      </c>
      <c r="H219" s="1087">
        <f>Deflators_original!F219</f>
        <v>5.5773630993742902E-3</v>
      </c>
      <c r="I219" s="1087">
        <f>Deflators_original!G219</f>
        <v>0</v>
      </c>
      <c r="J219" s="1087">
        <f>Deflators_original!H219</f>
        <v>6.8431490448084302E-3</v>
      </c>
      <c r="K219" s="1087">
        <f>Deflators_original!I219</f>
        <v>0</v>
      </c>
      <c r="L219" s="1087">
        <f>Deflators_original!J219</f>
        <v>6.8431490448084302E-3</v>
      </c>
    </row>
    <row r="220" spans="1:12" x14ac:dyDescent="0.3">
      <c r="A220" s="1085" t="str">
        <f>Deflators_original!K220</f>
        <v>2024 Q3</v>
      </c>
      <c r="B220" s="1085" t="str">
        <f>Deflators_original!L220</f>
        <v>projection</v>
      </c>
      <c r="C220" s="1087">
        <f>Deflators_original!A220</f>
        <v>131.059</v>
      </c>
      <c r="D220" s="1087">
        <f>Deflators_original!B220</f>
        <v>8.5914100492137102E-3</v>
      </c>
      <c r="E220" s="1087">
        <f>Deflators_original!C220</f>
        <v>1.2764995444594001</v>
      </c>
      <c r="F220" s="1087">
        <f>Deflators_original!D220</f>
        <v>5.1086251056220401E-3</v>
      </c>
      <c r="G220" s="1087">
        <f>Deflators_original!E220</f>
        <v>1.2676741614448901</v>
      </c>
      <c r="H220" s="1087">
        <f>Deflators_original!F220</f>
        <v>5.5811913571317496E-3</v>
      </c>
      <c r="I220" s="1087">
        <f>Deflators_original!G220</f>
        <v>0</v>
      </c>
      <c r="J220" s="1087">
        <f>Deflators_original!H220</f>
        <v>6.8673504076357502E-3</v>
      </c>
      <c r="K220" s="1087">
        <f>Deflators_original!I220</f>
        <v>0</v>
      </c>
      <c r="L220" s="1087">
        <f>Deflators_original!J220</f>
        <v>6.8673504076357502E-3</v>
      </c>
    </row>
    <row r="221" spans="1:12" x14ac:dyDescent="0.3">
      <c r="A221" s="1085" t="str">
        <f>Deflators_original!K221</f>
        <v>2024 Q4</v>
      </c>
      <c r="B221" s="1085" t="str">
        <f>Deflators_original!L221</f>
        <v>projection</v>
      </c>
      <c r="C221" s="1087">
        <f>Deflators_original!A221</f>
        <v>131.71700000000001</v>
      </c>
      <c r="D221" s="1087">
        <f>Deflators_original!B221</f>
        <v>8.9161054162174604E-3</v>
      </c>
      <c r="E221" s="1087">
        <f>Deflators_original!C221</f>
        <v>1.28294387302533</v>
      </c>
      <c r="F221" s="1087">
        <f>Deflators_original!D221</f>
        <v>5.0484378109654201E-3</v>
      </c>
      <c r="G221" s="1087">
        <f>Deflators_original!E221</f>
        <v>1.27486756915833</v>
      </c>
      <c r="H221" s="1087">
        <f>Deflators_original!F221</f>
        <v>5.6744926513563297E-3</v>
      </c>
      <c r="I221" s="1087">
        <f>Deflators_original!G221</f>
        <v>0</v>
      </c>
      <c r="J221" s="1087">
        <f>Deflators_original!H221</f>
        <v>6.9547108559351303E-3</v>
      </c>
      <c r="K221" s="1087">
        <f>Deflators_original!I221</f>
        <v>0</v>
      </c>
      <c r="L221" s="1087">
        <f>Deflators_original!J221</f>
        <v>6.9547108559351303E-3</v>
      </c>
    </row>
    <row r="222" spans="1:12" x14ac:dyDescent="0.3">
      <c r="A222" s="1085" t="str">
        <f>Deflators_original!K222</f>
        <v>2025 Q1</v>
      </c>
      <c r="B222" s="1085" t="str">
        <f>Deflators_original!L222</f>
        <v>projection</v>
      </c>
      <c r="C222" s="1087">
        <f>Deflators_original!A222</f>
        <v>132.387</v>
      </c>
      <c r="D222" s="1087">
        <f>Deflators_original!B222</f>
        <v>8.9448645005396604E-3</v>
      </c>
      <c r="E222" s="1087">
        <f>Deflators_original!C222</f>
        <v>1.2894325064411301</v>
      </c>
      <c r="F222" s="1087">
        <f>Deflators_original!D222</f>
        <v>5.0576128482484597E-3</v>
      </c>
      <c r="G222" s="1087">
        <f>Deflators_original!E222</f>
        <v>1.2820380854348901</v>
      </c>
      <c r="H222" s="1087">
        <f>Deflators_original!F222</f>
        <v>5.6245185382668402E-3</v>
      </c>
      <c r="I222" s="1087">
        <f>Deflators_original!G222</f>
        <v>0</v>
      </c>
      <c r="J222" s="1087">
        <f>Deflators_original!H222</f>
        <v>7.1644853940870902E-3</v>
      </c>
      <c r="K222" s="1087">
        <f>Deflators_original!I222</f>
        <v>0</v>
      </c>
      <c r="L222" s="1087">
        <f>Deflators_original!J222</f>
        <v>7.1644853940870902E-3</v>
      </c>
    </row>
    <row r="223" spans="1:12" x14ac:dyDescent="0.3">
      <c r="A223" s="1085" t="str">
        <f>Deflators_original!K223</f>
        <v>2025 Q2</v>
      </c>
      <c r="B223" s="1085" t="str">
        <f>Deflators_original!L223</f>
        <v>projection</v>
      </c>
      <c r="C223" s="1087">
        <f>Deflators_original!A223</f>
        <v>133.06</v>
      </c>
      <c r="D223" s="1087">
        <f>Deflators_original!B223</f>
        <v>9.1533831273586906E-3</v>
      </c>
      <c r="E223" s="1087">
        <f>Deflators_original!C223</f>
        <v>1.2958992443324899</v>
      </c>
      <c r="F223" s="1087">
        <f>Deflators_original!D223</f>
        <v>5.0151813755774403E-3</v>
      </c>
      <c r="G223" s="1087">
        <f>Deflators_original!E223</f>
        <v>1.2893035556861601</v>
      </c>
      <c r="H223" s="1087">
        <f>Deflators_original!F223</f>
        <v>5.6671251297499801E-3</v>
      </c>
      <c r="I223" s="1087">
        <f>Deflators_original!G223</f>
        <v>0</v>
      </c>
      <c r="J223" s="1087">
        <f>Deflators_original!H223</f>
        <v>7.3479141028771596E-3</v>
      </c>
      <c r="K223" s="1087">
        <f>Deflators_original!I223</f>
        <v>0</v>
      </c>
      <c r="L223" s="1087">
        <f>Deflators_original!J223</f>
        <v>7.3479141028771596E-3</v>
      </c>
    </row>
    <row r="224" spans="1:12" x14ac:dyDescent="0.3">
      <c r="A224" s="1085" t="str">
        <f>Deflators_original!K224</f>
        <v>2025 Q3</v>
      </c>
      <c r="B224" s="1085" t="str">
        <f>Deflators_original!L224</f>
        <v>projection</v>
      </c>
      <c r="C224" s="1087">
        <f>Deflators_original!A224</f>
        <v>133.74</v>
      </c>
      <c r="D224" s="1087">
        <f>Deflators_original!B224</f>
        <v>8.7464172787514692E-3</v>
      </c>
      <c r="E224" s="1087">
        <f>Deflators_original!C224</f>
        <v>1.30236106649534</v>
      </c>
      <c r="F224" s="1087">
        <f>Deflators_original!D224</f>
        <v>4.9863615486378503E-3</v>
      </c>
      <c r="G224" s="1087">
        <f>Deflators_original!E224</f>
        <v>1.2965871559633</v>
      </c>
      <c r="H224" s="1087">
        <f>Deflators_original!F224</f>
        <v>5.6492516793433803E-3</v>
      </c>
      <c r="I224" s="1087">
        <f>Deflators_original!G224</f>
        <v>0</v>
      </c>
      <c r="J224" s="1087">
        <f>Deflators_original!H224</f>
        <v>7.4104265836887296E-3</v>
      </c>
      <c r="K224" s="1087">
        <f>Deflators_original!I224</f>
        <v>0</v>
      </c>
      <c r="L224" s="1087">
        <f>Deflators_original!J224</f>
        <v>7.4104265836887296E-3</v>
      </c>
    </row>
    <row r="225" spans="1:12" x14ac:dyDescent="0.3">
      <c r="A225" s="1085" t="str">
        <f>Deflators_original!K225</f>
        <v>2025 Q4</v>
      </c>
      <c r="B225" s="1085" t="str">
        <f>Deflators_original!L225</f>
        <v>projection</v>
      </c>
      <c r="C225" s="1087">
        <f>Deflators_original!A225</f>
        <v>134.423</v>
      </c>
      <c r="D225" s="1087">
        <f>Deflators_original!B225</f>
        <v>9.1103928289688607E-3</v>
      </c>
      <c r="E225" s="1087">
        <f>Deflators_original!C225</f>
        <v>1.3088263705223599</v>
      </c>
      <c r="F225" s="1087">
        <f>Deflators_original!D225</f>
        <v>4.9642946133339203E-3</v>
      </c>
      <c r="G225" s="1087">
        <f>Deflators_original!E225</f>
        <v>1.3039812302954801</v>
      </c>
      <c r="H225" s="1087">
        <f>Deflators_original!F225</f>
        <v>5.7027206371482696E-3</v>
      </c>
      <c r="I225" s="1087">
        <f>Deflators_original!G225</f>
        <v>0</v>
      </c>
      <c r="J225" s="1087">
        <f>Deflators_original!H225</f>
        <v>7.5096199742570296E-3</v>
      </c>
      <c r="K225" s="1087">
        <f>Deflators_original!I225</f>
        <v>0</v>
      </c>
      <c r="L225" s="1087">
        <f>Deflators_original!J225</f>
        <v>7.5096199742570296E-3</v>
      </c>
    </row>
    <row r="226" spans="1:12" x14ac:dyDescent="0.3">
      <c r="A226" s="1085" t="str">
        <f>Deflators_original!K226</f>
        <v>2026 Q1</v>
      </c>
      <c r="B226" s="1085" t="str">
        <f>Deflators_original!L226</f>
        <v>projection</v>
      </c>
      <c r="C226" s="1087">
        <f>Deflators_original!A226</f>
        <v>135.11199999999999</v>
      </c>
      <c r="D226" s="1087">
        <f>Deflators_original!B226</f>
        <v>7.5615020615988904E-3</v>
      </c>
      <c r="E226" s="1087">
        <f>Deflators_original!C226</f>
        <v>1.31531956761644</v>
      </c>
      <c r="F226" s="1087">
        <f>Deflators_original!D226</f>
        <v>4.9610836397546701E-3</v>
      </c>
      <c r="G226" s="1087">
        <f>Deflators_original!E226</f>
        <v>1.3113732962040201</v>
      </c>
      <c r="H226" s="1087">
        <f>Deflators_original!F226</f>
        <v>5.6688437968273097E-3</v>
      </c>
      <c r="I226" s="1087">
        <f>Deflators_original!G226</f>
        <v>0</v>
      </c>
      <c r="J226" s="1087">
        <f>Deflators_original!H226</f>
        <v>7.5110387764860701E-3</v>
      </c>
      <c r="K226" s="1087">
        <f>Deflators_original!I226</f>
        <v>0</v>
      </c>
      <c r="L226" s="1087">
        <f>Deflators_original!J226</f>
        <v>7.5110387764860701E-3</v>
      </c>
    </row>
    <row r="227" spans="1:12" x14ac:dyDescent="0.3">
      <c r="A227" s="1085" t="str">
        <f>Deflators_original!K227</f>
        <v>2026 Q2</v>
      </c>
      <c r="B227" s="1085" t="str">
        <f>Deflators_original!L227</f>
        <v>projection</v>
      </c>
      <c r="C227" s="1087">
        <f>Deflators_original!A227</f>
        <v>135.804</v>
      </c>
      <c r="D227" s="1087">
        <f>Deflators_original!B227</f>
        <v>8.7303712553470393E-3</v>
      </c>
      <c r="E227" s="1087">
        <f>Deflators_original!C227</f>
        <v>1.32183093460853</v>
      </c>
      <c r="F227" s="1087">
        <f>Deflators_original!D227</f>
        <v>4.9504068459142996E-3</v>
      </c>
      <c r="G227" s="1087">
        <f>Deflators_original!E227</f>
        <v>1.3188342120679599</v>
      </c>
      <c r="H227" s="1087">
        <f>Deflators_original!F227</f>
        <v>5.68939133161894E-3</v>
      </c>
      <c r="I227" s="1087">
        <f>Deflators_original!G227</f>
        <v>0</v>
      </c>
      <c r="J227" s="1087">
        <f>Deflators_original!H227</f>
        <v>7.6079053396602703E-3</v>
      </c>
      <c r="K227" s="1087">
        <f>Deflators_original!I227</f>
        <v>0</v>
      </c>
      <c r="L227" s="1087">
        <f>Deflators_original!J227</f>
        <v>7.6079053396602703E-3</v>
      </c>
    </row>
    <row r="228" spans="1:12" x14ac:dyDescent="0.3">
      <c r="A228" s="1085" t="str">
        <f>Deflators_original!K228</f>
        <v>2026 Q3</v>
      </c>
      <c r="B228" s="1085" t="str">
        <f>Deflators_original!L228</f>
        <v>projection</v>
      </c>
      <c r="C228" s="1087">
        <f>Deflators_original!A228</f>
        <v>136.50200000000001</v>
      </c>
      <c r="D228" s="1087">
        <f>Deflators_original!B228</f>
        <v>8.9577129243598695E-3</v>
      </c>
      <c r="E228" s="1087">
        <f>Deflators_original!C228</f>
        <v>1.3283841123407201</v>
      </c>
      <c r="F228" s="1087">
        <f>Deflators_original!D228</f>
        <v>4.9576519663812003E-3</v>
      </c>
      <c r="G228" s="1087">
        <f>Deflators_original!E228</f>
        <v>1.32638279192274</v>
      </c>
      <c r="H228" s="1087">
        <f>Deflators_original!F228</f>
        <v>5.7236760964425298E-3</v>
      </c>
      <c r="I228" s="1087">
        <f>Deflators_original!G228</f>
        <v>0</v>
      </c>
      <c r="J228" s="1087">
        <f>Deflators_original!H228</f>
        <v>7.6427931995954896E-3</v>
      </c>
      <c r="K228" s="1087">
        <f>Deflators_original!I228</f>
        <v>0</v>
      </c>
      <c r="L228" s="1087">
        <f>Deflators_original!J228</f>
        <v>7.6427931995954896E-3</v>
      </c>
    </row>
    <row r="229" spans="1:12" x14ac:dyDescent="0.3">
      <c r="A229" s="1085" t="str">
        <f>Deflators_original!K229</f>
        <v>2026 Q4</v>
      </c>
      <c r="B229" s="1085" t="str">
        <f>Deflators_original!L229</f>
        <v>projection</v>
      </c>
      <c r="C229" s="1087">
        <f>Deflators_original!A229</f>
        <v>137.20500000000001</v>
      </c>
      <c r="D229" s="1087">
        <f>Deflators_original!B229</f>
        <v>8.9456481041094698E-3</v>
      </c>
      <c r="E229" s="1087">
        <f>Deflators_original!C229</f>
        <v>1.3349681151798001</v>
      </c>
      <c r="F229" s="1087">
        <f>Deflators_original!D229</f>
        <v>4.9563998680208802E-3</v>
      </c>
      <c r="G229" s="1087">
        <f>Deflators_original!E229</f>
        <v>1.3339181286549699</v>
      </c>
      <c r="H229" s="1087">
        <f>Deflators_original!F229</f>
        <v>5.6811176819537802E-3</v>
      </c>
      <c r="I229" s="1087">
        <f>Deflators_original!G229</f>
        <v>0</v>
      </c>
      <c r="J229" s="1087">
        <f>Deflators_original!H229</f>
        <v>7.6468716160857904E-3</v>
      </c>
      <c r="K229" s="1087">
        <f>Deflators_original!I229</f>
        <v>0</v>
      </c>
      <c r="L229" s="1087">
        <f>Deflators_original!J229</f>
        <v>7.6468716160857904E-3</v>
      </c>
    </row>
    <row r="230" spans="1:12" x14ac:dyDescent="0.3">
      <c r="A230" s="1085" t="str">
        <f>Deflators_original!K230</f>
        <v>2027 Q1</v>
      </c>
      <c r="B230" s="1085" t="str">
        <f>Deflators_original!L230</f>
        <v>projection</v>
      </c>
      <c r="C230" s="1087">
        <f>Deflators_original!A230</f>
        <v>137.91399999999999</v>
      </c>
      <c r="D230" s="1087">
        <f>Deflators_original!B230</f>
        <v>9.3644791698008802E-3</v>
      </c>
      <c r="E230" s="1087">
        <f>Deflators_original!C230</f>
        <v>1.3416021043815101</v>
      </c>
      <c r="F230" s="1087">
        <f>Deflators_original!D230</f>
        <v>4.9693989888390799E-3</v>
      </c>
      <c r="G230" s="1087">
        <f>Deflators_original!E230</f>
        <v>1.34166118781503</v>
      </c>
      <c r="H230" s="1087">
        <f>Deflators_original!F230</f>
        <v>5.8047484277543599E-3</v>
      </c>
      <c r="I230" s="1087">
        <f>Deflators_original!G230</f>
        <v>0</v>
      </c>
      <c r="J230" s="1087">
        <f>Deflators_original!H230</f>
        <v>7.6361657960506398E-3</v>
      </c>
      <c r="K230" s="1087">
        <f>Deflators_original!I230</f>
        <v>0</v>
      </c>
      <c r="L230" s="1087">
        <f>Deflators_original!J230</f>
        <v>7.6361657960506398E-3</v>
      </c>
    </row>
    <row r="231" spans="1:12" x14ac:dyDescent="0.3">
      <c r="A231" s="1085" t="str">
        <f>Deflators_original!K231</f>
        <v>2027 Q2</v>
      </c>
      <c r="B231" s="1085" t="str">
        <f>Deflators_original!L231</f>
        <v>projection</v>
      </c>
      <c r="C231" s="1087">
        <f>Deflators_original!A231</f>
        <v>138.62700000000001</v>
      </c>
      <c r="D231" s="1087">
        <f>Deflators_original!B231</f>
        <v>9.2842237752972494E-3</v>
      </c>
      <c r="E231" s="1087">
        <f>Deflators_original!C231</f>
        <v>1.3482829151358799</v>
      </c>
      <c r="F231" s="1087">
        <f>Deflators_original!D231</f>
        <v>4.9797259057300404E-3</v>
      </c>
      <c r="G231" s="1087">
        <f>Deflators_original!E231</f>
        <v>1.34929556901964</v>
      </c>
      <c r="H231" s="1087">
        <f>Deflators_original!F231</f>
        <v>5.6902452526301798E-3</v>
      </c>
      <c r="I231" s="1087">
        <f>Deflators_original!G231</f>
        <v>0</v>
      </c>
      <c r="J231" s="1087">
        <f>Deflators_original!H231</f>
        <v>7.7033226228278E-3</v>
      </c>
      <c r="K231" s="1087">
        <f>Deflators_original!I231</f>
        <v>0</v>
      </c>
      <c r="L231" s="1087">
        <f>Deflators_original!J231</f>
        <v>7.7033226228278E-3</v>
      </c>
    </row>
    <row r="232" spans="1:12" x14ac:dyDescent="0.3">
      <c r="A232" s="1085" t="str">
        <f>Deflators_original!K232</f>
        <v>2027 Q3</v>
      </c>
      <c r="B232" s="1085" t="str">
        <f>Deflators_original!L232</f>
        <v>projection</v>
      </c>
      <c r="C232" s="1087">
        <f>Deflators_original!A232</f>
        <v>139.346</v>
      </c>
      <c r="D232" s="1087">
        <f>Deflators_original!B232</f>
        <v>9.2775825120687792E-3</v>
      </c>
      <c r="E232" s="1087">
        <f>Deflators_original!C232</f>
        <v>1.3549987033194999</v>
      </c>
      <c r="F232" s="1087">
        <f>Deflators_original!D232</f>
        <v>4.9809933124782503E-3</v>
      </c>
      <c r="G232" s="1087">
        <f>Deflators_original!E232</f>
        <v>1.35701779982492</v>
      </c>
      <c r="H232" s="1087">
        <f>Deflators_original!F232</f>
        <v>5.7231573145193303E-3</v>
      </c>
      <c r="I232" s="1087">
        <f>Deflators_original!G232</f>
        <v>0</v>
      </c>
      <c r="J232" s="1087">
        <f>Deflators_original!H232</f>
        <v>7.6930261622452098E-3</v>
      </c>
      <c r="K232" s="1087">
        <f>Deflators_original!I232</f>
        <v>0</v>
      </c>
      <c r="L232" s="1087">
        <f>Deflators_original!J232</f>
        <v>7.6930261622452098E-3</v>
      </c>
    </row>
    <row r="233" spans="1:12" x14ac:dyDescent="0.3">
      <c r="A233" s="1085" t="str">
        <f>Deflators_original!K233</f>
        <v>2027 Q4</v>
      </c>
      <c r="B233" s="1085" t="str">
        <f>Deflators_original!L233</f>
        <v>projection</v>
      </c>
      <c r="C233" s="1087">
        <f>Deflators_original!A233</f>
        <v>140.06800000000001</v>
      </c>
      <c r="D233" s="1087">
        <f>Deflators_original!B233</f>
        <v>9.2605839890744796E-3</v>
      </c>
      <c r="E233" s="1087">
        <f>Deflators_original!C233</f>
        <v>1.36175128590698</v>
      </c>
      <c r="F233" s="1087">
        <f>Deflators_original!D233</f>
        <v>4.9834605530849601E-3</v>
      </c>
      <c r="G233" s="1087">
        <f>Deflators_original!E233</f>
        <v>1.3647496173190501</v>
      </c>
      <c r="H233" s="1087">
        <f>Deflators_original!F233</f>
        <v>5.6976537044128896E-3</v>
      </c>
      <c r="I233" s="1087">
        <f>Deflators_original!G233</f>
        <v>0</v>
      </c>
      <c r="J233" s="1087">
        <f>Deflators_original!H233</f>
        <v>7.72989197946106E-3</v>
      </c>
      <c r="K233" s="1087">
        <f>Deflators_original!I233</f>
        <v>0</v>
      </c>
      <c r="L233" s="1087">
        <f>Deflators_original!J233</f>
        <v>7.72989197946106E-3</v>
      </c>
    </row>
    <row r="234" spans="1:12" x14ac:dyDescent="0.3">
      <c r="A234" s="1085" t="str">
        <f>Deflators_original!K234</f>
        <v>2028 Q1</v>
      </c>
      <c r="B234" s="1085" t="str">
        <f>Deflators_original!L234</f>
        <v>projection</v>
      </c>
      <c r="C234" s="1087">
        <f>Deflators_original!A234</f>
        <v>140.79400000000001</v>
      </c>
      <c r="D234" s="1087">
        <f>Deflators_original!B234</f>
        <v>9.5654471178010497E-3</v>
      </c>
      <c r="E234" s="1087">
        <f>Deflators_original!C234</f>
        <v>1.3685565521093499</v>
      </c>
      <c r="F234" s="1087">
        <f>Deflators_original!D234</f>
        <v>4.9974369569547603E-3</v>
      </c>
      <c r="G234" s="1087">
        <f>Deflators_original!E234</f>
        <v>1.3725775899752299</v>
      </c>
      <c r="H234" s="1087">
        <f>Deflators_original!F234</f>
        <v>5.7358306291819296E-3</v>
      </c>
      <c r="I234" s="1087">
        <f>Deflators_original!G234</f>
        <v>0</v>
      </c>
      <c r="J234" s="1087">
        <f>Deflators_original!H234</f>
        <v>7.76710044167461E-3</v>
      </c>
      <c r="K234" s="1087">
        <f>Deflators_original!I234</f>
        <v>0</v>
      </c>
      <c r="L234" s="1087">
        <f>Deflators_original!J234</f>
        <v>7.76710044167461E-3</v>
      </c>
    </row>
    <row r="235" spans="1:12" x14ac:dyDescent="0.3">
      <c r="A235" s="1085" t="str">
        <f>Deflators_original!K235</f>
        <v>2028 Q2</v>
      </c>
      <c r="B235" s="1085" t="str">
        <f>Deflators_original!L235</f>
        <v>projection</v>
      </c>
      <c r="C235" s="1087">
        <f>Deflators_original!A235</f>
        <v>141.52500000000001</v>
      </c>
      <c r="D235" s="1087">
        <f>Deflators_original!B235</f>
        <v>9.5131112437252304E-3</v>
      </c>
      <c r="E235" s="1087">
        <f>Deflators_original!C235</f>
        <v>1.3754167465031599</v>
      </c>
      <c r="F235" s="1087">
        <f>Deflators_original!D235</f>
        <v>5.0127226260690003E-3</v>
      </c>
      <c r="G235" s="1087">
        <f>Deflators_original!E235</f>
        <v>1.3803975824655901</v>
      </c>
      <c r="H235" s="1087">
        <f>Deflators_original!F235</f>
        <v>5.6973045075765496E-3</v>
      </c>
      <c r="I235" s="1087">
        <f>Deflators_original!G235</f>
        <v>0</v>
      </c>
      <c r="J235" s="1087">
        <f>Deflators_original!H235</f>
        <v>7.7117945916846996E-3</v>
      </c>
      <c r="K235" s="1087">
        <f>Deflators_original!I235</f>
        <v>0</v>
      </c>
      <c r="L235" s="1087">
        <f>Deflators_original!J235</f>
        <v>7.7117945916846996E-3</v>
      </c>
    </row>
    <row r="236" spans="1:12" x14ac:dyDescent="0.3">
      <c r="A236" s="1085" t="str">
        <f>Deflators_original!K236</f>
        <v>2028 Q3</v>
      </c>
      <c r="B236" s="1085" t="str">
        <f>Deflators_original!L236</f>
        <v>projection</v>
      </c>
      <c r="C236" s="1087">
        <f>Deflators_original!A236</f>
        <v>142.261</v>
      </c>
      <c r="D236" s="1087">
        <f>Deflators_original!B236</f>
        <v>9.6226188444006305E-3</v>
      </c>
      <c r="E236" s="1087">
        <f>Deflators_original!C236</f>
        <v>1.38231462830346</v>
      </c>
      <c r="F236" s="1087">
        <f>Deflators_original!D236</f>
        <v>5.01512128439097E-3</v>
      </c>
      <c r="G236" s="1087">
        <f>Deflators_original!E236</f>
        <v>1.3882378630176899</v>
      </c>
      <c r="H236" s="1087">
        <f>Deflators_original!F236</f>
        <v>5.6797263713610499E-3</v>
      </c>
      <c r="I236" s="1087">
        <f>Deflators_original!G236</f>
        <v>0</v>
      </c>
      <c r="J236" s="1087">
        <f>Deflators_original!H236</f>
        <v>7.7619204183672101E-3</v>
      </c>
      <c r="K236" s="1087">
        <f>Deflators_original!I236</f>
        <v>0</v>
      </c>
      <c r="L236" s="1087">
        <f>Deflators_original!J236</f>
        <v>7.7619204183672101E-3</v>
      </c>
    </row>
    <row r="237" spans="1:12" x14ac:dyDescent="0.3">
      <c r="A237" s="1085" t="str">
        <f>Deflators_original!K237</f>
        <v>2028 Q4</v>
      </c>
      <c r="B237" s="1085" t="str">
        <f>Deflators_original!L237</f>
        <v>projection</v>
      </c>
      <c r="C237" s="1087">
        <f>Deflators_original!A237</f>
        <v>143.001</v>
      </c>
      <c r="D237" s="1087">
        <f>Deflators_original!B237</f>
        <v>9.63423110882888E-3</v>
      </c>
      <c r="E237" s="1087">
        <f>Deflators_original!C237</f>
        <v>1.3892738376724401</v>
      </c>
      <c r="F237" s="1087">
        <f>Deflators_original!D237</f>
        <v>5.0344612047694701E-3</v>
      </c>
      <c r="G237" s="1087">
        <f>Deflators_original!E237</f>
        <v>1.39614405238268</v>
      </c>
      <c r="H237" s="1087">
        <f>Deflators_original!F237</f>
        <v>5.69512586828003E-3</v>
      </c>
      <c r="I237" s="1087">
        <f>Deflators_original!G237</f>
        <v>0</v>
      </c>
      <c r="J237" s="1087">
        <f>Deflators_original!H237</f>
        <v>7.7995328359632401E-3</v>
      </c>
      <c r="K237" s="1087">
        <f>Deflators_original!I237</f>
        <v>0</v>
      </c>
      <c r="L237" s="1087">
        <f>Deflators_original!J237</f>
        <v>7.7995328359632401E-3</v>
      </c>
    </row>
    <row r="238" spans="1:12" x14ac:dyDescent="0.3">
      <c r="A238" s="1085" t="str">
        <f>Deflators_original!K238</f>
        <v>2029 Q1</v>
      </c>
      <c r="B238" s="1085" t="str">
        <f>Deflators_original!L238</f>
        <v>projection</v>
      </c>
      <c r="C238" s="1087">
        <f>Deflators_original!A238</f>
        <v>143.74600000000001</v>
      </c>
      <c r="D238" s="1087">
        <f>Deflators_original!B238</f>
        <v>9.6539405009628005E-3</v>
      </c>
      <c r="E238" s="1087">
        <f>Deflators_original!C238</f>
        <v>1.39627437041138</v>
      </c>
      <c r="F238" s="1087">
        <f>Deflators_original!D238</f>
        <v>5.0389869506730599E-3</v>
      </c>
      <c r="G238" s="1087">
        <f>Deflators_original!E238</f>
        <v>1.4040433423023799</v>
      </c>
      <c r="H238" s="1087">
        <f>Deflators_original!F238</f>
        <v>5.6579332957886804E-3</v>
      </c>
      <c r="I238" s="1087">
        <f>Deflators_original!G238</f>
        <v>0</v>
      </c>
      <c r="J238" s="1087">
        <f>Deflators_original!H238</f>
        <v>7.7912884572341997E-3</v>
      </c>
      <c r="K238" s="1087">
        <f>Deflators_original!I238</f>
        <v>0</v>
      </c>
      <c r="L238" s="1087">
        <f>Deflators_original!J238</f>
        <v>7.7912884572341997E-3</v>
      </c>
    </row>
    <row r="239" spans="1:12" x14ac:dyDescent="0.3">
      <c r="A239" s="1085" t="str">
        <f>Deflators_original!K239</f>
        <v>2029 Q2</v>
      </c>
      <c r="B239" s="1085" t="str">
        <f>Deflators_original!L239</f>
        <v>projection</v>
      </c>
      <c r="C239" s="1087">
        <f>Deflators_original!A239</f>
        <v>144.49700000000001</v>
      </c>
      <c r="D239" s="1087">
        <f>Deflators_original!B239</f>
        <v>9.6691361665008895E-3</v>
      </c>
      <c r="E239" s="1087">
        <f>Deflators_original!C239</f>
        <v>1.4033099027935101</v>
      </c>
      <c r="F239" s="1087">
        <f>Deflators_original!D239</f>
        <v>5.0387893176471197E-3</v>
      </c>
      <c r="G239" s="1087">
        <f>Deflators_original!E239</f>
        <v>1.41203838325095</v>
      </c>
      <c r="H239" s="1087">
        <f>Deflators_original!F239</f>
        <v>5.6942978237812802E-3</v>
      </c>
      <c r="I239" s="1087">
        <f>Deflators_original!G239</f>
        <v>0</v>
      </c>
      <c r="J239" s="1087">
        <f>Deflators_original!H239</f>
        <v>7.7941515137436301E-3</v>
      </c>
      <c r="K239" s="1087">
        <f>Deflators_original!I239</f>
        <v>0</v>
      </c>
      <c r="L239" s="1087">
        <f>Deflators_original!J239</f>
        <v>7.7941515137436301E-3</v>
      </c>
    </row>
    <row r="240" spans="1:12" x14ac:dyDescent="0.3">
      <c r="A240" s="1085" t="str">
        <f>Deflators_original!K240</f>
        <v>2029 Q3</v>
      </c>
      <c r="B240" s="1085" t="str">
        <f>Deflators_original!L240</f>
        <v>projection</v>
      </c>
      <c r="C240" s="1087">
        <f>Deflators_original!A240</f>
        <v>145.25200000000001</v>
      </c>
      <c r="D240" s="1087">
        <f>Deflators_original!B240</f>
        <v>9.6586760769043992E-3</v>
      </c>
      <c r="E240" s="1087">
        <f>Deflators_original!C240</f>
        <v>1.41038640723486</v>
      </c>
      <c r="F240" s="1087">
        <f>Deflators_original!D240</f>
        <v>5.0427239394939E-3</v>
      </c>
      <c r="G240" s="1087">
        <f>Deflators_original!E240</f>
        <v>1.4200276142722199</v>
      </c>
      <c r="H240" s="1087">
        <f>Deflators_original!F240</f>
        <v>5.6579418208730897E-3</v>
      </c>
      <c r="I240" s="1087">
        <f>Deflators_original!G240</f>
        <v>0</v>
      </c>
      <c r="J240" s="1087">
        <f>Deflators_original!H240</f>
        <v>7.8704073905595494E-3</v>
      </c>
      <c r="K240" s="1087">
        <f>Deflators_original!I240</f>
        <v>0</v>
      </c>
      <c r="L240" s="1087">
        <f>Deflators_original!J240</f>
        <v>7.8704073905595494E-3</v>
      </c>
    </row>
    <row r="241" spans="1:12" x14ac:dyDescent="0.3">
      <c r="A241" s="1085" t="str">
        <f>Deflators_original!K241</f>
        <v>2029 Q4</v>
      </c>
      <c r="B241" s="1085" t="str">
        <f>Deflators_original!L241</f>
        <v>projection</v>
      </c>
      <c r="C241" s="1087">
        <f>Deflators_original!A241</f>
        <v>146.01300000000001</v>
      </c>
      <c r="D241" s="1087">
        <f>Deflators_original!B241</f>
        <v>9.6476295213847596E-3</v>
      </c>
      <c r="E241" s="1087">
        <f>Deflators_original!C241</f>
        <v>1.4174991943280699</v>
      </c>
      <c r="F241" s="1087">
        <f>Deflators_original!D241</f>
        <v>5.0431477903676303E-3</v>
      </c>
      <c r="G241" s="1087">
        <f>Deflators_original!E241</f>
        <v>1.4280836844399201</v>
      </c>
      <c r="H241" s="1087">
        <f>Deflators_original!F241</f>
        <v>5.6731785260632998E-3</v>
      </c>
      <c r="I241" s="1087">
        <f>Deflators_original!G241</f>
        <v>0</v>
      </c>
      <c r="J241" s="1087">
        <f>Deflators_original!H241</f>
        <v>7.8346502176538397E-3</v>
      </c>
      <c r="K241" s="1087">
        <f>Deflators_original!I241</f>
        <v>0</v>
      </c>
      <c r="L241" s="1087">
        <f>Deflators_original!J241</f>
        <v>7.8346502176538397E-3</v>
      </c>
    </row>
    <row r="242" spans="1:12" x14ac:dyDescent="0.3">
      <c r="A242" s="1085" t="str">
        <f>Deflators_original!K242</f>
        <v>2030 Q1</v>
      </c>
      <c r="B242" s="1085" t="str">
        <f>Deflators_original!L242</f>
        <v>projection</v>
      </c>
      <c r="C242" s="1087">
        <f>Deflators_original!A242</f>
        <v>146.77699999999999</v>
      </c>
      <c r="D242" s="1087">
        <f>Deflators_original!B242</f>
        <v>9.6300474191055602E-3</v>
      </c>
      <c r="E242" s="1087">
        <f>Deflators_original!C242</f>
        <v>1.4246406393566999</v>
      </c>
      <c r="F242" s="1087">
        <f>Deflators_original!D242</f>
        <v>5.0380593210934696E-3</v>
      </c>
      <c r="G242" s="1087">
        <f>Deflators_original!E242</f>
        <v>1.43620652094982</v>
      </c>
      <c r="H242" s="1087">
        <f>Deflators_original!F242</f>
        <v>5.6879275342209797E-3</v>
      </c>
      <c r="I242" s="1087">
        <f>Deflators_original!G242</f>
        <v>0</v>
      </c>
      <c r="J242" s="1087">
        <f>Deflators_original!H242</f>
        <v>7.8797512420421007E-3</v>
      </c>
      <c r="K242" s="1087">
        <f>Deflators_original!I242</f>
        <v>0</v>
      </c>
      <c r="L242" s="1087">
        <f>Deflators_original!J242</f>
        <v>7.8797512420421007E-3</v>
      </c>
    </row>
    <row r="243" spans="1:12" x14ac:dyDescent="0.3">
      <c r="A243" s="1085" t="str">
        <f>Deflators_original!K243</f>
        <v>2030 Q2</v>
      </c>
      <c r="B243" s="1085" t="str">
        <f>Deflators_original!L243</f>
        <v>projection</v>
      </c>
      <c r="C243" s="1087">
        <f>Deflators_original!A243</f>
        <v>147.54300000000001</v>
      </c>
      <c r="D243" s="1087">
        <f>Deflators_original!B243</f>
        <v>9.6120878211418698E-3</v>
      </c>
      <c r="E243" s="1087">
        <f>Deflators_original!C243</f>
        <v>1.4318117675930999</v>
      </c>
      <c r="F243" s="1087">
        <f>Deflators_original!D243</f>
        <v>5.0336400902089001E-3</v>
      </c>
      <c r="G243" s="1087">
        <f>Deflators_original!E243</f>
        <v>1.4443234610917499</v>
      </c>
      <c r="H243" s="1087">
        <f>Deflators_original!F243</f>
        <v>5.65165247722432E-3</v>
      </c>
      <c r="I243" s="1087">
        <f>Deflators_original!G243</f>
        <v>0</v>
      </c>
      <c r="J243" s="1087">
        <f>Deflators_original!H243</f>
        <v>7.8594590588953999E-3</v>
      </c>
      <c r="K243" s="1087">
        <f>Deflators_original!I243</f>
        <v>0</v>
      </c>
      <c r="L243" s="1087">
        <f>Deflators_original!J243</f>
        <v>7.8594590588953999E-3</v>
      </c>
    </row>
    <row r="244" spans="1:12" x14ac:dyDescent="0.3">
      <c r="A244" s="1085" t="str">
        <f>Deflators_original!K244</f>
        <v>2030 Q3</v>
      </c>
      <c r="B244" s="1085" t="str">
        <f>Deflators_original!L244</f>
        <v>projection</v>
      </c>
      <c r="C244" s="1087">
        <f>Deflators_original!A244</f>
        <v>148.31399999999999</v>
      </c>
      <c r="D244" s="1087">
        <f>Deflators_original!B244</f>
        <v>9.5966929760873398E-3</v>
      </c>
      <c r="E244" s="1087">
        <f>Deflators_original!C244</f>
        <v>1.4390135213502999</v>
      </c>
      <c r="F244" s="1087">
        <f>Deflators_original!D244</f>
        <v>5.0298188073325499E-3</v>
      </c>
      <c r="G244" s="1087">
        <f>Deflators_original!E244</f>
        <v>1.45250707495828</v>
      </c>
      <c r="H244" s="1087">
        <f>Deflators_original!F244</f>
        <v>5.6660534063028801E-3</v>
      </c>
      <c r="I244" s="1087">
        <f>Deflators_original!G244</f>
        <v>0</v>
      </c>
      <c r="J244" s="1087">
        <f>Deflators_original!H244</f>
        <v>7.8108491379678098E-3</v>
      </c>
      <c r="K244" s="1087">
        <f>Deflators_original!I244</f>
        <v>0</v>
      </c>
      <c r="L244" s="1087">
        <f>Deflators_original!J244</f>
        <v>7.8108491379678098E-3</v>
      </c>
    </row>
    <row r="245" spans="1:12" x14ac:dyDescent="0.3">
      <c r="A245" s="1085" t="str">
        <f>Deflators_original!K245</f>
        <v>2030 Q4</v>
      </c>
      <c r="B245" s="1085" t="str">
        <f>Deflators_original!L245</f>
        <v>projection</v>
      </c>
      <c r="C245" s="1087">
        <f>Deflators_original!A245</f>
        <v>149.08799999999999</v>
      </c>
      <c r="D245" s="1087">
        <f>Deflators_original!B245</f>
        <v>9.5779663277790698E-3</v>
      </c>
      <c r="E245" s="1087">
        <f>Deflators_original!C245</f>
        <v>1.44623561211164</v>
      </c>
      <c r="F245" s="1087">
        <f>Deflators_original!D245</f>
        <v>5.0187789441757903E-3</v>
      </c>
      <c r="G245" s="1087">
        <f>Deflators_original!E245</f>
        <v>1.4607907145448</v>
      </c>
      <c r="H245" s="1087">
        <f>Deflators_original!F245</f>
        <v>5.7029943119257798E-3</v>
      </c>
      <c r="I245" s="1087">
        <f>Deflators_original!G245</f>
        <v>0</v>
      </c>
      <c r="J245" s="1087">
        <f>Deflators_original!H245</f>
        <v>7.8801243293176206E-3</v>
      </c>
      <c r="K245" s="1087">
        <f>Deflators_original!I245</f>
        <v>0</v>
      </c>
      <c r="L245" s="1087">
        <f>Deflators_original!J245</f>
        <v>7.8801243293176206E-3</v>
      </c>
    </row>
    <row r="246" spans="1:12" x14ac:dyDescent="0.3">
      <c r="A246" s="1085" t="str">
        <f>Deflators_original!K246</f>
        <v>2031 Q1</v>
      </c>
      <c r="B246" s="1085" t="str">
        <f>Deflators_original!L246</f>
        <v>projection</v>
      </c>
      <c r="C246" s="1087">
        <f>Deflators_original!A246</f>
        <v>149.86500000000001</v>
      </c>
      <c r="D246" s="1087">
        <f>Deflators_original!B246</f>
        <v>9.5617781632999499E-3</v>
      </c>
      <c r="E246" s="1087">
        <f>Deflators_original!C246</f>
        <v>1.45349497782022</v>
      </c>
      <c r="F246" s="1087">
        <f>Deflators_original!D246</f>
        <v>5.0194903567455399E-3</v>
      </c>
      <c r="G246" s="1087">
        <f>Deflators_original!E246</f>
        <v>1.46903104148535</v>
      </c>
      <c r="H246" s="1087">
        <f>Deflators_original!F246</f>
        <v>5.6410044632042603E-3</v>
      </c>
      <c r="I246" s="1087">
        <f>Deflators_original!G246</f>
        <v>0</v>
      </c>
      <c r="J246" s="1087">
        <f>Deflators_original!H246</f>
        <v>7.88298014941358E-3</v>
      </c>
      <c r="K246" s="1087">
        <f>Deflators_original!I246</f>
        <v>0</v>
      </c>
      <c r="L246" s="1087">
        <f>Deflators_original!J246</f>
        <v>7.88298014941358E-3</v>
      </c>
    </row>
    <row r="247" spans="1:12" x14ac:dyDescent="0.3">
      <c r="A247" s="1085" t="str">
        <f>Deflators_original!K247</f>
        <v>2031 Q2</v>
      </c>
      <c r="B247" s="1085" t="str">
        <f>Deflators_original!L247</f>
        <v>projection</v>
      </c>
      <c r="C247" s="1087">
        <f>Deflators_original!A247</f>
        <v>150.64500000000001</v>
      </c>
      <c r="D247" s="1087">
        <f>Deflators_original!B247</f>
        <v>9.5451881440513607E-3</v>
      </c>
      <c r="E247" s="1087">
        <f>Deflators_original!C247</f>
        <v>1.46077900838174</v>
      </c>
      <c r="F247" s="1087">
        <f>Deflators_original!D247</f>
        <v>5.0113902508575102E-3</v>
      </c>
      <c r="G247" s="1087">
        <f>Deflators_original!E247</f>
        <v>1.4773402943949001</v>
      </c>
      <c r="H247" s="1087">
        <f>Deflators_original!F247</f>
        <v>5.6562813683937998E-3</v>
      </c>
      <c r="I247" s="1087">
        <f>Deflators_original!G247</f>
        <v>0</v>
      </c>
      <c r="J247" s="1087">
        <f>Deflators_original!H247</f>
        <v>7.8242771932854893E-3</v>
      </c>
      <c r="K247" s="1087">
        <f>Deflators_original!I247</f>
        <v>0</v>
      </c>
      <c r="L247" s="1087">
        <f>Deflators_original!J247</f>
        <v>7.8242771932854893E-3</v>
      </c>
    </row>
    <row r="248" spans="1:12" x14ac:dyDescent="0.3">
      <c r="A248" s="1085" t="str">
        <f>Deflators_original!K248</f>
        <v>2031 Q3</v>
      </c>
      <c r="B248" s="1085" t="str">
        <f>Deflators_original!L248</f>
        <v>projection</v>
      </c>
      <c r="C248" s="1087">
        <f>Deflators_original!A248</f>
        <v>151.428</v>
      </c>
      <c r="D248" s="1087">
        <f>Deflators_original!B248</f>
        <v>9.5225748997438409E-3</v>
      </c>
      <c r="E248" s="1087">
        <f>Deflators_original!C248</f>
        <v>1.4680784876764801</v>
      </c>
      <c r="F248" s="1087">
        <f>Deflators_original!D248</f>
        <v>4.9969771285449703E-3</v>
      </c>
      <c r="G248" s="1087">
        <f>Deflators_original!E248</f>
        <v>1.48582614369608</v>
      </c>
      <c r="H248" s="1087">
        <f>Deflators_original!F248</f>
        <v>5.7440045014531798E-3</v>
      </c>
      <c r="I248" s="1087">
        <f>Deflators_original!G248</f>
        <v>0</v>
      </c>
      <c r="J248" s="1087">
        <f>Deflators_original!H248</f>
        <v>7.8446882055194199E-3</v>
      </c>
      <c r="K248" s="1087">
        <f>Deflators_original!I248</f>
        <v>0</v>
      </c>
      <c r="L248" s="1087">
        <f>Deflators_original!J248</f>
        <v>7.8446882055194199E-3</v>
      </c>
    </row>
    <row r="249" spans="1:12" x14ac:dyDescent="0.3">
      <c r="A249" s="1085" t="str">
        <f>Deflators_original!K249</f>
        <v>2031 Q4</v>
      </c>
      <c r="B249" s="1085" t="str">
        <f>Deflators_original!L249</f>
        <v>projection</v>
      </c>
      <c r="C249" s="1087">
        <f>Deflators_original!A249</f>
        <v>152.214</v>
      </c>
      <c r="D249" s="1087">
        <f>Deflators_original!B249</f>
        <v>9.5025403383395303E-3</v>
      </c>
      <c r="E249" s="1087">
        <f>Deflators_original!C249</f>
        <v>1.4754112997309601</v>
      </c>
      <c r="F249" s="1087">
        <f>Deflators_original!D249</f>
        <v>4.9948365268173102E-3</v>
      </c>
      <c r="G249" s="1087">
        <f>Deflators_original!E249</f>
        <v>1.4942012177442701</v>
      </c>
      <c r="H249" s="1087">
        <f>Deflators_original!F249</f>
        <v>5.6366446934110704E-3</v>
      </c>
      <c r="I249" s="1087">
        <f>Deflators_original!G249</f>
        <v>0</v>
      </c>
      <c r="J249" s="1087">
        <f>Deflators_original!H249</f>
        <v>7.8834480001659397E-3</v>
      </c>
      <c r="K249" s="1087">
        <f>Deflators_original!I249</f>
        <v>0</v>
      </c>
      <c r="L249" s="1087">
        <f>Deflators_original!J249</f>
        <v>7.8834480001659397E-3</v>
      </c>
    </row>
    <row r="250" spans="1:12" x14ac:dyDescent="0.3">
      <c r="A250" s="1085" t="str">
        <f>Deflators_original!K250</f>
        <v>2032 Q1</v>
      </c>
      <c r="B250" s="1085" t="str">
        <f>Deflators_original!L250</f>
        <v>projection</v>
      </c>
      <c r="C250" s="1087">
        <f>Deflators_original!A250</f>
        <v>153.00299999999999</v>
      </c>
      <c r="D250" s="1087">
        <f>Deflators_original!B250</f>
        <v>9.4877552374841301E-3</v>
      </c>
      <c r="E250" s="1087">
        <f>Deflators_original!C250</f>
        <v>1.48277250707695</v>
      </c>
      <c r="F250" s="1087">
        <f>Deflators_original!D250</f>
        <v>4.9892578071861803E-3</v>
      </c>
      <c r="G250" s="1087">
        <f>Deflators_original!E250</f>
        <v>1.5027540223220801</v>
      </c>
      <c r="H250" s="1087">
        <f>Deflators_original!F250</f>
        <v>5.7239978633625297E-3</v>
      </c>
      <c r="I250" s="1087">
        <f>Deflators_original!G250</f>
        <v>0</v>
      </c>
      <c r="J250" s="1087">
        <f>Deflators_original!H250</f>
        <v>7.8305926616084598E-3</v>
      </c>
      <c r="K250" s="1087">
        <f>Deflators_original!I250</f>
        <v>0</v>
      </c>
      <c r="L250" s="1087">
        <f>Deflators_original!J250</f>
        <v>7.8305926616084598E-3</v>
      </c>
    </row>
    <row r="251" spans="1:12" x14ac:dyDescent="0.3">
      <c r="A251" s="1085" t="str">
        <f>Deflators_original!K251</f>
        <v>2032 Q2</v>
      </c>
      <c r="B251" s="1085" t="str">
        <f>Deflators_original!L251</f>
        <v>projection</v>
      </c>
      <c r="C251" s="1087">
        <f>Deflators_original!A251</f>
        <v>153.79499999999999</v>
      </c>
      <c r="D251" s="1087">
        <f>Deflators_original!B251</f>
        <v>9.4670666064018399E-3</v>
      </c>
      <c r="E251" s="1087">
        <f>Deflators_original!C251</f>
        <v>1.4901450112249699</v>
      </c>
      <c r="F251" s="1087">
        <f>Deflators_original!D251</f>
        <v>4.9721073953188401E-3</v>
      </c>
      <c r="G251" s="1087">
        <f>Deflators_original!E251</f>
        <v>1.5112672994710501</v>
      </c>
      <c r="H251" s="1087">
        <f>Deflators_original!F251</f>
        <v>5.6651168604575598E-3</v>
      </c>
      <c r="I251" s="1087">
        <f>Deflators_original!G251</f>
        <v>0</v>
      </c>
      <c r="J251" s="1087">
        <f>Deflators_original!H251</f>
        <v>7.8481207054677E-3</v>
      </c>
      <c r="K251" s="1087">
        <f>Deflators_original!I251</f>
        <v>0</v>
      </c>
      <c r="L251" s="1087">
        <f>Deflators_original!J251</f>
        <v>7.8481207054677E-3</v>
      </c>
    </row>
    <row r="252" spans="1:12" x14ac:dyDescent="0.3">
      <c r="A252" s="1085" t="str">
        <f>Deflators_original!K252</f>
        <v>2032 Q3</v>
      </c>
      <c r="B252" s="1085" t="str">
        <f>Deflators_original!L252</f>
        <v>projection</v>
      </c>
      <c r="C252" s="1087">
        <f>Deflators_original!A252</f>
        <v>154.59</v>
      </c>
      <c r="D252" s="1087">
        <f>Deflators_original!B252</f>
        <v>9.4434087449222198E-3</v>
      </c>
      <c r="E252" s="1087">
        <f>Deflators_original!C252</f>
        <v>1.49756106140731</v>
      </c>
      <c r="F252" s="1087">
        <f>Deflators_original!D252</f>
        <v>4.9767305372872004E-3</v>
      </c>
      <c r="G252" s="1087">
        <f>Deflators_original!E252</f>
        <v>1.5197768762677499</v>
      </c>
      <c r="H252" s="1087">
        <f>Deflators_original!F252</f>
        <v>5.6307555914654204E-3</v>
      </c>
      <c r="I252" s="1087">
        <f>Deflators_original!G252</f>
        <v>0</v>
      </c>
      <c r="J252" s="1087">
        <f>Deflators_original!H252</f>
        <v>7.8392933990876195E-3</v>
      </c>
      <c r="K252" s="1087">
        <f>Deflators_original!I252</f>
        <v>0</v>
      </c>
      <c r="L252" s="1087">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5546875" defaultRowHeight="14.4" x14ac:dyDescent="0.3"/>
  <sheetData>
    <row r="1" spans="1:12" x14ac:dyDescent="0.3">
      <c r="A1" s="50" t="s">
        <v>1333</v>
      </c>
      <c r="B1" s="50" t="s">
        <v>1334</v>
      </c>
      <c r="C1" s="50" t="s">
        <v>1335</v>
      </c>
      <c r="D1" s="50" t="s">
        <v>1336</v>
      </c>
      <c r="E1" s="50" t="s">
        <v>1337</v>
      </c>
      <c r="F1" s="50" t="s">
        <v>1338</v>
      </c>
      <c r="G1" s="50" t="s">
        <v>1339</v>
      </c>
      <c r="H1" s="50" t="s">
        <v>1340</v>
      </c>
      <c r="I1" s="50" t="s">
        <v>1341</v>
      </c>
      <c r="J1" s="50" t="s">
        <v>1342</v>
      </c>
      <c r="K1" s="50" t="s">
        <v>1343</v>
      </c>
      <c r="L1" s="50" t="s">
        <v>1344</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1345</v>
      </c>
      <c r="L2" t="s">
        <v>1346</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1347</v>
      </c>
      <c r="L3" t="s">
        <v>1346</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1348</v>
      </c>
      <c r="L4" t="s">
        <v>1346</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1349</v>
      </c>
      <c r="L5" t="s">
        <v>1346</v>
      </c>
    </row>
    <row r="6" spans="1:12" x14ac:dyDescent="0.3">
      <c r="A6">
        <v>22.375</v>
      </c>
      <c r="C6">
        <v>21.474</v>
      </c>
      <c r="D6">
        <v>9.4960511470478792E-3</v>
      </c>
      <c r="E6">
        <v>20.137</v>
      </c>
      <c r="F6">
        <v>3.1661458066499303E-2</v>
      </c>
      <c r="G6">
        <v>14.173999999999999</v>
      </c>
      <c r="H6">
        <v>2.4651196414371399E-2</v>
      </c>
      <c r="I6">
        <v>18.332000000000001</v>
      </c>
      <c r="J6">
        <v>1.6862658087419598E-2</v>
      </c>
      <c r="K6" t="s">
        <v>1350</v>
      </c>
      <c r="L6" t="s">
        <v>1346</v>
      </c>
    </row>
    <row r="7" spans="1:12" x14ac:dyDescent="0.3">
      <c r="A7">
        <v>22.673999999999999</v>
      </c>
      <c r="C7">
        <v>21.718</v>
      </c>
      <c r="D7">
        <v>1.1362578001303801E-2</v>
      </c>
      <c r="E7">
        <v>20.513000000000002</v>
      </c>
      <c r="F7">
        <v>1.86720961414313E-2</v>
      </c>
      <c r="G7">
        <v>14.439</v>
      </c>
      <c r="H7">
        <v>1.8696204317764999E-2</v>
      </c>
      <c r="I7">
        <v>18.625</v>
      </c>
      <c r="J7">
        <v>1.59829805804057E-2</v>
      </c>
      <c r="K7" t="s">
        <v>1351</v>
      </c>
      <c r="L7" t="s">
        <v>1346</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1352</v>
      </c>
      <c r="L8" t="s">
        <v>1346</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1353</v>
      </c>
      <c r="L9" t="s">
        <v>1346</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1354</v>
      </c>
      <c r="L10" t="s">
        <v>1346</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1355</v>
      </c>
      <c r="L11" t="s">
        <v>1346</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1356</v>
      </c>
      <c r="L12" t="s">
        <v>1346</v>
      </c>
    </row>
    <row r="13" spans="1:12" x14ac:dyDescent="0.3">
      <c r="A13">
        <v>24.09</v>
      </c>
      <c r="C13">
        <v>22.811</v>
      </c>
      <c r="D13">
        <v>8.1764341907539801E-3</v>
      </c>
      <c r="E13">
        <v>23.003</v>
      </c>
      <c r="F13">
        <v>2.17652023275441E-2</v>
      </c>
      <c r="G13">
        <v>15.794</v>
      </c>
      <c r="H13">
        <v>1.2435897435897601E-2</v>
      </c>
      <c r="I13">
        <v>20.175000000000001</v>
      </c>
      <c r="J13">
        <v>1.8682150971976799E-2</v>
      </c>
      <c r="K13" t="s">
        <v>1357</v>
      </c>
      <c r="L13" t="s">
        <v>1346</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1358</v>
      </c>
      <c r="L14" t="s">
        <v>1346</v>
      </c>
    </row>
    <row r="15" spans="1:12" x14ac:dyDescent="0.3">
      <c r="A15">
        <v>24.8</v>
      </c>
      <c r="C15">
        <v>23.53</v>
      </c>
      <c r="D15">
        <v>1.9232435242138201E-2</v>
      </c>
      <c r="E15">
        <v>23.78</v>
      </c>
      <c r="F15">
        <v>1.74132546100201E-2</v>
      </c>
      <c r="G15">
        <v>16.378</v>
      </c>
      <c r="H15">
        <v>1.68881162299763E-2</v>
      </c>
      <c r="I15">
        <v>20.997</v>
      </c>
      <c r="J15">
        <v>2.1056214744213299E-2</v>
      </c>
      <c r="K15" t="s">
        <v>1359</v>
      </c>
      <c r="L15" t="s">
        <v>1346</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1360</v>
      </c>
      <c r="L16" t="s">
        <v>1346</v>
      </c>
    </row>
    <row r="17" spans="1:12" x14ac:dyDescent="0.3">
      <c r="A17">
        <v>25.710999999999999</v>
      </c>
      <c r="C17">
        <v>24.448</v>
      </c>
      <c r="D17">
        <v>2.0452458468987599E-2</v>
      </c>
      <c r="E17">
        <v>24.791</v>
      </c>
      <c r="F17">
        <v>2.13826631509559E-2</v>
      </c>
      <c r="G17">
        <v>16.846</v>
      </c>
      <c r="H17">
        <v>1.6779333655238898E-2</v>
      </c>
      <c r="I17">
        <v>22</v>
      </c>
      <c r="J17">
        <v>2.68378063010501E-2</v>
      </c>
      <c r="K17" t="s">
        <v>1361</v>
      </c>
      <c r="L17" t="s">
        <v>1346</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1362</v>
      </c>
      <c r="L18" t="s">
        <v>1346</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1363</v>
      </c>
      <c r="L19" t="s">
        <v>1346</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1364</v>
      </c>
      <c r="L20" t="s">
        <v>1346</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1365</v>
      </c>
      <c r="L21" t="s">
        <v>1346</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1366</v>
      </c>
      <c r="L22" t="s">
        <v>1346</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1367</v>
      </c>
      <c r="L23" t="s">
        <v>1346</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1368</v>
      </c>
      <c r="L24" t="s">
        <v>1346</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1369</v>
      </c>
      <c r="L25" t="s">
        <v>1346</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1370</v>
      </c>
      <c r="L26" t="s">
        <v>1346</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1371</v>
      </c>
      <c r="L27" t="s">
        <v>1346</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1372</v>
      </c>
      <c r="L28" t="s">
        <v>1346</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1373</v>
      </c>
      <c r="L29" t="s">
        <v>1346</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1374</v>
      </c>
      <c r="L30" t="s">
        <v>1346</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1375</v>
      </c>
      <c r="L31" t="s">
        <v>1346</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1376</v>
      </c>
      <c r="L32" t="s">
        <v>1346</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1377</v>
      </c>
      <c r="L33" t="s">
        <v>1346</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1378</v>
      </c>
      <c r="L34" t="s">
        <v>1346</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1379</v>
      </c>
      <c r="L35" t="s">
        <v>1346</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1380</v>
      </c>
      <c r="L36" t="s">
        <v>1346</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1381</v>
      </c>
      <c r="L37" t="s">
        <v>1346</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1382</v>
      </c>
      <c r="L38" t="s">
        <v>1346</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1383</v>
      </c>
      <c r="L39" t="s">
        <v>1346</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1384</v>
      </c>
      <c r="L40" t="s">
        <v>1346</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1385</v>
      </c>
      <c r="L41" t="s">
        <v>1346</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1386</v>
      </c>
      <c r="L42" t="s">
        <v>1346</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1387</v>
      </c>
      <c r="L43" t="s">
        <v>1346</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1388</v>
      </c>
      <c r="L44" t="s">
        <v>1346</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1389</v>
      </c>
      <c r="L45" t="s">
        <v>1346</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1390</v>
      </c>
      <c r="L46" t="s">
        <v>1346</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1391</v>
      </c>
      <c r="L47" t="s">
        <v>1346</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1392</v>
      </c>
      <c r="L48" t="s">
        <v>1346</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1393</v>
      </c>
      <c r="L49" t="s">
        <v>1346</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1394</v>
      </c>
      <c r="L50" t="s">
        <v>1346</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1395</v>
      </c>
      <c r="L51" t="s">
        <v>1346</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1396</v>
      </c>
      <c r="L52" t="s">
        <v>1346</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1397</v>
      </c>
      <c r="L53" t="s">
        <v>1346</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1398</v>
      </c>
      <c r="L54" t="s">
        <v>1346</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1399</v>
      </c>
      <c r="L55" t="s">
        <v>1346</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1400</v>
      </c>
      <c r="L56" t="s">
        <v>1346</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1401</v>
      </c>
      <c r="L57" t="s">
        <v>1346</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1402</v>
      </c>
      <c r="L58" t="s">
        <v>1346</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1403</v>
      </c>
      <c r="L59" t="s">
        <v>1346</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1404</v>
      </c>
      <c r="L60" t="s">
        <v>1346</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1405</v>
      </c>
      <c r="L61" t="s">
        <v>1346</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1406</v>
      </c>
      <c r="L62" t="s">
        <v>1346</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1407</v>
      </c>
      <c r="L63" t="s">
        <v>1346</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1408</v>
      </c>
      <c r="L64" t="s">
        <v>1346</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1409</v>
      </c>
      <c r="L65" t="s">
        <v>1346</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1410</v>
      </c>
      <c r="L66" t="s">
        <v>1346</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1411</v>
      </c>
      <c r="L67" t="s">
        <v>1346</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1412</v>
      </c>
      <c r="L68" t="s">
        <v>1346</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1413</v>
      </c>
      <c r="L69" t="s">
        <v>1346</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1414</v>
      </c>
      <c r="L70" t="s">
        <v>1346</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1415</v>
      </c>
      <c r="L71" t="s">
        <v>1346</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1416</v>
      </c>
      <c r="L72" t="s">
        <v>1346</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1417</v>
      </c>
      <c r="L73" t="s">
        <v>1346</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1418</v>
      </c>
      <c r="L74" t="s">
        <v>1346</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1419</v>
      </c>
      <c r="L75" t="s">
        <v>1346</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1420</v>
      </c>
      <c r="L76" t="s">
        <v>1346</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1421</v>
      </c>
      <c r="L77" t="s">
        <v>1346</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1422</v>
      </c>
      <c r="L78" t="s">
        <v>1346</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1423</v>
      </c>
      <c r="L79" t="s">
        <v>1346</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1424</v>
      </c>
      <c r="L80" t="s">
        <v>1346</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1425</v>
      </c>
      <c r="L81" t="s">
        <v>1346</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1426</v>
      </c>
      <c r="L82" t="s">
        <v>1346</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1427</v>
      </c>
      <c r="L83" t="s">
        <v>1346</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1428</v>
      </c>
      <c r="L84" t="s">
        <v>1346</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1429</v>
      </c>
      <c r="L85" t="s">
        <v>1346</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1430</v>
      </c>
      <c r="L86" t="s">
        <v>1346</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1431</v>
      </c>
      <c r="L87" t="s">
        <v>1346</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1432</v>
      </c>
      <c r="L88" t="s">
        <v>1346</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1433</v>
      </c>
      <c r="L89" t="s">
        <v>1346</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1434</v>
      </c>
      <c r="L90" t="s">
        <v>1346</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1435</v>
      </c>
      <c r="L91" t="s">
        <v>1346</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1436</v>
      </c>
      <c r="L92" t="s">
        <v>1346</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1437</v>
      </c>
      <c r="L93" t="s">
        <v>1346</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1438</v>
      </c>
      <c r="L94" t="s">
        <v>1346</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1439</v>
      </c>
      <c r="L95" t="s">
        <v>1346</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1440</v>
      </c>
      <c r="L96" t="s">
        <v>1346</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1441</v>
      </c>
      <c r="L97" t="s">
        <v>1346</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1442</v>
      </c>
      <c r="L98" t="s">
        <v>1346</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1443</v>
      </c>
      <c r="L99" t="s">
        <v>1346</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1444</v>
      </c>
      <c r="L100" t="s">
        <v>1346</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1445</v>
      </c>
      <c r="L101" t="s">
        <v>1346</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1446</v>
      </c>
      <c r="L102" t="s">
        <v>1346</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1447</v>
      </c>
      <c r="L103" t="s">
        <v>1346</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1448</v>
      </c>
      <c r="L104" t="s">
        <v>1346</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1449</v>
      </c>
      <c r="L105" t="s">
        <v>1346</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1450</v>
      </c>
      <c r="L106" t="s">
        <v>1346</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1451</v>
      </c>
      <c r="L107" t="s">
        <v>1346</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1452</v>
      </c>
      <c r="L108" t="s">
        <v>1346</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1453</v>
      </c>
      <c r="L109" t="s">
        <v>1346</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1454</v>
      </c>
      <c r="L110" t="s">
        <v>1346</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1455</v>
      </c>
      <c r="L111" t="s">
        <v>1346</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1456</v>
      </c>
      <c r="L112" t="s">
        <v>1346</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1457</v>
      </c>
      <c r="L113" t="s">
        <v>1346</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1458</v>
      </c>
      <c r="L114" t="s">
        <v>1346</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1459</v>
      </c>
      <c r="L115" t="s">
        <v>1346</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1460</v>
      </c>
      <c r="L116" t="s">
        <v>1346</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1461</v>
      </c>
      <c r="L117" t="s">
        <v>1346</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1462</v>
      </c>
      <c r="L118" t="s">
        <v>1346</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1463</v>
      </c>
      <c r="L119" t="s">
        <v>1346</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1464</v>
      </c>
      <c r="L120" t="s">
        <v>1346</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1465</v>
      </c>
      <c r="L121" t="s">
        <v>1346</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1466</v>
      </c>
      <c r="L122" t="s">
        <v>1346</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1467</v>
      </c>
      <c r="L123" t="s">
        <v>1346</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1468</v>
      </c>
      <c r="L124" t="s">
        <v>1346</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1469</v>
      </c>
      <c r="L125" t="s">
        <v>1346</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1470</v>
      </c>
      <c r="L126" t="s">
        <v>1346</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1471</v>
      </c>
      <c r="L127" t="s">
        <v>1346</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1472</v>
      </c>
      <c r="L128" t="s">
        <v>1346</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1473</v>
      </c>
      <c r="L129" t="s">
        <v>1346</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1474</v>
      </c>
      <c r="L130" t="s">
        <v>1346</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1475</v>
      </c>
      <c r="L131" t="s">
        <v>1346</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1476</v>
      </c>
      <c r="L132" t="s">
        <v>1346</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1477</v>
      </c>
      <c r="L133" t="s">
        <v>1346</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1478</v>
      </c>
      <c r="L134" t="s">
        <v>1346</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1479</v>
      </c>
      <c r="L135" t="s">
        <v>1346</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1480</v>
      </c>
      <c r="L136" t="s">
        <v>1346</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1481</v>
      </c>
      <c r="L137" t="s">
        <v>1346</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1482</v>
      </c>
      <c r="L138" t="s">
        <v>1346</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1483</v>
      </c>
      <c r="L139" t="s">
        <v>1346</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1484</v>
      </c>
      <c r="L140" t="s">
        <v>1346</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1485</v>
      </c>
      <c r="L141" t="s">
        <v>1346</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1486</v>
      </c>
      <c r="L142" t="s">
        <v>1346</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1487</v>
      </c>
      <c r="L143" t="s">
        <v>1346</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1488</v>
      </c>
      <c r="L144" t="s">
        <v>1346</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1489</v>
      </c>
      <c r="L145" t="s">
        <v>1346</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1490</v>
      </c>
      <c r="L146" t="s">
        <v>1346</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1491</v>
      </c>
      <c r="L147" t="s">
        <v>1346</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1492</v>
      </c>
      <c r="L148" t="s">
        <v>1346</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1493</v>
      </c>
      <c r="L149" t="s">
        <v>1346</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1494</v>
      </c>
      <c r="L150" t="s">
        <v>1346</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1495</v>
      </c>
      <c r="L151" t="s">
        <v>1346</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1496</v>
      </c>
      <c r="L152" t="s">
        <v>1346</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1497</v>
      </c>
      <c r="L153" t="s">
        <v>1346</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1498</v>
      </c>
      <c r="L154" t="s">
        <v>1346</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1499</v>
      </c>
      <c r="L155" t="s">
        <v>1346</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1500</v>
      </c>
      <c r="L156" t="s">
        <v>1346</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1501</v>
      </c>
      <c r="L157" t="s">
        <v>1346</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1502</v>
      </c>
      <c r="L158" t="s">
        <v>1346</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1503</v>
      </c>
      <c r="L159" t="s">
        <v>1346</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1504</v>
      </c>
      <c r="L160" t="s">
        <v>1346</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1505</v>
      </c>
      <c r="L161" t="s">
        <v>1346</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1506</v>
      </c>
      <c r="L162" t="s">
        <v>1346</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1507</v>
      </c>
      <c r="L163" t="s">
        <v>1346</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1508</v>
      </c>
      <c r="L164" t="s">
        <v>1346</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1509</v>
      </c>
      <c r="L165" t="s">
        <v>1346</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1510</v>
      </c>
      <c r="L166" t="s">
        <v>1346</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1511</v>
      </c>
      <c r="L167" t="s">
        <v>1346</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1512</v>
      </c>
      <c r="L168" t="s">
        <v>1346</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1513</v>
      </c>
      <c r="L169" t="s">
        <v>1346</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1514</v>
      </c>
      <c r="L170" t="s">
        <v>1346</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1515</v>
      </c>
      <c r="L171" t="s">
        <v>1346</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1516</v>
      </c>
      <c r="L172" t="s">
        <v>1346</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1517</v>
      </c>
      <c r="L173" t="s">
        <v>1346</v>
      </c>
    </row>
    <row r="174" spans="1:12" x14ac:dyDescent="0.3">
      <c r="A174">
        <v>101.124</v>
      </c>
      <c r="C174">
        <v>100.989</v>
      </c>
      <c r="D174">
        <v>3.60741756603655E-3</v>
      </c>
      <c r="E174">
        <v>100.239</v>
      </c>
      <c r="F174">
        <v>-4.9878296955352397E-5</v>
      </c>
      <c r="G174">
        <v>102.663</v>
      </c>
      <c r="H174">
        <v>1.3085052843482501E-2</v>
      </c>
      <c r="I174">
        <v>101.023</v>
      </c>
      <c r="J174">
        <v>4.05506137255873E-3</v>
      </c>
      <c r="K174" t="s">
        <v>1518</v>
      </c>
      <c r="L174" t="s">
        <v>1346</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1519</v>
      </c>
      <c r="L175" t="s">
        <v>1346</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1520</v>
      </c>
      <c r="L176" t="s">
        <v>1346</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1521</v>
      </c>
      <c r="L177" t="s">
        <v>1346</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1522</v>
      </c>
      <c r="L178" t="s">
        <v>1346</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1523</v>
      </c>
      <c r="L179" t="s">
        <v>1346</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1524</v>
      </c>
      <c r="L180" t="s">
        <v>1346</v>
      </c>
    </row>
    <row r="181" spans="1:12" x14ac:dyDescent="0.3">
      <c r="A181">
        <v>104.104</v>
      </c>
      <c r="C181">
        <v>103.071</v>
      </c>
      <c r="D181">
        <v>-1.15321252059308E-3</v>
      </c>
      <c r="E181">
        <v>103.099</v>
      </c>
      <c r="F181">
        <v>1.3403133225202699E-3</v>
      </c>
      <c r="G181">
        <v>106.371</v>
      </c>
      <c r="H181">
        <v>-7.7967948597512703E-4</v>
      </c>
      <c r="I181">
        <v>104.593</v>
      </c>
      <c r="J181">
        <v>1.76230018484991E-3</v>
      </c>
      <c r="K181" t="s">
        <v>1525</v>
      </c>
      <c r="L181" t="s">
        <v>1346</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1526</v>
      </c>
      <c r="L182" t="s">
        <v>1346</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1527</v>
      </c>
      <c r="L183" t="s">
        <v>1346</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1528</v>
      </c>
      <c r="L184" t="s">
        <v>1346</v>
      </c>
    </row>
    <row r="185" spans="1:12" x14ac:dyDescent="0.3">
      <c r="A185">
        <v>104.932</v>
      </c>
      <c r="C185">
        <v>103.288</v>
      </c>
      <c r="D185">
        <v>-9.8655575974471209E-4</v>
      </c>
      <c r="E185">
        <v>103.211</v>
      </c>
      <c r="F185">
        <v>-7.9385824789679504E-4</v>
      </c>
      <c r="G185">
        <v>105.693</v>
      </c>
      <c r="H185">
        <v>-3.9392711405981098E-3</v>
      </c>
      <c r="I185">
        <v>105.261</v>
      </c>
      <c r="J185">
        <v>-5.5070784948596497E-4</v>
      </c>
      <c r="K185" t="s">
        <v>1529</v>
      </c>
      <c r="L185" t="s">
        <v>1346</v>
      </c>
    </row>
    <row r="186" spans="1:12" x14ac:dyDescent="0.3">
      <c r="A186">
        <v>104.873</v>
      </c>
      <c r="C186">
        <v>103.343</v>
      </c>
      <c r="D186">
        <v>5.3249167376656604E-4</v>
      </c>
      <c r="E186">
        <v>102.953</v>
      </c>
      <c r="F186">
        <v>-2.4997335555317899E-3</v>
      </c>
      <c r="G186">
        <v>104.792</v>
      </c>
      <c r="H186">
        <v>-8.5246894307096106E-3</v>
      </c>
      <c r="I186">
        <v>105.006</v>
      </c>
      <c r="J186">
        <v>-2.4225496622680702E-3</v>
      </c>
      <c r="K186" t="s">
        <v>1530</v>
      </c>
      <c r="L186" t="s">
        <v>1346</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1531</v>
      </c>
      <c r="L187" t="s">
        <v>1346</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1532</v>
      </c>
      <c r="L188" t="s">
        <v>1346</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1533</v>
      </c>
      <c r="L189" t="s">
        <v>1346</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1534</v>
      </c>
      <c r="L190" t="s">
        <v>1346</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1535</v>
      </c>
      <c r="L191" t="s">
        <v>1346</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1536</v>
      </c>
      <c r="L192" t="s">
        <v>1346</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1537</v>
      </c>
      <c r="L193" t="s">
        <v>1346</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1538</v>
      </c>
      <c r="L194" t="s">
        <v>1346</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1539</v>
      </c>
      <c r="L195" t="s">
        <v>1346</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1540</v>
      </c>
      <c r="L196" t="s">
        <v>1346</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1541</v>
      </c>
      <c r="L197" t="s">
        <v>1346</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1542</v>
      </c>
      <c r="L198" t="s">
        <v>1346</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1543</v>
      </c>
      <c r="L199" t="s">
        <v>1346</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1544</v>
      </c>
      <c r="L200" t="s">
        <v>1346</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1545</v>
      </c>
      <c r="L201" t="s">
        <v>1346</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1546</v>
      </c>
      <c r="L202" t="s">
        <v>1346</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1547</v>
      </c>
      <c r="L203" t="s">
        <v>1346</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1548</v>
      </c>
      <c r="L204" t="s">
        <v>1346</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1549</v>
      </c>
      <c r="L205" t="s">
        <v>1346</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1550</v>
      </c>
      <c r="L206" t="s">
        <v>1346</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1551</v>
      </c>
      <c r="L207" t="s">
        <v>1346</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1552</v>
      </c>
      <c r="L208" t="s">
        <v>1346</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1553</v>
      </c>
      <c r="L209" t="s">
        <v>1346</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1554</v>
      </c>
      <c r="L210" t="s">
        <v>1346</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1555</v>
      </c>
      <c r="L211" t="s">
        <v>1346</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1556</v>
      </c>
      <c r="L212" t="s">
        <v>1557</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1558</v>
      </c>
      <c r="L213" t="s">
        <v>1557</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1559</v>
      </c>
      <c r="L214" t="s">
        <v>1557</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1560</v>
      </c>
      <c r="L215" t="s">
        <v>1557</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1561</v>
      </c>
      <c r="L216" t="s">
        <v>1557</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1562</v>
      </c>
      <c r="L217" t="s">
        <v>1557</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1563</v>
      </c>
      <c r="L218" t="s">
        <v>1557</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1564</v>
      </c>
      <c r="L219" t="s">
        <v>1557</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1565</v>
      </c>
      <c r="L220" t="s">
        <v>1557</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1566</v>
      </c>
      <c r="L221" t="s">
        <v>1557</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1567</v>
      </c>
      <c r="L222" t="s">
        <v>1557</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1568</v>
      </c>
      <c r="L223" t="s">
        <v>1557</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1569</v>
      </c>
      <c r="L224" t="s">
        <v>1557</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1570</v>
      </c>
      <c r="L225" t="s">
        <v>1557</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1571</v>
      </c>
      <c r="L226" t="s">
        <v>1557</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1572</v>
      </c>
      <c r="L227" t="s">
        <v>1557</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1573</v>
      </c>
      <c r="L228" t="s">
        <v>1557</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1574</v>
      </c>
      <c r="L229" t="s">
        <v>1557</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1575</v>
      </c>
      <c r="L230" t="s">
        <v>1557</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1576</v>
      </c>
      <c r="L231" t="s">
        <v>1557</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1577</v>
      </c>
      <c r="L232" t="s">
        <v>1557</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1578</v>
      </c>
      <c r="L233" t="s">
        <v>1557</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1579</v>
      </c>
      <c r="L234" t="s">
        <v>1557</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1580</v>
      </c>
      <c r="L235" t="s">
        <v>1557</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1581</v>
      </c>
      <c r="L236" t="s">
        <v>1557</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1582</v>
      </c>
      <c r="L237" t="s">
        <v>1557</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1583</v>
      </c>
      <c r="L238" t="s">
        <v>1557</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1584</v>
      </c>
      <c r="L239" t="s">
        <v>1557</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1585</v>
      </c>
      <c r="L240" t="s">
        <v>1557</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1586</v>
      </c>
      <c r="L241" t="s">
        <v>1557</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1587</v>
      </c>
      <c r="L242" t="s">
        <v>1557</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1588</v>
      </c>
      <c r="L243" t="s">
        <v>1557</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1589</v>
      </c>
      <c r="L244" t="s">
        <v>1557</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1590</v>
      </c>
      <c r="L245" t="s">
        <v>1557</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1591</v>
      </c>
      <c r="L246" t="s">
        <v>1557</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1592</v>
      </c>
      <c r="L247" t="s">
        <v>1557</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1593</v>
      </c>
      <c r="L248" t="s">
        <v>1557</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1594</v>
      </c>
      <c r="L249" t="s">
        <v>1557</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1595</v>
      </c>
      <c r="L250" t="s">
        <v>1557</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1596</v>
      </c>
      <c r="L251" t="s">
        <v>1557</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1597</v>
      </c>
      <c r="L252" t="s">
        <v>1557</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A10" sqref="A10:D10"/>
    </sheetView>
  </sheetViews>
  <sheetFormatPr defaultColWidth="11.554687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919" t="s">
        <v>37</v>
      </c>
      <c r="B2" s="920"/>
      <c r="C2" s="920"/>
      <c r="D2" s="921"/>
      <c r="E2" s="30"/>
      <c r="F2" s="30"/>
    </row>
    <row r="3" spans="1:6" ht="148.19999999999999" customHeight="1" x14ac:dyDescent="0.3">
      <c r="A3" s="18" t="s">
        <v>931</v>
      </c>
      <c r="B3" s="14" t="s">
        <v>930</v>
      </c>
      <c r="C3" s="14" t="s">
        <v>929</v>
      </c>
      <c r="D3" s="22" t="s">
        <v>1022</v>
      </c>
    </row>
    <row r="4" spans="1:6" ht="148.19999999999999" customHeight="1" x14ac:dyDescent="0.3">
      <c r="A4" s="18" t="s">
        <v>79</v>
      </c>
      <c r="B4" s="14" t="s">
        <v>40</v>
      </c>
      <c r="C4" s="14" t="s">
        <v>1006</v>
      </c>
      <c r="D4" s="22" t="s">
        <v>1022</v>
      </c>
      <c r="E4" s="14"/>
      <c r="F4" s="14"/>
    </row>
    <row r="5" spans="1:6" ht="61.5" customHeight="1" x14ac:dyDescent="0.3">
      <c r="A5" s="18" t="s">
        <v>73</v>
      </c>
      <c r="B5" s="14" t="s">
        <v>74</v>
      </c>
      <c r="C5" s="32" t="s">
        <v>44</v>
      </c>
      <c r="D5" s="22" t="s">
        <v>1022</v>
      </c>
    </row>
    <row r="6" spans="1:6" ht="78" customHeight="1" x14ac:dyDescent="0.3">
      <c r="A6" s="18" t="s">
        <v>45</v>
      </c>
      <c r="B6" s="14" t="s">
        <v>46</v>
      </c>
      <c r="C6" s="14" t="s">
        <v>948</v>
      </c>
      <c r="D6" s="22" t="s">
        <v>1022</v>
      </c>
      <c r="E6" s="14"/>
      <c r="F6" s="14"/>
    </row>
    <row r="7" spans="1:6" ht="50.7" customHeight="1" x14ac:dyDescent="0.3">
      <c r="A7" s="18" t="s">
        <v>890</v>
      </c>
      <c r="B7" s="14" t="s">
        <v>902</v>
      </c>
      <c r="C7" s="14" t="s">
        <v>962</v>
      </c>
      <c r="D7" s="22" t="s">
        <v>1022</v>
      </c>
      <c r="E7" s="15"/>
      <c r="F7" s="14"/>
    </row>
    <row r="8" spans="1:6" ht="29.7" customHeight="1" x14ac:dyDescent="0.3">
      <c r="A8" s="18" t="s">
        <v>75</v>
      </c>
      <c r="B8" s="14" t="s">
        <v>76</v>
      </c>
      <c r="C8" s="14" t="s">
        <v>77</v>
      </c>
      <c r="D8" s="22" t="s">
        <v>1022</v>
      </c>
      <c r="E8" s="15"/>
      <c r="F8" s="14"/>
    </row>
    <row r="9" spans="1:6" ht="48.45" customHeight="1" x14ac:dyDescent="0.3">
      <c r="A9" s="18" t="s">
        <v>47</v>
      </c>
      <c r="B9" s="14" t="s">
        <v>48</v>
      </c>
      <c r="C9" s="14" t="s">
        <v>922</v>
      </c>
      <c r="D9" s="22" t="s">
        <v>1022</v>
      </c>
      <c r="E9" s="15"/>
      <c r="F9" s="14"/>
    </row>
    <row r="10" spans="1:6" ht="22.5" customHeight="1" x14ac:dyDescent="0.3">
      <c r="A10" s="919" t="s">
        <v>923</v>
      </c>
      <c r="B10" s="920"/>
      <c r="C10" s="920"/>
      <c r="D10" s="921"/>
      <c r="E10" s="15"/>
      <c r="F10" s="14"/>
    </row>
    <row r="11" spans="1:6" ht="22.5" customHeight="1" x14ac:dyDescent="0.3">
      <c r="A11" s="19" t="s">
        <v>75</v>
      </c>
      <c r="B11" s="932" t="s">
        <v>933</v>
      </c>
      <c r="C11" s="933"/>
      <c r="D11" s="31"/>
      <c r="E11" s="15"/>
      <c r="F11" s="14"/>
    </row>
    <row r="12" spans="1:6" ht="33" customHeight="1" x14ac:dyDescent="0.3">
      <c r="A12" s="19" t="s">
        <v>932</v>
      </c>
      <c r="B12" s="925" t="s">
        <v>934</v>
      </c>
      <c r="C12" s="925"/>
      <c r="D12" s="22"/>
      <c r="E12" s="14"/>
      <c r="F12" s="14"/>
    </row>
    <row r="13" spans="1:6" ht="39.450000000000003" customHeight="1" x14ac:dyDescent="0.3">
      <c r="A13" s="17" t="s">
        <v>924</v>
      </c>
      <c r="B13" s="925" t="s">
        <v>935</v>
      </c>
      <c r="C13" s="925"/>
      <c r="D13" s="22"/>
    </row>
    <row r="14" spans="1:6" ht="38.700000000000003" customHeight="1" x14ac:dyDescent="0.3">
      <c r="A14" s="17" t="s">
        <v>926</v>
      </c>
      <c r="B14" s="925" t="s">
        <v>927</v>
      </c>
      <c r="C14" s="925"/>
      <c r="D14" s="22"/>
    </row>
    <row r="15" spans="1:6" ht="19.95" customHeight="1" x14ac:dyDescent="0.3">
      <c r="A15" s="922" t="s">
        <v>59</v>
      </c>
      <c r="B15" s="923"/>
      <c r="C15" s="923"/>
      <c r="D15" s="924"/>
    </row>
    <row r="16" spans="1:6" ht="24.45" customHeight="1" x14ac:dyDescent="0.3">
      <c r="A16" s="926" t="s">
        <v>898</v>
      </c>
      <c r="B16" s="927"/>
      <c r="C16" s="928"/>
      <c r="D16" s="22"/>
    </row>
    <row r="17" spans="1:7" ht="101.7" customHeight="1" x14ac:dyDescent="0.3">
      <c r="A17" s="33" t="s">
        <v>60</v>
      </c>
      <c r="B17" s="34" t="s">
        <v>949</v>
      </c>
      <c r="C17" s="34" t="s">
        <v>956</v>
      </c>
      <c r="D17" s="35"/>
      <c r="E17" s="34"/>
      <c r="F17" s="34"/>
      <c r="G17" s="34"/>
    </row>
    <row r="18" spans="1:7" ht="100.95" customHeight="1" x14ac:dyDescent="0.3">
      <c r="A18" s="33" t="s">
        <v>61</v>
      </c>
      <c r="B18" s="34" t="s">
        <v>950</v>
      </c>
      <c r="C18" s="34" t="s">
        <v>951</v>
      </c>
      <c r="D18" s="35"/>
      <c r="E18" s="34"/>
      <c r="F18" s="34"/>
      <c r="G18" s="34"/>
    </row>
    <row r="19" spans="1:7" ht="57.6" customHeight="1" x14ac:dyDescent="0.3">
      <c r="A19" s="33" t="s">
        <v>952</v>
      </c>
      <c r="B19" s="34" t="s">
        <v>953</v>
      </c>
      <c r="C19" s="34" t="s">
        <v>954</v>
      </c>
      <c r="D19" s="35"/>
      <c r="E19" s="34"/>
      <c r="F19" s="34"/>
      <c r="G19" s="34"/>
    </row>
    <row r="20" spans="1:7" ht="37.5" customHeight="1" x14ac:dyDescent="0.3">
      <c r="A20" s="929" t="s">
        <v>897</v>
      </c>
      <c r="B20" s="930"/>
      <c r="C20" s="931"/>
      <c r="D20" s="22"/>
    </row>
    <row r="21" spans="1:7" x14ac:dyDescent="0.3">
      <c r="A21" s="922" t="s">
        <v>62</v>
      </c>
      <c r="B21" s="923"/>
      <c r="C21" s="923"/>
      <c r="D21" s="924"/>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941</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A4" zoomScaleNormal="100" workbookViewId="0">
      <selection activeCell="B2" sqref="B2"/>
    </sheetView>
  </sheetViews>
  <sheetFormatPr defaultColWidth="11.554687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955</v>
      </c>
      <c r="B2" s="43" t="s">
        <v>1003</v>
      </c>
      <c r="C2" s="43" t="s">
        <v>1004</v>
      </c>
      <c r="D2" s="39" t="s">
        <v>1022</v>
      </c>
    </row>
    <row r="3" spans="1:4" ht="63.75" customHeight="1" x14ac:dyDescent="0.3">
      <c r="A3" s="18" t="s">
        <v>79</v>
      </c>
      <c r="B3" s="38" t="s">
        <v>40</v>
      </c>
      <c r="C3" s="38" t="s">
        <v>41</v>
      </c>
      <c r="D3" s="40" t="s">
        <v>1022</v>
      </c>
    </row>
    <row r="4" spans="1:4" ht="137.25" customHeight="1" x14ac:dyDescent="0.3">
      <c r="A4" s="48" t="s">
        <v>80</v>
      </c>
      <c r="B4" s="38" t="s">
        <v>1002</v>
      </c>
      <c r="C4" s="14" t="s">
        <v>957</v>
      </c>
      <c r="D4" s="40"/>
    </row>
    <row r="5" spans="1:4" ht="29.25" customHeight="1" x14ac:dyDescent="0.3">
      <c r="A5" s="48" t="s">
        <v>81</v>
      </c>
      <c r="B5" s="49" t="s">
        <v>82</v>
      </c>
      <c r="C5" s="36" t="s">
        <v>83</v>
      </c>
      <c r="D5" s="40"/>
    </row>
    <row r="6" spans="1:4" ht="43.2" customHeight="1" x14ac:dyDescent="0.3">
      <c r="A6" s="20" t="s">
        <v>84</v>
      </c>
      <c r="B6" s="44" t="s">
        <v>959</v>
      </c>
      <c r="C6" s="37" t="s">
        <v>958</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88" workbookViewId="0">
      <pane xSplit="1" ySplit="1" topLeftCell="GK2" activePane="bottomRight" state="frozen"/>
      <selection pane="topRight" activeCell="B1" sqref="B1"/>
      <selection pane="bottomLeft" activeCell="A2" sqref="A2"/>
      <selection pane="bottomRight" activeCell="A19" sqref="A19"/>
    </sheetView>
  </sheetViews>
  <sheetFormatPr defaultColWidth="11.5546875" defaultRowHeight="14.4" x14ac:dyDescent="0.3"/>
  <cols>
    <col min="1" max="12" width="250.6640625" customWidth="1"/>
    <col min="13" max="211" width="11.6640625" customWidth="1"/>
  </cols>
  <sheetData>
    <row r="1" spans="1:211" x14ac:dyDescent="0.3">
      <c r="A1" s="50" t="s">
        <v>1035</v>
      </c>
      <c r="B1" s="50" t="s">
        <v>1036</v>
      </c>
      <c r="C1" s="50" t="s">
        <v>1037</v>
      </c>
      <c r="D1" s="50" t="s">
        <v>1038</v>
      </c>
      <c r="E1" s="50" t="s">
        <v>1039</v>
      </c>
      <c r="F1" s="50" t="s">
        <v>1040</v>
      </c>
      <c r="G1" s="50" t="s">
        <v>1041</v>
      </c>
      <c r="H1" s="50" t="s">
        <v>1042</v>
      </c>
      <c r="I1" s="50" t="s">
        <v>1043</v>
      </c>
      <c r="J1" s="50" t="s">
        <v>1044</v>
      </c>
      <c r="K1" s="50" t="s">
        <v>1045</v>
      </c>
      <c r="L1" s="50" t="s">
        <v>1046</v>
      </c>
      <c r="M1" s="50" t="s">
        <v>1047</v>
      </c>
      <c r="N1" s="50" t="s">
        <v>1048</v>
      </c>
      <c r="O1" s="50" t="s">
        <v>1049</v>
      </c>
      <c r="P1" s="50" t="s">
        <v>1050</v>
      </c>
      <c r="Q1" s="50" t="s">
        <v>1051</v>
      </c>
      <c r="R1" s="50" t="s">
        <v>1052</v>
      </c>
      <c r="S1" s="50" t="s">
        <v>1053</v>
      </c>
      <c r="T1" s="50" t="s">
        <v>1054</v>
      </c>
      <c r="U1" s="50" t="s">
        <v>1055</v>
      </c>
      <c r="V1" s="50" t="s">
        <v>1056</v>
      </c>
      <c r="W1" s="50" t="s">
        <v>1057</v>
      </c>
      <c r="X1" s="50" t="s">
        <v>1058</v>
      </c>
      <c r="Y1" s="50" t="s">
        <v>1059</v>
      </c>
      <c r="Z1" s="50" t="s">
        <v>1060</v>
      </c>
      <c r="AA1" s="50" t="s">
        <v>1061</v>
      </c>
      <c r="AB1" s="50" t="s">
        <v>1062</v>
      </c>
      <c r="AC1" s="50" t="s">
        <v>1063</v>
      </c>
      <c r="AD1" s="50" t="s">
        <v>1064</v>
      </c>
      <c r="AE1" s="50" t="s">
        <v>1065</v>
      </c>
      <c r="AF1" s="50" t="s">
        <v>1066</v>
      </c>
      <c r="AG1" s="50" t="s">
        <v>1067</v>
      </c>
      <c r="AH1" s="50" t="s">
        <v>1068</v>
      </c>
      <c r="AI1" s="50" t="s">
        <v>1069</v>
      </c>
      <c r="AJ1" s="50" t="s">
        <v>1070</v>
      </c>
      <c r="AK1" s="50" t="s">
        <v>1071</v>
      </c>
      <c r="AL1" s="50" t="s">
        <v>1072</v>
      </c>
      <c r="AM1" s="50" t="s">
        <v>1073</v>
      </c>
      <c r="AN1" s="50" t="s">
        <v>1074</v>
      </c>
      <c r="AO1" s="50" t="s">
        <v>1075</v>
      </c>
      <c r="AP1" s="50" t="s">
        <v>1076</v>
      </c>
      <c r="AQ1" s="50" t="s">
        <v>1077</v>
      </c>
      <c r="AR1" s="50" t="s">
        <v>1078</v>
      </c>
      <c r="AS1" s="50" t="s">
        <v>1079</v>
      </c>
      <c r="AT1" s="50" t="s">
        <v>1080</v>
      </c>
      <c r="AU1" s="50" t="s">
        <v>1081</v>
      </c>
      <c r="AV1" s="50" t="s">
        <v>1082</v>
      </c>
      <c r="AW1" s="50" t="s">
        <v>1083</v>
      </c>
      <c r="AX1" s="50" t="s">
        <v>1084</v>
      </c>
      <c r="AY1" s="50" t="s">
        <v>1085</v>
      </c>
      <c r="AZ1" s="50" t="s">
        <v>1086</v>
      </c>
      <c r="BA1" s="50" t="s">
        <v>1087</v>
      </c>
      <c r="BB1" s="50" t="s">
        <v>1088</v>
      </c>
      <c r="BC1" s="50" t="s">
        <v>1089</v>
      </c>
      <c r="BD1" s="50" t="s">
        <v>1090</v>
      </c>
      <c r="BE1" s="50" t="s">
        <v>1091</v>
      </c>
      <c r="BF1" s="50" t="s">
        <v>1092</v>
      </c>
      <c r="BG1" s="50" t="s">
        <v>1093</v>
      </c>
      <c r="BH1" s="50" t="s">
        <v>1094</v>
      </c>
      <c r="BI1" s="50" t="s">
        <v>1095</v>
      </c>
      <c r="BJ1" s="50" t="s">
        <v>1096</v>
      </c>
      <c r="BK1" s="50" t="s">
        <v>1097</v>
      </c>
      <c r="BL1" s="50" t="s">
        <v>1098</v>
      </c>
      <c r="BM1" s="50" t="s">
        <v>1099</v>
      </c>
      <c r="BN1" s="50" t="s">
        <v>1100</v>
      </c>
      <c r="BO1" s="50" t="s">
        <v>1101</v>
      </c>
      <c r="BP1" s="50" t="s">
        <v>1102</v>
      </c>
      <c r="BQ1" s="50" t="s">
        <v>1103</v>
      </c>
      <c r="BR1" s="50" t="s">
        <v>1104</v>
      </c>
      <c r="BS1" s="50" t="s">
        <v>1105</v>
      </c>
      <c r="BT1" s="50" t="s">
        <v>1106</v>
      </c>
      <c r="BU1" s="50" t="s">
        <v>1107</v>
      </c>
      <c r="BV1" s="50" t="s">
        <v>1108</v>
      </c>
      <c r="BW1" s="50" t="s">
        <v>1109</v>
      </c>
      <c r="BX1" s="50" t="s">
        <v>1110</v>
      </c>
      <c r="BY1" s="50" t="s">
        <v>1111</v>
      </c>
      <c r="BZ1" s="50" t="s">
        <v>1112</v>
      </c>
      <c r="CA1" s="50" t="s">
        <v>1113</v>
      </c>
      <c r="CB1" s="50" t="s">
        <v>1114</v>
      </c>
      <c r="CC1" s="50" t="s">
        <v>1115</v>
      </c>
      <c r="CD1" s="50" t="s">
        <v>1116</v>
      </c>
      <c r="CE1" s="50" t="s">
        <v>1117</v>
      </c>
      <c r="CF1" s="50" t="s">
        <v>1118</v>
      </c>
      <c r="CG1" s="50" t="s">
        <v>1119</v>
      </c>
      <c r="CH1" s="50" t="s">
        <v>1120</v>
      </c>
      <c r="CI1" s="50" t="s">
        <v>1121</v>
      </c>
      <c r="CJ1" s="50" t="s">
        <v>1122</v>
      </c>
      <c r="CK1" s="50" t="s">
        <v>1123</v>
      </c>
      <c r="CL1" s="50" t="s">
        <v>1124</v>
      </c>
      <c r="CM1" s="50" t="s">
        <v>1125</v>
      </c>
      <c r="CN1" s="50" t="s">
        <v>1126</v>
      </c>
      <c r="CO1" s="50" t="s">
        <v>1127</v>
      </c>
      <c r="CP1" s="50" t="s">
        <v>1128</v>
      </c>
      <c r="CQ1" s="50" t="s">
        <v>1129</v>
      </c>
      <c r="CR1" s="50" t="s">
        <v>1130</v>
      </c>
      <c r="CS1" s="50" t="s">
        <v>1131</v>
      </c>
      <c r="CT1" s="50" t="s">
        <v>1132</v>
      </c>
      <c r="CU1" s="50" t="s">
        <v>1133</v>
      </c>
      <c r="CV1" s="50" t="s">
        <v>1134</v>
      </c>
      <c r="CW1" s="50" t="s">
        <v>1135</v>
      </c>
      <c r="CX1" s="50" t="s">
        <v>1136</v>
      </c>
      <c r="CY1" s="50" t="s">
        <v>1137</v>
      </c>
      <c r="CZ1" s="50" t="s">
        <v>1138</v>
      </c>
      <c r="DA1" s="50" t="s">
        <v>1139</v>
      </c>
      <c r="DB1" s="50" t="s">
        <v>1140</v>
      </c>
      <c r="DC1" s="50" t="s">
        <v>1141</v>
      </c>
      <c r="DD1" s="50" t="s">
        <v>1142</v>
      </c>
      <c r="DE1" s="50" t="s">
        <v>1143</v>
      </c>
      <c r="DF1" s="50" t="s">
        <v>1144</v>
      </c>
      <c r="DG1" s="50" t="s">
        <v>1145</v>
      </c>
      <c r="DH1" s="50" t="s">
        <v>1146</v>
      </c>
      <c r="DI1" s="50" t="s">
        <v>1147</v>
      </c>
      <c r="DJ1" s="50" t="s">
        <v>1148</v>
      </c>
      <c r="DK1" s="50" t="s">
        <v>1149</v>
      </c>
      <c r="DL1" s="50" t="s">
        <v>1150</v>
      </c>
      <c r="DM1" s="50" t="s">
        <v>1151</v>
      </c>
      <c r="DN1" s="50" t="s">
        <v>1152</v>
      </c>
      <c r="DO1" s="50" t="s">
        <v>1153</v>
      </c>
      <c r="DP1" s="50" t="s">
        <v>1154</v>
      </c>
      <c r="DQ1" s="50" t="s">
        <v>1155</v>
      </c>
      <c r="DR1" s="50" t="s">
        <v>1156</v>
      </c>
      <c r="DS1" s="50" t="s">
        <v>1157</v>
      </c>
      <c r="DT1" s="50" t="s">
        <v>1158</v>
      </c>
      <c r="DU1" s="50" t="s">
        <v>1159</v>
      </c>
      <c r="DV1" s="50" t="s">
        <v>1160</v>
      </c>
      <c r="DW1" s="50" t="s">
        <v>1161</v>
      </c>
      <c r="DX1" s="50" t="s">
        <v>1162</v>
      </c>
      <c r="DY1" s="50" t="s">
        <v>1163</v>
      </c>
      <c r="DZ1" s="50" t="s">
        <v>1164</v>
      </c>
      <c r="EA1" s="50" t="s">
        <v>1165</v>
      </c>
      <c r="EB1" s="50" t="s">
        <v>1166</v>
      </c>
      <c r="EC1" s="50" t="s">
        <v>1167</v>
      </c>
      <c r="ED1" s="50" t="s">
        <v>1168</v>
      </c>
      <c r="EE1" s="50" t="s">
        <v>1169</v>
      </c>
      <c r="EF1" s="50" t="s">
        <v>1170</v>
      </c>
      <c r="EG1" s="50" t="s">
        <v>1171</v>
      </c>
      <c r="EH1" s="50" t="s">
        <v>1172</v>
      </c>
      <c r="EI1" s="50" t="s">
        <v>1173</v>
      </c>
      <c r="EJ1" s="50" t="s">
        <v>1174</v>
      </c>
      <c r="EK1" s="50" t="s">
        <v>1175</v>
      </c>
      <c r="EL1" s="50" t="s">
        <v>1176</v>
      </c>
      <c r="EM1" s="50" t="s">
        <v>1177</v>
      </c>
      <c r="EN1" s="50" t="s">
        <v>1178</v>
      </c>
      <c r="EO1" s="50" t="s">
        <v>1179</v>
      </c>
      <c r="EP1" s="50" t="s">
        <v>1180</v>
      </c>
      <c r="EQ1" s="50" t="s">
        <v>1181</v>
      </c>
      <c r="ER1" s="50" t="s">
        <v>1182</v>
      </c>
      <c r="ES1" s="50" t="s">
        <v>1183</v>
      </c>
      <c r="ET1" s="50" t="s">
        <v>1184</v>
      </c>
      <c r="EU1" s="50" t="s">
        <v>1185</v>
      </c>
      <c r="EV1" s="50" t="s">
        <v>1186</v>
      </c>
      <c r="EW1" s="50" t="s">
        <v>1187</v>
      </c>
      <c r="EX1" s="50" t="s">
        <v>1188</v>
      </c>
      <c r="EY1" s="50" t="s">
        <v>1189</v>
      </c>
      <c r="EZ1" s="50" t="s">
        <v>1190</v>
      </c>
      <c r="FA1" s="50" t="s">
        <v>1191</v>
      </c>
      <c r="FB1" s="50" t="s">
        <v>1192</v>
      </c>
      <c r="FC1" s="50" t="s">
        <v>1193</v>
      </c>
      <c r="FD1" s="50" t="s">
        <v>1194</v>
      </c>
      <c r="FE1" s="50" t="s">
        <v>1195</v>
      </c>
      <c r="FF1" s="50" t="s">
        <v>1196</v>
      </c>
      <c r="FG1" s="50" t="s">
        <v>1197</v>
      </c>
      <c r="FH1" s="50" t="s">
        <v>1198</v>
      </c>
      <c r="FI1" s="50" t="s">
        <v>1199</v>
      </c>
      <c r="FJ1" s="50" t="s">
        <v>1200</v>
      </c>
      <c r="FK1" s="50" t="s">
        <v>1201</v>
      </c>
      <c r="FL1" s="50" t="s">
        <v>1202</v>
      </c>
      <c r="FM1" s="50" t="s">
        <v>1203</v>
      </c>
      <c r="FN1" s="50" t="s">
        <v>1204</v>
      </c>
      <c r="FO1" s="50" t="s">
        <v>1205</v>
      </c>
      <c r="FP1" s="50" t="s">
        <v>1206</v>
      </c>
      <c r="FQ1" s="50" t="s">
        <v>1207</v>
      </c>
      <c r="FR1" s="50" t="s">
        <v>1208</v>
      </c>
      <c r="FS1" s="50" t="s">
        <v>1209</v>
      </c>
      <c r="FT1" s="50" t="s">
        <v>1210</v>
      </c>
      <c r="FU1" s="50" t="s">
        <v>1211</v>
      </c>
      <c r="FV1" s="50" t="s">
        <v>1212</v>
      </c>
      <c r="FW1" s="50" t="s">
        <v>1213</v>
      </c>
      <c r="FX1" s="50" t="s">
        <v>1214</v>
      </c>
      <c r="FY1" s="50" t="s">
        <v>1215</v>
      </c>
      <c r="FZ1" s="50" t="s">
        <v>1216</v>
      </c>
      <c r="GA1" s="50" t="s">
        <v>1217</v>
      </c>
      <c r="GB1" s="50" t="s">
        <v>1218</v>
      </c>
      <c r="GC1" s="50" t="s">
        <v>1219</v>
      </c>
      <c r="GD1" s="50" t="s">
        <v>1220</v>
      </c>
      <c r="GE1" s="50" t="s">
        <v>1221</v>
      </c>
      <c r="GF1" s="50" t="s">
        <v>1222</v>
      </c>
      <c r="GG1" s="50" t="s">
        <v>1223</v>
      </c>
      <c r="GH1" s="50" t="s">
        <v>1224</v>
      </c>
      <c r="GI1" s="50" t="s">
        <v>1225</v>
      </c>
      <c r="GJ1" s="50" t="s">
        <v>1226</v>
      </c>
      <c r="GK1" s="50" t="s">
        <v>1227</v>
      </c>
      <c r="GL1" s="50" t="s">
        <v>1228</v>
      </c>
      <c r="GM1" s="50" t="s">
        <v>1229</v>
      </c>
      <c r="GN1" s="50" t="s">
        <v>1230</v>
      </c>
      <c r="GO1" s="50" t="s">
        <v>1231</v>
      </c>
      <c r="GP1" s="50" t="s">
        <v>1232</v>
      </c>
      <c r="GQ1" s="50" t="s">
        <v>1233</v>
      </c>
      <c r="GR1" s="50" t="s">
        <v>1234</v>
      </c>
      <c r="GS1" s="50" t="s">
        <v>1235</v>
      </c>
      <c r="GT1" s="50" t="s">
        <v>1236</v>
      </c>
      <c r="GU1" s="50" t="s">
        <v>1237</v>
      </c>
      <c r="GV1" s="50" t="s">
        <v>1238</v>
      </c>
      <c r="GW1" s="50" t="s">
        <v>1239</v>
      </c>
      <c r="GX1" s="50" t="s">
        <v>1240</v>
      </c>
      <c r="GY1" s="50" t="s">
        <v>1241</v>
      </c>
      <c r="GZ1" s="50" t="s">
        <v>1242</v>
      </c>
      <c r="HA1" s="50" t="s">
        <v>1243</v>
      </c>
      <c r="HB1" s="50" t="s">
        <v>1244</v>
      </c>
      <c r="HC1" s="51" t="s">
        <v>1245</v>
      </c>
    </row>
    <row r="2" spans="1:211" x14ac:dyDescent="0.3">
      <c r="A2" s="36" t="s">
        <v>1246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24851.8</v>
      </c>
    </row>
    <row r="3" spans="1:211" x14ac:dyDescent="0.3">
      <c r="A3" s="36" t="s">
        <v>1247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19681.7</v>
      </c>
    </row>
    <row r="4" spans="1:211" x14ac:dyDescent="0.3">
      <c r="A4" s="36" t="s">
        <v>1248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126.367</v>
      </c>
    </row>
    <row r="5" spans="1:211" x14ac:dyDescent="0.3">
      <c r="A5" s="36" t="s">
        <v>1249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17000.400000000001</v>
      </c>
    </row>
    <row r="6" spans="1:211" x14ac:dyDescent="0.3">
      <c r="A6" s="36" t="s">
        <v>1250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13916.9</v>
      </c>
    </row>
    <row r="7" spans="1:211" x14ac:dyDescent="0.3">
      <c r="A7" s="36" t="s">
        <v>1251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122.17700000000001</v>
      </c>
    </row>
    <row r="8" spans="1:211" x14ac:dyDescent="0.3">
      <c r="A8" s="36" t="s">
        <v>1252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122.277</v>
      </c>
    </row>
    <row r="9" spans="1:211" x14ac:dyDescent="0.3">
      <c r="A9" s="36" t="s">
        <v>1253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134.15899999999999</v>
      </c>
    </row>
    <row r="10" spans="1:211" x14ac:dyDescent="0.3">
      <c r="A10" s="36" t="s">
        <v>1254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133.62100000000001</v>
      </c>
    </row>
    <row r="11" spans="1:211" x14ac:dyDescent="0.3">
      <c r="A11" s="36" t="s">
        <v>1255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136.69900000000001</v>
      </c>
    </row>
    <row r="12" spans="1:211" x14ac:dyDescent="0.3">
      <c r="A12" s="36" t="s">
        <v>1256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
      <c r="A13" s="36" t="s">
        <v>1257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804.5</v>
      </c>
    </row>
    <row r="14" spans="1:211" x14ac:dyDescent="0.3">
      <c r="A14" s="36" t="s">
        <v>1258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
      <c r="A15" s="36" t="s">
        <v>1259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3835</v>
      </c>
    </row>
    <row r="16" spans="1:211" x14ac:dyDescent="0.3">
      <c r="A16" s="36" t="s">
        <v>1260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
      <c r="A17" s="36" t="s">
        <v>1261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3123.3</v>
      </c>
    </row>
    <row r="18" spans="1:211" x14ac:dyDescent="0.3">
      <c r="A18" s="36" t="s">
        <v>1262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1769.6</v>
      </c>
    </row>
    <row r="19" spans="1:211" x14ac:dyDescent="0.3">
      <c r="A19" s="36" t="s">
        <v>1029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1" x14ac:dyDescent="0.3">
      <c r="A20" s="36" t="s">
        <v>1263</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4295.8999999999996</v>
      </c>
    </row>
    <row r="21" spans="1:211" x14ac:dyDescent="0.3">
      <c r="A21" s="36" t="s">
        <v>1264</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1733.5</v>
      </c>
    </row>
    <row r="22" spans="1:211" x14ac:dyDescent="0.3">
      <c r="A22" s="36" t="s">
        <v>1265</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122.157</v>
      </c>
    </row>
    <row r="23" spans="1:211" x14ac:dyDescent="0.3">
      <c r="A23" s="36" t="s">
        <v>1266</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1578.2</v>
      </c>
    </row>
    <row r="24" spans="1:211" x14ac:dyDescent="0.3">
      <c r="A24" s="36" t="s">
        <v>1267</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2717.7</v>
      </c>
    </row>
    <row r="25" spans="1:211" x14ac:dyDescent="0.3">
      <c r="A25" s="36" t="s">
        <v>1268</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1290.7</v>
      </c>
    </row>
    <row r="26" spans="1:211" x14ac:dyDescent="0.3">
      <c r="A26" s="36" t="s">
        <v>1269</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2025.7</v>
      </c>
    </row>
    <row r="27" spans="1:211" x14ac:dyDescent="0.3">
      <c r="A27" s="36" t="s">
        <v>1270</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2439.6</v>
      </c>
    </row>
    <row r="28" spans="1:211" x14ac:dyDescent="0.3">
      <c r="A28" s="36" t="s">
        <v>1271</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199.9</v>
      </c>
    </row>
    <row r="29" spans="1:211" x14ac:dyDescent="0.3">
      <c r="A29" s="36" t="s">
        <v>1272</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1" x14ac:dyDescent="0.3">
      <c r="A30" s="36" t="s">
        <v>1273</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1710.8</v>
      </c>
    </row>
    <row r="31" spans="1:211" x14ac:dyDescent="0.3">
      <c r="A31" s="36" t="s">
        <v>1274</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2872</v>
      </c>
    </row>
    <row r="32" spans="1:211" x14ac:dyDescent="0.3">
      <c r="A32" s="36" t="s">
        <v>1275</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
      <c r="A33" s="36" t="s">
        <v>1276</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683.7</v>
      </c>
    </row>
    <row r="34" spans="1:211" x14ac:dyDescent="0.3">
      <c r="A34" s="36" t="s">
        <v>1277</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1569.7</v>
      </c>
    </row>
    <row r="35" spans="1:211" x14ac:dyDescent="0.3">
      <c r="A35" s="36" t="s">
        <v>1278</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1" x14ac:dyDescent="0.3">
      <c r="A36" s="36" t="s">
        <v>1279</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
      <c r="A37" s="36" t="s">
        <v>1280</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962.9</v>
      </c>
    </row>
    <row r="38" spans="1:211" x14ac:dyDescent="0.3">
      <c r="A38" s="36" t="s">
        <v>1281</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3617.8</v>
      </c>
    </row>
    <row r="39" spans="1:211" x14ac:dyDescent="0.3">
      <c r="A39" s="36" t="s">
        <v>1282</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
      <c r="A40" s="36" t="s">
        <v>1283</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
      <c r="A41" s="36" t="s">
        <v>1284</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
      <c r="A42" s="36" t="s">
        <v>1285</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
      <c r="A43" s="36" t="s">
        <v>1286</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
      <c r="A44" s="36" t="s">
        <v>1287</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
      <c r="A45" s="36" t="s">
        <v>1288</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
      <c r="A46" s="36" t="s">
        <v>1289</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
      <c r="A47" s="36" t="s">
        <v>1290</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
      <c r="A48" s="36" t="s">
        <v>1291</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
      <c r="A49" s="36" t="s">
        <v>1292</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
      <c r="A50" s="36" t="s">
        <v>1293</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
      <c r="A51" s="36" t="s">
        <v>1294</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
      <c r="A52" s="36" t="s">
        <v>1295</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
      <c r="A53" s="36" t="s">
        <v>1296</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
      <c r="A54" s="36" t="s">
        <v>1297</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
      <c r="A55" s="36" t="s">
        <v>1298</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
      <c r="A56" s="36" t="s">
        <v>1299</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
      <c r="A57" s="36" t="s">
        <v>1300</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
      <c r="A58" s="36" t="s">
        <v>1301</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
      <c r="A59" s="36" t="s">
        <v>1302</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
      <c r="A60" s="36" t="s">
        <v>1303</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
      <c r="A61" s="36" t="s">
        <v>1304</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
      <c r="A62" s="36" t="s">
        <v>1305</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1.7</v>
      </c>
    </row>
    <row r="63" spans="1:211" x14ac:dyDescent="0.3">
      <c r="A63" s="36" t="s">
        <v>1306</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
      <c r="A64" s="36" t="s">
        <v>1307</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
      <c r="A65" s="36" t="s">
        <v>1308</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
      <c r="A66" s="36" t="s">
        <v>1309</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127.4</v>
      </c>
    </row>
    <row r="67" spans="1:211" x14ac:dyDescent="0.3">
      <c r="A67" s="36" t="s">
        <v>1310</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
      <c r="A68" s="36" t="s">
        <v>1311</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
      <c r="A69" s="36" t="s">
        <v>1312</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
      <c r="A70" s="36" t="s">
        <v>1313</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
      <c r="A71" s="36" t="s">
        <v>1314</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
      <c r="A72" s="36" t="s">
        <v>1315</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5241.6666666666697</v>
      </c>
    </row>
    <row r="73" spans="1:211" x14ac:dyDescent="0.3">
      <c r="A73" s="36" t="s">
        <v>1316</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14101.333333333299</v>
      </c>
    </row>
    <row r="74" spans="1:211" x14ac:dyDescent="0.3">
      <c r="A74" s="36" t="s">
        <v>1317</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row>
    <row r="75" spans="1:211" x14ac:dyDescent="0.3">
      <c r="A75" s="36" t="s">
        <v>1318</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2.1188734898379701E-2</v>
      </c>
    </row>
    <row r="76" spans="1:211" x14ac:dyDescent="0.3">
      <c r="A76" s="36" t="s">
        <v>1319</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1.7192287198614799E-2</v>
      </c>
    </row>
    <row r="77" spans="1:211" x14ac:dyDescent="0.3">
      <c r="A77" s="36" t="s">
        <v>1320</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1.5336710122062501E-2</v>
      </c>
    </row>
    <row r="78" spans="1:211" x14ac:dyDescent="0.3">
      <c r="A78" s="36" t="s">
        <v>1321</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3.53532235410332E-2</v>
      </c>
    </row>
    <row r="79" spans="1:211" x14ac:dyDescent="0.3">
      <c r="A79" s="36" t="s">
        <v>1322</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3.5821705426356799E-2</v>
      </c>
    </row>
    <row r="80" spans="1:211" x14ac:dyDescent="0.3">
      <c r="A80" s="36" t="s">
        <v>1323</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3.3008138682546297E-2</v>
      </c>
    </row>
    <row r="81" spans="1:211" x14ac:dyDescent="0.3">
      <c r="A81" s="36" t="s">
        <v>1324</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11302.2</v>
      </c>
    </row>
    <row r="82" spans="1:211" x14ac:dyDescent="0.3">
      <c r="A82" s="36" t="s">
        <v>1325</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1930.8</v>
      </c>
    </row>
    <row r="83" spans="1:211" x14ac:dyDescent="0.3">
      <c r="A83" s="36" t="s">
        <v>1326</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788.9</v>
      </c>
    </row>
    <row r="84" spans="1:211" x14ac:dyDescent="0.3">
      <c r="A84" s="36" t="s">
        <v>1327</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3049.5</v>
      </c>
    </row>
    <row r="85" spans="1:211" x14ac:dyDescent="0.3">
      <c r="A85" s="36" t="s">
        <v>1328</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1" x14ac:dyDescent="0.3">
      <c r="A86" s="36" t="s">
        <v>1329</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c r="HC86">
        <v>0</v>
      </c>
    </row>
    <row r="87" spans="1:211" x14ac:dyDescent="0.3">
      <c r="A87" s="36" t="s">
        <v>1330</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 customHeight="1" x14ac:dyDescent="0.3">
      <c r="A88" s="36" t="s">
        <v>1331</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1206697</v>
      </c>
    </row>
    <row r="89" spans="1:211" x14ac:dyDescent="0.3">
      <c r="A89" s="36" t="s">
        <v>1332</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D22" sqref="D22"/>
    </sheetView>
  </sheetViews>
  <sheetFormatPr defaultColWidth="11.554687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2" t="s">
        <v>85</v>
      </c>
      <c r="B1" s="62" t="s">
        <v>86</v>
      </c>
      <c r="C1" s="62" t="s">
        <v>87</v>
      </c>
      <c r="D1" s="62" t="s">
        <v>88</v>
      </c>
      <c r="E1" s="62" t="s">
        <v>89</v>
      </c>
      <c r="F1" s="62" t="s">
        <v>90</v>
      </c>
    </row>
    <row r="2" spans="1:11" x14ac:dyDescent="0.3">
      <c r="C2" s="57" t="str">
        <f>'Haver Pivoted'!A1</f>
        <v>name</v>
      </c>
      <c r="D2" s="63" t="s">
        <v>1005</v>
      </c>
      <c r="E2" s="63" t="s">
        <v>1026</v>
      </c>
      <c r="F2" s="63"/>
      <c r="H2" s="64"/>
    </row>
    <row r="3" spans="1:11" x14ac:dyDescent="0.3">
      <c r="B3" s="57" t="s">
        <v>91</v>
      </c>
      <c r="C3" s="57" t="str">
        <f>'Haver Pivoted'!A2</f>
        <v>gdp</v>
      </c>
      <c r="D3">
        <v>24386.7</v>
      </c>
      <c r="E3" s="57">
        <f>'Haver Pivoted'!HC2</f>
        <v>24851.8</v>
      </c>
      <c r="F3" s="57">
        <f>E3-D3</f>
        <v>465.09999999999854</v>
      </c>
      <c r="G3" s="65">
        <f>F3/D3</f>
        <v>1.9071871142876999E-2</v>
      </c>
      <c r="H3" s="66"/>
    </row>
    <row r="4" spans="1:11" x14ac:dyDescent="0.3">
      <c r="B4" s="57" t="s">
        <v>92</v>
      </c>
      <c r="C4" s="57" t="str">
        <f>'Haver Pivoted'!A3</f>
        <v>gdph</v>
      </c>
      <c r="D4">
        <v>19727.900000000001</v>
      </c>
      <c r="E4" s="57">
        <f>'Haver Pivoted'!HC3</f>
        <v>19681.7</v>
      </c>
      <c r="F4" s="57">
        <f t="shared" ref="F4:F67" si="0">E4-D4</f>
        <v>-46.200000000000728</v>
      </c>
      <c r="G4" s="65">
        <f t="shared" ref="G4:G67" si="1">F4/D4</f>
        <v>-2.3418610191657868E-3</v>
      </c>
      <c r="H4" s="66"/>
    </row>
    <row r="5" spans="1:11" x14ac:dyDescent="0.3">
      <c r="B5" s="57" t="s">
        <v>93</v>
      </c>
      <c r="C5" s="57" t="str">
        <f>'Haver Pivoted'!A4</f>
        <v>jgdp</v>
      </c>
      <c r="D5">
        <v>123.745</v>
      </c>
      <c r="E5" s="57">
        <f>'Haver Pivoted'!HC4</f>
        <v>126.367</v>
      </c>
      <c r="F5" s="57">
        <f t="shared" si="0"/>
        <v>2.6219999999999999</v>
      </c>
      <c r="G5" s="65">
        <f t="shared" si="1"/>
        <v>2.1188734898379732E-2</v>
      </c>
      <c r="H5" s="67"/>
    </row>
    <row r="6" spans="1:11" x14ac:dyDescent="0.3">
      <c r="B6" s="57" t="s">
        <v>94</v>
      </c>
      <c r="C6" s="57" t="str">
        <f>'Haver Pivoted'!A5</f>
        <v>c</v>
      </c>
      <c r="D6">
        <v>16670.099999999999</v>
      </c>
      <c r="E6" s="57">
        <f>'Haver Pivoted'!HC5</f>
        <v>17000.400000000001</v>
      </c>
      <c r="F6" s="57">
        <f t="shared" si="0"/>
        <v>330.30000000000291</v>
      </c>
      <c r="G6" s="65">
        <f t="shared" si="1"/>
        <v>1.9813918332823616E-2</v>
      </c>
    </row>
    <row r="7" spans="1:11" x14ac:dyDescent="0.3">
      <c r="B7" s="57" t="s">
        <v>95</v>
      </c>
      <c r="C7" s="57" t="str">
        <f>'Haver Pivoted'!A6</f>
        <v>ch</v>
      </c>
      <c r="D7">
        <v>13881.1</v>
      </c>
      <c r="E7" s="57">
        <f>'Haver Pivoted'!HC6</f>
        <v>13916.9</v>
      </c>
      <c r="F7" s="57">
        <f t="shared" si="0"/>
        <v>35.799999999999272</v>
      </c>
      <c r="G7" s="65">
        <f t="shared" si="1"/>
        <v>2.5790463291813525E-3</v>
      </c>
      <c r="K7" s="67"/>
    </row>
    <row r="8" spans="1:11" x14ac:dyDescent="0.3">
      <c r="B8" s="57" t="s">
        <v>96</v>
      </c>
      <c r="C8" s="57" t="str">
        <f>'Haver Pivoted'!A7</f>
        <v>jc</v>
      </c>
      <c r="D8">
        <v>120.11199999999999</v>
      </c>
      <c r="E8" s="57">
        <f>'Haver Pivoted'!HC7</f>
        <v>122.17700000000001</v>
      </c>
      <c r="F8" s="57">
        <f t="shared" si="0"/>
        <v>2.0650000000000119</v>
      </c>
      <c r="G8" s="65">
        <f t="shared" si="1"/>
        <v>1.7192287198614726E-2</v>
      </c>
    </row>
    <row r="9" spans="1:11" x14ac:dyDescent="0.3">
      <c r="B9" s="57" t="s">
        <v>97</v>
      </c>
      <c r="C9" s="57" t="str">
        <f>'Haver Pivoted'!A8</f>
        <v>jgf</v>
      </c>
      <c r="D9">
        <v>120.43</v>
      </c>
      <c r="E9" s="57">
        <f>'Haver Pivoted'!HC8</f>
        <v>122.277</v>
      </c>
      <c r="F9" s="57">
        <f t="shared" si="0"/>
        <v>1.8469999999999942</v>
      </c>
      <c r="G9" s="65">
        <f t="shared" si="1"/>
        <v>1.533671012206256E-2</v>
      </c>
    </row>
    <row r="10" spans="1:11" x14ac:dyDescent="0.3">
      <c r="B10" s="57" t="s">
        <v>98</v>
      </c>
      <c r="C10" s="57" t="str">
        <f>'Haver Pivoted'!A9</f>
        <v>jgs</v>
      </c>
      <c r="D10">
        <v>129.578</v>
      </c>
      <c r="E10" s="57">
        <f>'Haver Pivoted'!HC9</f>
        <v>134.15899999999999</v>
      </c>
      <c r="F10" s="57">
        <f t="shared" si="0"/>
        <v>4.5809999999999889</v>
      </c>
      <c r="G10" s="65">
        <f t="shared" si="1"/>
        <v>3.535322354103311E-2</v>
      </c>
    </row>
    <row r="11" spans="1:11" x14ac:dyDescent="0.3">
      <c r="B11" s="57" t="s">
        <v>99</v>
      </c>
      <c r="C11" s="57" t="str">
        <f>'Haver Pivoted'!A10</f>
        <v>jgse</v>
      </c>
      <c r="D11">
        <v>129</v>
      </c>
      <c r="E11" s="57">
        <f>'Haver Pivoted'!HC10</f>
        <v>133.62100000000001</v>
      </c>
      <c r="F11" s="57">
        <f t="shared" si="0"/>
        <v>4.6210000000000093</v>
      </c>
      <c r="G11" s="65">
        <f t="shared" si="1"/>
        <v>3.5821705426356661E-2</v>
      </c>
    </row>
    <row r="12" spans="1:11" x14ac:dyDescent="0.3">
      <c r="B12" s="57" t="s">
        <v>100</v>
      </c>
      <c r="C12" s="57" t="str">
        <f>'Haver Pivoted'!A11</f>
        <v>jgsi</v>
      </c>
      <c r="D12">
        <v>132.33099999999999</v>
      </c>
      <c r="E12" s="57">
        <f>'Haver Pivoted'!HC11</f>
        <v>136.69900000000001</v>
      </c>
      <c r="F12" s="57">
        <f t="shared" si="0"/>
        <v>4.3680000000000234</v>
      </c>
      <c r="G12" s="65">
        <f t="shared" si="1"/>
        <v>3.300813868254622E-2</v>
      </c>
    </row>
    <row r="13" spans="1:11" x14ac:dyDescent="0.3">
      <c r="A13" s="57" t="s">
        <v>55</v>
      </c>
      <c r="B13" s="57" t="s">
        <v>55</v>
      </c>
      <c r="C13" s="57" t="str">
        <f>'Haver Pivoted'!A12</f>
        <v>yptmr</v>
      </c>
      <c r="D13">
        <v>862.1</v>
      </c>
      <c r="E13" s="57">
        <f>'Haver Pivoted'!HC12</f>
        <v>865.9</v>
      </c>
      <c r="F13" s="57">
        <f t="shared" si="0"/>
        <v>3.7999999999999545</v>
      </c>
      <c r="G13" s="65">
        <f t="shared" si="1"/>
        <v>4.4078413177125091E-3</v>
      </c>
      <c r="I13" s="68"/>
    </row>
    <row r="14" spans="1:11" x14ac:dyDescent="0.3">
      <c r="A14" s="57" t="s">
        <v>54</v>
      </c>
      <c r="B14" s="57" t="s">
        <v>101</v>
      </c>
      <c r="C14" s="57" t="str">
        <f>'Haver Pivoted'!A13</f>
        <v>yptmd</v>
      </c>
      <c r="D14">
        <v>791</v>
      </c>
      <c r="E14" s="57">
        <f>'Haver Pivoted'!HC13</f>
        <v>804.5</v>
      </c>
      <c r="F14" s="57">
        <f t="shared" si="0"/>
        <v>13.5</v>
      </c>
      <c r="G14" s="65">
        <f t="shared" si="1"/>
        <v>1.7067003792667509E-2</v>
      </c>
    </row>
    <row r="15" spans="1:11" x14ac:dyDescent="0.3">
      <c r="A15" s="57" t="s">
        <v>53</v>
      </c>
      <c r="B15" s="57" t="s">
        <v>102</v>
      </c>
      <c r="C15" s="57" t="str">
        <f>'Haver Pivoted'!A14</f>
        <v>yptu</v>
      </c>
      <c r="D15">
        <v>25.1</v>
      </c>
      <c r="E15" s="57">
        <f>'Haver Pivoted'!HC14</f>
        <v>20</v>
      </c>
      <c r="F15" s="57">
        <f t="shared" si="0"/>
        <v>-5.1000000000000014</v>
      </c>
      <c r="G15" s="65">
        <f t="shared" si="1"/>
        <v>-0.20318725099601598</v>
      </c>
    </row>
    <row r="16" spans="1:11" x14ac:dyDescent="0.3">
      <c r="B16" s="57" t="s">
        <v>57</v>
      </c>
      <c r="C16" s="57" t="str">
        <f>'Haver Pivoted'!A15</f>
        <v>gtfp</v>
      </c>
      <c r="D16">
        <v>3829.1</v>
      </c>
      <c r="E16" s="57">
        <f>'Haver Pivoted'!HC15</f>
        <v>3835</v>
      </c>
      <c r="F16" s="57">
        <f t="shared" si="0"/>
        <v>5.9000000000000909</v>
      </c>
      <c r="G16" s="65">
        <f t="shared" si="1"/>
        <v>1.5408320493066493E-3</v>
      </c>
    </row>
    <row r="17" spans="1:7" x14ac:dyDescent="0.3">
      <c r="B17" s="57" t="s">
        <v>103</v>
      </c>
      <c r="C17" s="57" t="str">
        <f>'Haver Pivoted'!A16</f>
        <v>ypog</v>
      </c>
      <c r="D17">
        <v>118.2</v>
      </c>
      <c r="E17" s="57">
        <f>'Haver Pivoted'!HC16</f>
        <v>119.2</v>
      </c>
      <c r="F17" s="57">
        <f t="shared" si="0"/>
        <v>1</v>
      </c>
      <c r="G17" s="65">
        <f t="shared" si="1"/>
        <v>8.4602368866328256E-3</v>
      </c>
    </row>
    <row r="18" spans="1:7" x14ac:dyDescent="0.3">
      <c r="B18" s="57" t="s">
        <v>104</v>
      </c>
      <c r="C18" s="57" t="str">
        <f>'Haver Pivoted'!A17</f>
        <v>yptx</v>
      </c>
      <c r="D18">
        <v>3060.9</v>
      </c>
      <c r="E18" s="57">
        <f>'Haver Pivoted'!HC17</f>
        <v>3123.3</v>
      </c>
      <c r="F18" s="57">
        <f t="shared" si="0"/>
        <v>62.400000000000091</v>
      </c>
      <c r="G18" s="65">
        <f t="shared" si="1"/>
        <v>2.0386160933058933E-2</v>
      </c>
    </row>
    <row r="19" spans="1:7" x14ac:dyDescent="0.3">
      <c r="B19" s="57" t="s">
        <v>105</v>
      </c>
      <c r="C19" s="57" t="str">
        <f>'Haver Pivoted'!A18</f>
        <v>ytpi</v>
      </c>
      <c r="D19">
        <v>1738.2</v>
      </c>
      <c r="E19" s="57">
        <f>'Haver Pivoted'!HC18</f>
        <v>1769.6</v>
      </c>
      <c r="F19" s="57">
        <f t="shared" si="0"/>
        <v>31.399999999999864</v>
      </c>
      <c r="G19" s="65">
        <f t="shared" si="1"/>
        <v>1.8064664595558545E-2</v>
      </c>
    </row>
    <row r="20" spans="1:7" x14ac:dyDescent="0.3">
      <c r="B20" s="57" t="s">
        <v>106</v>
      </c>
      <c r="C20" s="57" t="str">
        <f>'Haver Pivoted'!A19</f>
        <v>yctlg</v>
      </c>
      <c r="D20">
        <v>456.4</v>
      </c>
      <c r="E20" s="57">
        <f>'Haver Pivoted'!HC19</f>
        <v>0</v>
      </c>
      <c r="F20" s="57">
        <f t="shared" si="0"/>
        <v>-456.4</v>
      </c>
      <c r="G20" s="65">
        <f t="shared" si="1"/>
        <v>-1</v>
      </c>
    </row>
    <row r="21" spans="1:7" x14ac:dyDescent="0.3">
      <c r="B21" s="57" t="s">
        <v>107</v>
      </c>
      <c r="C21" s="57" t="str">
        <f>'Haver Pivoted'!A20</f>
        <v>g</v>
      </c>
      <c r="D21">
        <v>4199.5</v>
      </c>
      <c r="E21" s="57">
        <f>'Haver Pivoted'!HC20</f>
        <v>4295.8999999999996</v>
      </c>
      <c r="F21" s="57">
        <f t="shared" si="0"/>
        <v>96.399999999999636</v>
      </c>
      <c r="G21" s="65">
        <f t="shared" si="1"/>
        <v>2.2955113704012296E-2</v>
      </c>
    </row>
    <row r="22" spans="1:7" x14ac:dyDescent="0.3">
      <c r="B22" s="57" t="s">
        <v>108</v>
      </c>
      <c r="C22" s="57" t="str">
        <f>'Haver Pivoted'!A21</f>
        <v>grcsi</v>
      </c>
      <c r="D22">
        <v>1704.8</v>
      </c>
      <c r="E22" s="57">
        <f>'Haver Pivoted'!HC21</f>
        <v>1733.5</v>
      </c>
      <c r="F22" s="57">
        <f t="shared" si="0"/>
        <v>28.700000000000045</v>
      </c>
      <c r="G22" s="65">
        <f t="shared" si="1"/>
        <v>1.6834819333646202E-2</v>
      </c>
    </row>
    <row r="23" spans="1:7" x14ac:dyDescent="0.3">
      <c r="B23" s="57" t="s">
        <v>96</v>
      </c>
      <c r="C23" s="57" t="str">
        <f>'Haver Pivoted'!A22</f>
        <v>dc</v>
      </c>
      <c r="D23">
        <v>120.092</v>
      </c>
      <c r="E23" s="57">
        <f>'Haver Pivoted'!HC22</f>
        <v>122.157</v>
      </c>
      <c r="F23" s="57">
        <f t="shared" si="0"/>
        <v>2.0649999999999977</v>
      </c>
      <c r="G23" s="65">
        <f t="shared" si="1"/>
        <v>1.7195150384705041E-2</v>
      </c>
    </row>
    <row r="24" spans="1:7" x14ac:dyDescent="0.3">
      <c r="A24" s="57" t="s">
        <v>109</v>
      </c>
      <c r="B24" s="57" t="s">
        <v>110</v>
      </c>
      <c r="C24" s="57" t="str">
        <f>'Haver Pivoted'!A23</f>
        <v>gf</v>
      </c>
      <c r="D24">
        <v>1566.9</v>
      </c>
      <c r="E24" s="57">
        <f>'Haver Pivoted'!HC23</f>
        <v>1578.2</v>
      </c>
      <c r="F24" s="57">
        <f t="shared" si="0"/>
        <v>11.299999999999955</v>
      </c>
      <c r="G24" s="65">
        <f t="shared" si="1"/>
        <v>7.2116918756780614E-3</v>
      </c>
    </row>
    <row r="25" spans="1:7" x14ac:dyDescent="0.3">
      <c r="A25" s="57" t="s">
        <v>109</v>
      </c>
      <c r="B25" s="57" t="s">
        <v>111</v>
      </c>
      <c r="C25" s="57" t="str">
        <f>'Haver Pivoted'!A24</f>
        <v>gs</v>
      </c>
      <c r="D25">
        <v>2632.6</v>
      </c>
      <c r="E25" s="57">
        <f>'Haver Pivoted'!HC24</f>
        <v>2717.7</v>
      </c>
      <c r="F25" s="57">
        <f t="shared" si="0"/>
        <v>85.099999999999909</v>
      </c>
      <c r="G25" s="65">
        <f t="shared" si="1"/>
        <v>3.2325457722403673E-2</v>
      </c>
    </row>
    <row r="26" spans="1:7" x14ac:dyDescent="0.3">
      <c r="B26" s="57" t="s">
        <v>112</v>
      </c>
      <c r="C26" s="57" t="str">
        <f>'Haver Pivoted'!A25</f>
        <v>gfh</v>
      </c>
      <c r="D26">
        <v>1301.0999999999999</v>
      </c>
      <c r="E26" s="57">
        <f>'Haver Pivoted'!HC25</f>
        <v>1290.7</v>
      </c>
      <c r="F26" s="57">
        <f t="shared" si="0"/>
        <v>-10.399999999999864</v>
      </c>
      <c r="G26" s="65">
        <f t="shared" si="1"/>
        <v>-7.9932364921988051E-3</v>
      </c>
    </row>
    <row r="27" spans="1:7" x14ac:dyDescent="0.3">
      <c r="B27" s="57" t="s">
        <v>113</v>
      </c>
      <c r="C27" s="57" t="str">
        <f>'Haver Pivoted'!A26</f>
        <v>gsh</v>
      </c>
      <c r="D27">
        <v>2031.7</v>
      </c>
      <c r="E27" s="57">
        <f>'Haver Pivoted'!HC26</f>
        <v>2025.7</v>
      </c>
      <c r="F27" s="57">
        <f t="shared" si="0"/>
        <v>-6</v>
      </c>
      <c r="G27" s="65">
        <f t="shared" si="1"/>
        <v>-2.9531919082541715E-3</v>
      </c>
    </row>
    <row r="28" spans="1:7" x14ac:dyDescent="0.3">
      <c r="A28" s="57" t="s">
        <v>58</v>
      </c>
      <c r="B28" s="57" t="s">
        <v>114</v>
      </c>
      <c r="C28" s="57" t="s">
        <v>115</v>
      </c>
      <c r="D28">
        <v>2405.9</v>
      </c>
      <c r="E28" s="57">
        <f>'Haver Pivoted'!HC27</f>
        <v>2439.6</v>
      </c>
      <c r="F28" s="57">
        <f t="shared" si="0"/>
        <v>33.699999999999818</v>
      </c>
      <c r="G28" s="65">
        <f t="shared" si="1"/>
        <v>1.4007232220790481E-2</v>
      </c>
    </row>
    <row r="29" spans="1:7" x14ac:dyDescent="0.3">
      <c r="A29" s="57" t="s">
        <v>58</v>
      </c>
      <c r="B29" s="57" t="s">
        <v>116</v>
      </c>
      <c r="C29" s="57" t="s">
        <v>117</v>
      </c>
      <c r="D29">
        <v>193.2</v>
      </c>
      <c r="E29" s="57">
        <f>'Haver Pivoted'!HC28</f>
        <v>199.9</v>
      </c>
      <c r="F29" s="57">
        <f t="shared" si="0"/>
        <v>6.7000000000000171</v>
      </c>
      <c r="G29" s="65">
        <f t="shared" si="1"/>
        <v>3.4679089026915202E-2</v>
      </c>
    </row>
    <row r="30" spans="1:7" x14ac:dyDescent="0.3">
      <c r="A30" s="57" t="s">
        <v>58</v>
      </c>
      <c r="B30" s="57" t="s">
        <v>118</v>
      </c>
      <c r="C30" s="57" t="s">
        <v>119</v>
      </c>
      <c r="D30">
        <v>280.8</v>
      </c>
      <c r="E30" s="57">
        <f>'Haver Pivoted'!HC29</f>
        <v>0</v>
      </c>
      <c r="F30" s="57">
        <f t="shared" si="0"/>
        <v>-280.8</v>
      </c>
      <c r="G30" s="65">
        <f t="shared" si="1"/>
        <v>-1</v>
      </c>
    </row>
    <row r="31" spans="1:7" x14ac:dyDescent="0.3">
      <c r="A31" s="57" t="s">
        <v>58</v>
      </c>
      <c r="B31" s="57" t="s">
        <v>120</v>
      </c>
      <c r="C31" s="57" t="s">
        <v>121</v>
      </c>
      <c r="D31">
        <v>1681.8</v>
      </c>
      <c r="E31" s="57">
        <f>'Haver Pivoted'!HC30</f>
        <v>1710.8</v>
      </c>
      <c r="F31" s="57">
        <f t="shared" si="0"/>
        <v>29</v>
      </c>
      <c r="G31" s="65">
        <f t="shared" si="1"/>
        <v>1.7243429658699013E-2</v>
      </c>
    </row>
    <row r="32" spans="1:7" x14ac:dyDescent="0.3">
      <c r="A32" s="57" t="s">
        <v>122</v>
      </c>
      <c r="B32" s="57" t="s">
        <v>123</v>
      </c>
      <c r="C32" s="57" t="str">
        <f>'Haver Pivoted'!A31</f>
        <v>gftfp</v>
      </c>
      <c r="D32">
        <v>2880.8</v>
      </c>
      <c r="E32" s="57">
        <f>'Haver Pivoted'!HC31</f>
        <v>2872</v>
      </c>
      <c r="F32" s="57">
        <f t="shared" si="0"/>
        <v>-8.8000000000001819</v>
      </c>
      <c r="G32" s="65">
        <f t="shared" si="1"/>
        <v>-3.0547070258262225E-3</v>
      </c>
    </row>
    <row r="33" spans="1:10" x14ac:dyDescent="0.3">
      <c r="A33" s="57" t="s">
        <v>51</v>
      </c>
      <c r="B33" s="56" t="s">
        <v>124</v>
      </c>
      <c r="C33" s="57" t="str">
        <f>'Haver Pivoted'!A32</f>
        <v>gfeg</v>
      </c>
      <c r="D33">
        <v>916.3</v>
      </c>
      <c r="E33" s="57">
        <f>'Haver Pivoted'!HC32</f>
        <v>936.8</v>
      </c>
      <c r="F33" s="57">
        <f t="shared" si="0"/>
        <v>20.5</v>
      </c>
      <c r="G33" s="65">
        <f t="shared" si="1"/>
        <v>2.2372585397795484E-2</v>
      </c>
    </row>
    <row r="34" spans="1:10" x14ac:dyDescent="0.3">
      <c r="A34" s="57" t="s">
        <v>58</v>
      </c>
      <c r="B34" s="57" t="s">
        <v>125</v>
      </c>
      <c r="C34" s="57" t="str">
        <f>'Haver Pivoted'!A33</f>
        <v>gsrpt</v>
      </c>
      <c r="D34">
        <v>655.1</v>
      </c>
      <c r="E34" s="57">
        <f>'Haver Pivoted'!HC33</f>
        <v>683.7</v>
      </c>
      <c r="F34" s="57">
        <f t="shared" si="0"/>
        <v>28.600000000000023</v>
      </c>
      <c r="G34" s="65">
        <f t="shared" si="1"/>
        <v>4.3657456876812731E-2</v>
      </c>
    </row>
    <row r="35" spans="1:10" x14ac:dyDescent="0.3">
      <c r="A35" s="57" t="s">
        <v>58</v>
      </c>
      <c r="B35" s="57" t="s">
        <v>126</v>
      </c>
      <c r="C35" s="57" t="str">
        <f>'Haver Pivoted'!A34</f>
        <v>gsrpri</v>
      </c>
      <c r="D35">
        <v>1545</v>
      </c>
      <c r="E35" s="57">
        <f>'Haver Pivoted'!HC34</f>
        <v>1569.7</v>
      </c>
      <c r="F35" s="57">
        <f t="shared" si="0"/>
        <v>24.700000000000045</v>
      </c>
      <c r="G35" s="65">
        <f t="shared" si="1"/>
        <v>1.5987055016181258E-2</v>
      </c>
    </row>
    <row r="36" spans="1:10" x14ac:dyDescent="0.3">
      <c r="A36" s="57" t="s">
        <v>58</v>
      </c>
      <c r="B36" s="57" t="s">
        <v>127</v>
      </c>
      <c r="C36" s="57" t="str">
        <f>'Haver Pivoted'!A35</f>
        <v>gsrcp</v>
      </c>
      <c r="D36">
        <v>175.6</v>
      </c>
      <c r="E36" s="57">
        <f>'Haver Pivoted'!HC35</f>
        <v>0</v>
      </c>
      <c r="F36" s="57">
        <f t="shared" si="0"/>
        <v>-175.6</v>
      </c>
      <c r="G36" s="65">
        <f t="shared" si="1"/>
        <v>-1</v>
      </c>
    </row>
    <row r="37" spans="1:10" x14ac:dyDescent="0.3">
      <c r="A37" s="57" t="s">
        <v>58</v>
      </c>
      <c r="B37" s="57" t="s">
        <v>128</v>
      </c>
      <c r="C37" s="57" t="str">
        <f>'Haver Pivoted'!A36</f>
        <v>gsrs</v>
      </c>
      <c r="D37">
        <v>22.9</v>
      </c>
      <c r="E37" s="57">
        <f>'Haver Pivoted'!HC36</f>
        <v>22.7</v>
      </c>
      <c r="F37" s="57">
        <f t="shared" si="0"/>
        <v>-0.19999999999999929</v>
      </c>
      <c r="G37" s="65">
        <f t="shared" si="1"/>
        <v>-8.7336244541484417E-3</v>
      </c>
    </row>
    <row r="38" spans="1:10" x14ac:dyDescent="0.3">
      <c r="A38" s="57" t="s">
        <v>57</v>
      </c>
      <c r="B38" s="57" t="s">
        <v>129</v>
      </c>
      <c r="C38" s="57" t="str">
        <f>'Haver Pivoted'!A37</f>
        <v>gstfp</v>
      </c>
      <c r="D38">
        <v>948.2</v>
      </c>
      <c r="E38" s="57">
        <f>'Haver Pivoted'!HC37</f>
        <v>962.9</v>
      </c>
      <c r="F38" s="57">
        <f t="shared" si="0"/>
        <v>14.699999999999932</v>
      </c>
      <c r="G38" s="65">
        <f t="shared" si="1"/>
        <v>1.5503058426492229E-2</v>
      </c>
    </row>
    <row r="39" spans="1:10" x14ac:dyDescent="0.3">
      <c r="B39" s="57" t="s">
        <v>130</v>
      </c>
      <c r="C39" s="57" t="str">
        <f>'Haver Pivoted'!A38</f>
        <v>gset</v>
      </c>
      <c r="D39">
        <v>3534</v>
      </c>
      <c r="E39" s="57">
        <f>'Haver Pivoted'!HC38</f>
        <v>3617.8</v>
      </c>
      <c r="F39" s="57">
        <f t="shared" si="0"/>
        <v>83.800000000000182</v>
      </c>
      <c r="G39" s="65">
        <f t="shared" si="1"/>
        <v>2.3712507074137006E-2</v>
      </c>
    </row>
    <row r="40" spans="1:10" x14ac:dyDescent="0.3">
      <c r="B40" s="57" t="s">
        <v>131</v>
      </c>
      <c r="C40" s="57" t="str">
        <f>'Haver Pivoted'!A39</f>
        <v>gfeghhx</v>
      </c>
      <c r="D40">
        <v>623.37099999999998</v>
      </c>
      <c r="E40" s="57">
        <f>'Haver Pivoted'!HC39</f>
        <v>619.45399999999995</v>
      </c>
      <c r="F40" s="57">
        <f t="shared" si="0"/>
        <v>-3.91700000000003</v>
      </c>
      <c r="G40" s="65">
        <f t="shared" si="1"/>
        <v>-6.2835775164388945E-3</v>
      </c>
    </row>
    <row r="41" spans="1:10" x14ac:dyDescent="0.3">
      <c r="A41" s="57" t="s">
        <v>132</v>
      </c>
      <c r="B41" s="57" t="s">
        <v>133</v>
      </c>
      <c r="C41" s="57" t="str">
        <f>'Haver Pivoted'!A40</f>
        <v>gfeghdx</v>
      </c>
      <c r="D41">
        <v>578.14700000000005</v>
      </c>
      <c r="E41" s="57">
        <f>'Haver Pivoted'!HC40</f>
        <v>576.01</v>
      </c>
      <c r="F41" s="57">
        <f t="shared" si="0"/>
        <v>-2.1370000000000573</v>
      </c>
      <c r="G41" s="65">
        <f t="shared" si="1"/>
        <v>-3.6962917735455813E-3</v>
      </c>
    </row>
    <row r="42" spans="1:10" x14ac:dyDescent="0.3">
      <c r="A42" s="57" t="s">
        <v>51</v>
      </c>
      <c r="B42" s="57" t="s">
        <v>134</v>
      </c>
      <c r="C42" s="57" t="str">
        <f>'Haver Pivoted'!A41</f>
        <v>gfeigx</v>
      </c>
      <c r="D42">
        <v>76.48</v>
      </c>
      <c r="E42" s="57">
        <f>'Haver Pivoted'!HC41</f>
        <v>440.35500000000002</v>
      </c>
      <c r="F42" s="57">
        <f t="shared" si="0"/>
        <v>363.875</v>
      </c>
      <c r="G42" s="65">
        <f t="shared" si="1"/>
        <v>4.7577798117154808</v>
      </c>
    </row>
    <row r="43" spans="1:10" x14ac:dyDescent="0.3">
      <c r="B43" s="57" t="s">
        <v>135</v>
      </c>
      <c r="C43" s="57" t="str">
        <f>'Haver Pivoted'!A42</f>
        <v>gfsub</v>
      </c>
      <c r="D43">
        <v>149.4</v>
      </c>
      <c r="E43" s="57">
        <f>'Haver Pivoted'!HC42</f>
        <v>157.69999999999999</v>
      </c>
      <c r="F43" s="57">
        <f t="shared" si="0"/>
        <v>8.2999999999999829</v>
      </c>
      <c r="G43" s="65">
        <f t="shared" si="1"/>
        <v>5.5555555555555441E-2</v>
      </c>
      <c r="I43" s="69"/>
      <c r="J43" s="66"/>
    </row>
    <row r="44" spans="1:10" x14ac:dyDescent="0.3">
      <c r="B44" s="57" t="s">
        <v>136</v>
      </c>
      <c r="C44" s="57" t="str">
        <f>'Haver Pivoted'!A43</f>
        <v>gssub</v>
      </c>
      <c r="D44">
        <v>0.7</v>
      </c>
      <c r="E44" s="57">
        <f>'Haver Pivoted'!HC43</f>
        <v>0.7</v>
      </c>
      <c r="F44" s="57">
        <f t="shared" si="0"/>
        <v>0</v>
      </c>
      <c r="G44" s="65">
        <f t="shared" si="1"/>
        <v>0</v>
      </c>
      <c r="I44" s="58"/>
      <c r="J44" s="66"/>
    </row>
    <row r="45" spans="1:10" x14ac:dyDescent="0.3">
      <c r="B45" s="57" t="s">
        <v>52</v>
      </c>
      <c r="C45" s="57" t="str">
        <f>'Haver Pivoted'!A44</f>
        <v>gsub</v>
      </c>
      <c r="D45">
        <v>150.1</v>
      </c>
      <c r="E45" s="57">
        <f>'Haver Pivoted'!HC44</f>
        <v>158.4</v>
      </c>
      <c r="F45" s="57">
        <f t="shared" si="0"/>
        <v>8.3000000000000114</v>
      </c>
      <c r="G45" s="65">
        <f t="shared" si="1"/>
        <v>5.5296469020652973E-2</v>
      </c>
      <c r="I45" s="58"/>
      <c r="J45" s="67"/>
    </row>
    <row r="46" spans="1:10" x14ac:dyDescent="0.3">
      <c r="A46" s="57" t="s">
        <v>56</v>
      </c>
      <c r="B46" s="57" t="s">
        <v>56</v>
      </c>
      <c r="C46" s="57" t="str">
        <f>'Haver Pivoted'!A45</f>
        <v>gftfpe</v>
      </c>
      <c r="D46">
        <v>0</v>
      </c>
      <c r="E46" s="57">
        <f>'Haver Pivoted'!HC45</f>
        <v>0</v>
      </c>
      <c r="F46" s="57">
        <f t="shared" si="0"/>
        <v>0</v>
      </c>
      <c r="G46" s="65" t="e">
        <f t="shared" si="1"/>
        <v>#DIV/0!</v>
      </c>
      <c r="I46" s="58"/>
      <c r="J46" s="67"/>
    </row>
    <row r="47" spans="1:10" x14ac:dyDescent="0.3">
      <c r="B47" s="57" t="s">
        <v>137</v>
      </c>
      <c r="C47" s="57" t="str">
        <f>'Haver Pivoted'!A46</f>
        <v>gftfpr</v>
      </c>
      <c r="D47">
        <v>14.8</v>
      </c>
      <c r="E47" s="57">
        <f>'Haver Pivoted'!HC46</f>
        <v>6.9</v>
      </c>
      <c r="F47" s="57">
        <f t="shared" si="0"/>
        <v>-7.9</v>
      </c>
      <c r="G47" s="65">
        <f t="shared" si="1"/>
        <v>-0.53378378378378377</v>
      </c>
      <c r="I47" s="58"/>
      <c r="J47" s="67"/>
    </row>
    <row r="48" spans="1:10" x14ac:dyDescent="0.3">
      <c r="A48" s="57" t="s">
        <v>50</v>
      </c>
      <c r="B48" s="57" t="s">
        <v>138</v>
      </c>
      <c r="C48" s="57" t="str">
        <f>'Haver Pivoted'!A47</f>
        <v>gftfpp</v>
      </c>
      <c r="D48">
        <v>0</v>
      </c>
      <c r="E48" s="57">
        <f>'Haver Pivoted'!HC47</f>
        <v>0</v>
      </c>
      <c r="F48" s="57">
        <f t="shared" si="0"/>
        <v>0</v>
      </c>
      <c r="G48" s="65" t="e">
        <f t="shared" si="1"/>
        <v>#DIV/0!</v>
      </c>
      <c r="J48" s="67"/>
    </row>
    <row r="49" spans="1:9" x14ac:dyDescent="0.3">
      <c r="A49" s="57" t="s">
        <v>49</v>
      </c>
      <c r="B49" s="57" t="s">
        <v>139</v>
      </c>
      <c r="C49" s="57" t="str">
        <f>'Haver Pivoted'!A48</f>
        <v>gftfpv</v>
      </c>
      <c r="D49">
        <v>53.7</v>
      </c>
      <c r="E49" s="57">
        <f>'Haver Pivoted'!HC48</f>
        <v>44.2</v>
      </c>
      <c r="F49" s="57">
        <f t="shared" si="0"/>
        <v>-9.5</v>
      </c>
      <c r="G49" s="65">
        <f t="shared" si="1"/>
        <v>-0.17690875232774672</v>
      </c>
      <c r="H49" s="59"/>
      <c r="I49" s="59"/>
    </row>
    <row r="50" spans="1:9" x14ac:dyDescent="0.3">
      <c r="A50" s="57" t="s">
        <v>140</v>
      </c>
      <c r="B50" s="54" t="s">
        <v>141</v>
      </c>
      <c r="C50" s="57" t="str">
        <f>'Haver Pivoted'!A49</f>
        <v>gfsubp</v>
      </c>
      <c r="D50">
        <v>0</v>
      </c>
      <c r="E50" s="57">
        <f>'Haver Pivoted'!HC49</f>
        <v>0</v>
      </c>
      <c r="F50" s="57">
        <f t="shared" si="0"/>
        <v>0</v>
      </c>
      <c r="G50" s="65" t="e">
        <f t="shared" si="1"/>
        <v>#DIV/0!</v>
      </c>
      <c r="H50" s="72"/>
      <c r="I50" s="73"/>
    </row>
    <row r="51" spans="1:9" x14ac:dyDescent="0.3">
      <c r="A51" s="57" t="s">
        <v>52</v>
      </c>
      <c r="B51" s="54" t="s">
        <v>142</v>
      </c>
      <c r="C51" s="57" t="str">
        <f>'Haver Pivoted'!A50</f>
        <v>gfsubg</v>
      </c>
      <c r="D51">
        <v>0.3</v>
      </c>
      <c r="E51" s="57">
        <f>'Haver Pivoted'!HC50</f>
        <v>0.2</v>
      </c>
      <c r="F51" s="57">
        <f t="shared" si="0"/>
        <v>-9.9999999999999978E-2</v>
      </c>
      <c r="G51" s="65">
        <f t="shared" si="1"/>
        <v>-0.33333333333333326</v>
      </c>
      <c r="H51" s="71"/>
      <c r="I51" s="70"/>
    </row>
    <row r="52" spans="1:9" x14ac:dyDescent="0.3">
      <c r="A52" s="57" t="s">
        <v>52</v>
      </c>
      <c r="B52" s="54" t="s">
        <v>143</v>
      </c>
      <c r="C52" s="57" t="str">
        <f>'Haver Pivoted'!A51</f>
        <v>gfsube</v>
      </c>
      <c r="D52">
        <v>0</v>
      </c>
      <c r="E52" s="57">
        <f>'Haver Pivoted'!HC51</f>
        <v>0</v>
      </c>
      <c r="F52" s="57">
        <f t="shared" si="0"/>
        <v>0</v>
      </c>
      <c r="G52" s="65" t="e">
        <f t="shared" si="1"/>
        <v>#DIV/0!</v>
      </c>
      <c r="H52" s="53"/>
      <c r="I52" s="73"/>
    </row>
    <row r="53" spans="1:9" x14ac:dyDescent="0.3">
      <c r="A53" s="57" t="s">
        <v>52</v>
      </c>
      <c r="B53" s="54" t="s">
        <v>144</v>
      </c>
      <c r="C53" s="57" t="str">
        <f>'Haver Pivoted'!A52</f>
        <v>gfsubs</v>
      </c>
      <c r="D53">
        <v>18.600000000000001</v>
      </c>
      <c r="E53" s="57">
        <f>'Haver Pivoted'!HC52</f>
        <v>19</v>
      </c>
      <c r="F53" s="57">
        <f t="shared" si="0"/>
        <v>0.39999999999999858</v>
      </c>
      <c r="G53" s="65">
        <f t="shared" si="1"/>
        <v>2.1505376344085943E-2</v>
      </c>
      <c r="H53" s="53"/>
      <c r="I53" s="73"/>
    </row>
    <row r="54" spans="1:9" x14ac:dyDescent="0.3">
      <c r="A54" s="57" t="s">
        <v>52</v>
      </c>
      <c r="B54" s="54" t="s">
        <v>145</v>
      </c>
      <c r="C54" s="57" t="str">
        <f>'Haver Pivoted'!A53</f>
        <v>gfsubf</v>
      </c>
      <c r="D54">
        <v>0.6</v>
      </c>
      <c r="E54" s="57">
        <f>'Haver Pivoted'!HC53</f>
        <v>0</v>
      </c>
      <c r="F54" s="57">
        <f t="shared" si="0"/>
        <v>-0.6</v>
      </c>
      <c r="G54" s="65">
        <f t="shared" si="1"/>
        <v>-1</v>
      </c>
      <c r="H54" s="72"/>
      <c r="I54" s="73"/>
    </row>
    <row r="55" spans="1:9" x14ac:dyDescent="0.3">
      <c r="A55" s="57" t="s">
        <v>146</v>
      </c>
      <c r="B55" s="54" t="s">
        <v>147</v>
      </c>
      <c r="C55" s="57" t="str">
        <f>'Haver Pivoted'!A54</f>
        <v>gfsubv</v>
      </c>
      <c r="D55">
        <v>32.200000000000003</v>
      </c>
      <c r="E55" s="57">
        <f>'Haver Pivoted'!HC54</f>
        <v>26</v>
      </c>
      <c r="F55" s="57">
        <f t="shared" si="0"/>
        <v>-6.2000000000000028</v>
      </c>
      <c r="G55" s="65">
        <f t="shared" si="1"/>
        <v>-0.19254658385093174</v>
      </c>
    </row>
    <row r="56" spans="1:9" x14ac:dyDescent="0.3">
      <c r="A56" s="57" t="s">
        <v>52</v>
      </c>
      <c r="B56" s="54" t="s">
        <v>148</v>
      </c>
      <c r="C56" s="57" t="str">
        <f>'Haver Pivoted'!A55</f>
        <v>gfsubk</v>
      </c>
      <c r="D56">
        <v>0</v>
      </c>
      <c r="E56" s="57">
        <f>'Haver Pivoted'!HC55</f>
        <v>0</v>
      </c>
      <c r="F56" s="57">
        <f t="shared" si="0"/>
        <v>0</v>
      </c>
      <c r="G56" s="65" t="e">
        <f t="shared" si="1"/>
        <v>#DIV/0!</v>
      </c>
      <c r="H56" s="72"/>
      <c r="I56" s="73"/>
    </row>
    <row r="57" spans="1:9" x14ac:dyDescent="0.3">
      <c r="A57" s="57" t="s">
        <v>51</v>
      </c>
      <c r="B57" s="56" t="s">
        <v>149</v>
      </c>
      <c r="C57" s="57" t="str">
        <f>'Haver Pivoted'!A56</f>
        <v>gfegc</v>
      </c>
      <c r="D57">
        <v>0.6</v>
      </c>
      <c r="E57" s="57">
        <f>'Haver Pivoted'!HC56</f>
        <v>0</v>
      </c>
      <c r="F57" s="57">
        <f t="shared" si="0"/>
        <v>-0.6</v>
      </c>
      <c r="G57" s="65"/>
      <c r="H57" s="72"/>
      <c r="I57" s="73"/>
    </row>
    <row r="58" spans="1:9" x14ac:dyDescent="0.3">
      <c r="A58" s="57" t="s">
        <v>51</v>
      </c>
      <c r="B58" s="56" t="s">
        <v>150</v>
      </c>
      <c r="C58" s="57" t="str">
        <f>'Haver Pivoted'!A57</f>
        <v>gfege</v>
      </c>
      <c r="D58">
        <v>72.400000000000006</v>
      </c>
      <c r="E58" s="57">
        <f>'Haver Pivoted'!HC57</f>
        <v>85.9</v>
      </c>
      <c r="F58" s="57">
        <f t="shared" si="0"/>
        <v>13.5</v>
      </c>
      <c r="G58" s="65">
        <f t="shared" si="1"/>
        <v>0.18646408839779005</v>
      </c>
      <c r="H58" s="72"/>
      <c r="I58" s="73"/>
    </row>
    <row r="59" spans="1:9" x14ac:dyDescent="0.3">
      <c r="A59" s="57" t="s">
        <v>151</v>
      </c>
      <c r="B59" s="56" t="s">
        <v>152</v>
      </c>
      <c r="C59" s="57" t="str">
        <f>'Haver Pivoted'!A58</f>
        <v>gfegv</v>
      </c>
      <c r="D59">
        <v>21.5</v>
      </c>
      <c r="E59" s="57">
        <f>'Haver Pivoted'!HC58</f>
        <v>17.600000000000001</v>
      </c>
      <c r="F59" s="57">
        <f t="shared" si="0"/>
        <v>-3.8999999999999986</v>
      </c>
      <c r="G59" s="65">
        <f t="shared" si="1"/>
        <v>-0.18139534883720923</v>
      </c>
    </row>
    <row r="60" spans="1:9" x14ac:dyDescent="0.3">
      <c r="A60" s="57" t="s">
        <v>53</v>
      </c>
      <c r="B60" s="57" t="s">
        <v>153</v>
      </c>
      <c r="C60" s="57" t="str">
        <f>'Haver Pivoted'!A59</f>
        <v>yptue</v>
      </c>
      <c r="D60">
        <v>1</v>
      </c>
      <c r="E60" s="57">
        <f>'Haver Pivoted'!HC59</f>
        <v>0.7</v>
      </c>
      <c r="F60" s="57">
        <f t="shared" si="0"/>
        <v>-0.30000000000000004</v>
      </c>
      <c r="G60" s="65">
        <f t="shared" si="1"/>
        <v>-0.30000000000000004</v>
      </c>
    </row>
    <row r="61" spans="1:9" x14ac:dyDescent="0.3">
      <c r="A61" s="57" t="s">
        <v>53</v>
      </c>
      <c r="B61" s="57" t="s">
        <v>154</v>
      </c>
      <c r="C61" s="57" t="str">
        <f>'Haver Pivoted'!A60</f>
        <v>yptup</v>
      </c>
      <c r="D61">
        <v>0.9</v>
      </c>
      <c r="E61" s="57">
        <f>'Haver Pivoted'!HC60</f>
        <v>0.5</v>
      </c>
      <c r="F61" s="57">
        <f t="shared" si="0"/>
        <v>-0.4</v>
      </c>
      <c r="G61" s="65">
        <f t="shared" si="1"/>
        <v>-0.44444444444444448</v>
      </c>
    </row>
    <row r="62" spans="1:9" x14ac:dyDescent="0.3">
      <c r="A62" s="57" t="s">
        <v>53</v>
      </c>
      <c r="B62" s="57" t="s">
        <v>155</v>
      </c>
      <c r="C62" s="57" t="str">
        <f>'Haver Pivoted'!A61</f>
        <v>yptuc</v>
      </c>
      <c r="D62">
        <v>0</v>
      </c>
      <c r="E62" s="57">
        <f>'Haver Pivoted'!HC61</f>
        <v>0</v>
      </c>
      <c r="F62" s="57">
        <f t="shared" si="0"/>
        <v>0</v>
      </c>
      <c r="G62" s="65" t="e">
        <f t="shared" si="1"/>
        <v>#DIV/0!</v>
      </c>
    </row>
    <row r="63" spans="1:9" x14ac:dyDescent="0.3">
      <c r="B63" s="57" t="s">
        <v>156</v>
      </c>
      <c r="C63" s="57" t="str">
        <f>'Haver Pivoted'!A62</f>
        <v>gftfpu</v>
      </c>
      <c r="D63">
        <v>2.6</v>
      </c>
      <c r="E63" s="57">
        <f>'Haver Pivoted'!HC62</f>
        <v>1.7</v>
      </c>
      <c r="F63" s="57">
        <f t="shared" si="0"/>
        <v>-0.90000000000000013</v>
      </c>
      <c r="G63" s="65">
        <f t="shared" si="1"/>
        <v>-0.3461538461538462</v>
      </c>
      <c r="H63" s="56"/>
      <c r="I63" s="56"/>
    </row>
    <row r="64" spans="1:9" x14ac:dyDescent="0.3">
      <c r="A64" s="57" t="s">
        <v>53</v>
      </c>
      <c r="B64" s="60" t="s">
        <v>157</v>
      </c>
      <c r="C64" s="57" t="str">
        <f>'Haver Pivoted'!A63</f>
        <v>yptub</v>
      </c>
      <c r="D64">
        <v>0.7</v>
      </c>
      <c r="E64" s="57">
        <f>'Haver Pivoted'!HC63</f>
        <v>0.5</v>
      </c>
      <c r="F64" s="57">
        <f t="shared" si="0"/>
        <v>-0.19999999999999996</v>
      </c>
      <c r="G64" s="65">
        <f t="shared" si="1"/>
        <v>-0.28571428571428564</v>
      </c>
      <c r="H64" s="56"/>
      <c r="I64" s="56"/>
    </row>
    <row r="65" spans="1:9" x14ac:dyDescent="0.3">
      <c r="A65" s="57" t="s">
        <v>53</v>
      </c>
      <c r="B65" s="57" t="s">
        <v>158</v>
      </c>
      <c r="C65" s="57" t="str">
        <f>'Haver Pivoted'!A64</f>
        <v>yptol</v>
      </c>
      <c r="D65">
        <v>0</v>
      </c>
      <c r="E65" s="57">
        <f>'Haver Pivoted'!HC64</f>
        <v>0</v>
      </c>
      <c r="F65" s="57">
        <f t="shared" si="0"/>
        <v>0</v>
      </c>
      <c r="G65" s="65" t="e">
        <f t="shared" si="1"/>
        <v>#DIV/0!</v>
      </c>
      <c r="H65" s="56"/>
      <c r="I65" s="56"/>
    </row>
    <row r="66" spans="1:9" x14ac:dyDescent="0.3">
      <c r="B66" s="57" t="s">
        <v>159</v>
      </c>
      <c r="C66" s="57" t="str">
        <f>'Haver Pivoted'!A65</f>
        <v>gfctp</v>
      </c>
      <c r="D66">
        <v>93.7</v>
      </c>
      <c r="E66" s="57">
        <f>'Haver Pivoted'!HC65</f>
        <v>464.8</v>
      </c>
      <c r="F66" s="57">
        <f t="shared" si="0"/>
        <v>371.1</v>
      </c>
      <c r="G66" s="65">
        <f t="shared" si="1"/>
        <v>3.9605122732123799</v>
      </c>
      <c r="H66" s="61"/>
      <c r="I66" s="61"/>
    </row>
    <row r="67" spans="1:9" x14ac:dyDescent="0.3">
      <c r="A67" s="57" t="s">
        <v>57</v>
      </c>
      <c r="B67" s="55" t="s">
        <v>160</v>
      </c>
      <c r="C67" s="57" t="str">
        <f>'Haver Pivoted'!A66</f>
        <v>gftffx</v>
      </c>
      <c r="D67">
        <v>135.12899999999999</v>
      </c>
      <c r="E67" s="57">
        <f>'Haver Pivoted'!HC66</f>
        <v>127.4</v>
      </c>
      <c r="F67" s="57">
        <f t="shared" si="0"/>
        <v>-7.728999999999985</v>
      </c>
      <c r="G67" s="65">
        <f t="shared" si="1"/>
        <v>-5.7197196752732465E-2</v>
      </c>
      <c r="H67" s="61"/>
      <c r="I67" s="61"/>
    </row>
    <row r="68" spans="1:9" x14ac:dyDescent="0.3">
      <c r="B68" s="57" t="s">
        <v>161</v>
      </c>
      <c r="C68" s="57" t="str">
        <f>'Haver Pivoted'!A67</f>
        <v>cpiu</v>
      </c>
      <c r="D68">
        <v>284.607666666667</v>
      </c>
      <c r="E68" s="57">
        <f>'Haver Pivoted'!HC67</f>
        <v>291.821666666667</v>
      </c>
      <c r="F68" s="57">
        <f t="shared" ref="F68:F81" si="2">E68-D68</f>
        <v>7.2139999999999986</v>
      </c>
      <c r="G68" s="65">
        <f t="shared" ref="G68:G81" si="3">F68/D68</f>
        <v>2.5347173828767753E-2</v>
      </c>
      <c r="H68" s="61"/>
      <c r="I68" s="61"/>
    </row>
    <row r="69" spans="1:9" x14ac:dyDescent="0.3">
      <c r="C69" s="57" t="str">
        <f>'Haver Pivoted'!A68</f>
        <v>pcw</v>
      </c>
      <c r="D69">
        <v>280.10300000000001</v>
      </c>
      <c r="E69" s="57">
        <f>'Haver Pivoted'!HC68</f>
        <v>287.47933333333299</v>
      </c>
      <c r="F69" s="57">
        <f t="shared" si="2"/>
        <v>7.3763333333329797</v>
      </c>
      <c r="G69" s="65">
        <f t="shared" si="3"/>
        <v>2.6334360336494E-2</v>
      </c>
    </row>
    <row r="70" spans="1:9" x14ac:dyDescent="0.3">
      <c r="B70" s="57" t="s">
        <v>162</v>
      </c>
      <c r="C70" s="57" t="str">
        <f>'Haver Pivoted'!A69</f>
        <v>gdppothq</v>
      </c>
      <c r="D70">
        <v>20005.5</v>
      </c>
      <c r="E70" s="57">
        <f>'Haver Pivoted'!HC69</f>
        <v>20101.2</v>
      </c>
      <c r="F70" s="57">
        <f t="shared" si="2"/>
        <v>95.700000000000728</v>
      </c>
      <c r="G70" s="65">
        <f t="shared" si="3"/>
        <v>4.7836844867661758E-3</v>
      </c>
    </row>
    <row r="71" spans="1:9" x14ac:dyDescent="0.3">
      <c r="B71" s="57" t="s">
        <v>163</v>
      </c>
      <c r="C71" s="57" t="str">
        <f>'Haver Pivoted'!A70</f>
        <v>gdppotq</v>
      </c>
      <c r="D71">
        <v>24577</v>
      </c>
      <c r="E71" s="57">
        <f>'Haver Pivoted'!HC70</f>
        <v>24971.1</v>
      </c>
      <c r="F71" s="57">
        <f t="shared" si="2"/>
        <v>394.09999999999854</v>
      </c>
      <c r="G71" s="65">
        <f t="shared" si="3"/>
        <v>1.6035317573340868E-2</v>
      </c>
    </row>
    <row r="72" spans="1:9" x14ac:dyDescent="0.3">
      <c r="B72" s="57" t="s">
        <v>164</v>
      </c>
      <c r="C72" s="57" t="str">
        <f>'Haver Pivoted'!A71</f>
        <v>recessq</v>
      </c>
      <c r="D72">
        <v>-1</v>
      </c>
      <c r="E72" s="57">
        <f>'Haver Pivoted'!HC71</f>
        <v>-1</v>
      </c>
      <c r="F72" s="57">
        <f t="shared" si="2"/>
        <v>0</v>
      </c>
      <c r="G72" s="65">
        <f t="shared" si="3"/>
        <v>0</v>
      </c>
    </row>
    <row r="73" spans="1:9" x14ac:dyDescent="0.3">
      <c r="A73" s="57" t="s">
        <v>165</v>
      </c>
      <c r="B73" s="57" t="s">
        <v>166</v>
      </c>
      <c r="C73" s="57" t="str">
        <f>'Haver Pivoted'!A72</f>
        <v>lasgova</v>
      </c>
      <c r="D73">
        <v>5214.6666666666697</v>
      </c>
      <c r="E73" s="57">
        <f>'Haver Pivoted'!HC72</f>
        <v>5241.6666666666697</v>
      </c>
      <c r="F73" s="57">
        <f t="shared" si="2"/>
        <v>27</v>
      </c>
      <c r="G73" s="65">
        <f t="shared" si="3"/>
        <v>5.177703912042953E-3</v>
      </c>
    </row>
    <row r="74" spans="1:9" x14ac:dyDescent="0.3">
      <c r="A74" s="57" t="s">
        <v>165</v>
      </c>
      <c r="B74" s="57" t="s">
        <v>167</v>
      </c>
      <c r="C74" s="57" t="str">
        <f>'Haver Pivoted'!A73</f>
        <v>lalgova</v>
      </c>
      <c r="D74">
        <v>14071.666666666701</v>
      </c>
      <c r="E74" s="57">
        <f>'Haver Pivoted'!HC73</f>
        <v>14101.333333333299</v>
      </c>
      <c r="F74" s="57">
        <f t="shared" si="2"/>
        <v>29.666666666598758</v>
      </c>
      <c r="G74" s="65">
        <f t="shared" si="3"/>
        <v>2.1082553594645517E-3</v>
      </c>
    </row>
    <row r="75" spans="1:9" x14ac:dyDescent="0.3">
      <c r="A75" s="57" t="s">
        <v>165</v>
      </c>
      <c r="B75" s="57" t="s">
        <v>168</v>
      </c>
      <c r="C75" s="57" t="str">
        <f>'Haver Pivoted'!A74</f>
        <v>cpgs</v>
      </c>
      <c r="D75" s="57">
        <v>324567.66666666698</v>
      </c>
      <c r="E75" s="57">
        <f>'Haver Pivoted'!HC74</f>
        <v>0</v>
      </c>
      <c r="F75" s="57">
        <f t="shared" si="2"/>
        <v>-324567.66666666698</v>
      </c>
      <c r="G75" s="65">
        <f t="shared" si="3"/>
        <v>-1</v>
      </c>
    </row>
    <row r="76" spans="1:9" x14ac:dyDescent="0.3">
      <c r="B76" s="57" t="s">
        <v>169</v>
      </c>
      <c r="C76" s="57" t="str">
        <f>'Haver Pivoted'!A75</f>
        <v>jgdp_growth</v>
      </c>
      <c r="D76" s="57">
        <v>1.9895987010739101E-2</v>
      </c>
      <c r="E76" s="57">
        <f>'Haver Pivoted'!HC75</f>
        <v>2.1188734898379701E-2</v>
      </c>
      <c r="F76" s="52">
        <f t="shared" si="2"/>
        <v>1.2927478876406003E-3</v>
      </c>
      <c r="G76" s="65">
        <f t="shared" si="3"/>
        <v>6.4975308183646469E-2</v>
      </c>
    </row>
    <row r="77" spans="1:9" x14ac:dyDescent="0.3">
      <c r="B77" s="57" t="s">
        <v>170</v>
      </c>
      <c r="C77" s="57" t="str">
        <f>'Haver Pivoted'!A76</f>
        <v>jc_growth</v>
      </c>
      <c r="D77" s="57">
        <v>1.7200057587588101E-2</v>
      </c>
      <c r="E77" s="57">
        <f>'Haver Pivoted'!HC76</f>
        <v>1.7192287198614799E-2</v>
      </c>
      <c r="F77" s="52">
        <f t="shared" si="2"/>
        <v>-7.770388973302178E-6</v>
      </c>
      <c r="G77" s="65">
        <f t="shared" si="3"/>
        <v>-4.5176528821097919E-4</v>
      </c>
    </row>
    <row r="78" spans="1:9" x14ac:dyDescent="0.3">
      <c r="B78" s="57" t="s">
        <v>171</v>
      </c>
      <c r="C78" s="57" t="str">
        <f>'Haver Pivoted'!A77</f>
        <v>jgf_growth</v>
      </c>
      <c r="D78" s="57">
        <v>1.8340788594718702E-2</v>
      </c>
      <c r="E78" s="57">
        <f>'Haver Pivoted'!HC77</f>
        <v>1.5336710122062501E-2</v>
      </c>
      <c r="F78" s="52">
        <f t="shared" si="2"/>
        <v>-3.0040784726562009E-3</v>
      </c>
      <c r="G78" s="65">
        <f t="shared" si="3"/>
        <v>-0.16379221957343953</v>
      </c>
    </row>
    <row r="79" spans="1:9" x14ac:dyDescent="0.3">
      <c r="B79" s="57" t="s">
        <v>172</v>
      </c>
      <c r="C79" s="57" t="str">
        <f>'Haver Pivoted'!A78</f>
        <v>jgs_growth</v>
      </c>
      <c r="D79" s="57">
        <v>2.6856540585946699E-2</v>
      </c>
      <c r="E79" s="57">
        <f>'Haver Pivoted'!HC78</f>
        <v>3.53532235410332E-2</v>
      </c>
      <c r="F79" s="52">
        <f t="shared" si="2"/>
        <v>8.4966829550865014E-3</v>
      </c>
      <c r="G79" s="65">
        <f t="shared" si="3"/>
        <v>0.31637294937131949</v>
      </c>
    </row>
    <row r="80" spans="1:9" x14ac:dyDescent="0.3">
      <c r="B80" s="57" t="s">
        <v>173</v>
      </c>
      <c r="C80" s="57" t="str">
        <f>'Haver Pivoted'!A79</f>
        <v>jgse_growth</v>
      </c>
      <c r="D80" s="57">
        <v>2.6155021000381799E-2</v>
      </c>
      <c r="E80" s="57">
        <f>'Haver Pivoted'!HC79</f>
        <v>3.5821705426356799E-2</v>
      </c>
      <c r="F80" s="52">
        <f t="shared" si="2"/>
        <v>9.6666844259750001E-3</v>
      </c>
      <c r="G80" s="65">
        <f t="shared" si="3"/>
        <v>0.36959191987778905</v>
      </c>
    </row>
    <row r="81" spans="2:7" x14ac:dyDescent="0.3">
      <c r="B81" s="57" t="s">
        <v>174</v>
      </c>
      <c r="C81" s="57" t="str">
        <f>'Haver Pivoted'!A80</f>
        <v>jgsi_growth</v>
      </c>
      <c r="D81" s="57">
        <v>3.0222111499505398E-2</v>
      </c>
      <c r="E81" s="57">
        <f>'Haver Pivoted'!HC80</f>
        <v>3.3008138682546297E-2</v>
      </c>
      <c r="F81" s="52">
        <f t="shared" si="2"/>
        <v>2.7860271830408984E-3</v>
      </c>
      <c r="G81" s="65">
        <f t="shared" si="3"/>
        <v>9.2185060699233184E-2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zoomScale="84" zoomScaleNormal="133" workbookViewId="0">
      <selection activeCell="B69" sqref="B69"/>
    </sheetView>
  </sheetViews>
  <sheetFormatPr defaultColWidth="11.5546875" defaultRowHeight="14.4" x14ac:dyDescent="0.3"/>
  <cols>
    <col min="2" max="2" width="26.44140625" customWidth="1"/>
    <col min="3" max="3" width="20.109375" customWidth="1"/>
    <col min="4" max="12" width="9.44140625" customWidth="1"/>
  </cols>
  <sheetData>
    <row r="2" spans="2:15" x14ac:dyDescent="0.3">
      <c r="B2" s="934" t="s">
        <v>1027</v>
      </c>
      <c r="C2" s="934"/>
      <c r="D2" s="934"/>
      <c r="E2" s="934"/>
      <c r="F2" s="934"/>
      <c r="G2" s="934"/>
      <c r="H2" s="934"/>
      <c r="I2" s="934"/>
      <c r="J2" s="934"/>
      <c r="K2" s="934"/>
      <c r="L2" s="934"/>
      <c r="M2" s="934"/>
      <c r="N2" s="934"/>
      <c r="O2" s="934"/>
    </row>
    <row r="3" spans="2:15" x14ac:dyDescent="0.3">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
      <c r="B4" t="str">
        <f>forecast!A2</f>
        <v>Consumption Grants</v>
      </c>
      <c r="C4" t="str">
        <f>forecast!B2</f>
        <v>consumption_grants</v>
      </c>
      <c r="D4" s="74">
        <f>forecast!C2</f>
        <v>495.46903199999991</v>
      </c>
      <c r="E4" s="74">
        <f>forecast!D2</f>
        <v>460.58742212404701</v>
      </c>
      <c r="F4" s="74">
        <f>forecast!E2</f>
        <v>460.97907392966141</v>
      </c>
      <c r="G4" s="74">
        <f>forecast!F2</f>
        <v>455.74955330501928</v>
      </c>
      <c r="H4" s="74">
        <f>forecast!G2</f>
        <v>460.16807066666655</v>
      </c>
      <c r="I4" s="74">
        <f>forecast!H2</f>
        <v>459.11472744600201</v>
      </c>
      <c r="J4" s="74">
        <f>forecast!I2</f>
        <v>458.30143968684786</v>
      </c>
      <c r="K4" s="74">
        <f>forecast!J2</f>
        <v>447.01374106922003</v>
      </c>
      <c r="L4" s="74">
        <f>forecast!K2</f>
        <v>427.27515273333313</v>
      </c>
      <c r="M4" s="74">
        <f>forecast!L2</f>
        <v>431.85988430384208</v>
      </c>
      <c r="N4" s="74">
        <f>forecast!M2</f>
        <v>435.66674361432172</v>
      </c>
      <c r="O4" s="74">
        <f>forecast!N2</f>
        <v>418.96289123198869</v>
      </c>
    </row>
    <row r="5" spans="2:15" x14ac:dyDescent="0.3">
      <c r="B5" t="str">
        <f>forecast!A3</f>
        <v>Investment Grants</v>
      </c>
      <c r="C5" t="str">
        <f>forecast!B3</f>
        <v>investment_grants</v>
      </c>
      <c r="D5" s="74">
        <f>forecast!C3</f>
        <v>75.34842857142857</v>
      </c>
      <c r="E5" s="74">
        <f>forecast!D3</f>
        <v>75.34842857142857</v>
      </c>
      <c r="F5" s="74">
        <f>forecast!E3</f>
        <v>75.34842857142857</v>
      </c>
      <c r="G5" s="74">
        <f>forecast!F3</f>
        <v>75.34842857142857</v>
      </c>
      <c r="H5" s="74">
        <f>forecast!G3</f>
        <v>75.34842857142857</v>
      </c>
      <c r="I5" s="74">
        <f>forecast!H3</f>
        <v>75.34842857142857</v>
      </c>
      <c r="J5" s="74">
        <f>forecast!I3</f>
        <v>75.34842857142857</v>
      </c>
      <c r="K5" s="74">
        <f>forecast!J3</f>
        <v>75.34842857142857</v>
      </c>
      <c r="L5" s="74">
        <f>forecast!K3</f>
        <v>75.34842857142857</v>
      </c>
      <c r="M5" s="74">
        <f>forecast!L3</f>
        <v>75.34842857142857</v>
      </c>
      <c r="N5" s="74">
        <f>forecast!M3</f>
        <v>75.34842857142857</v>
      </c>
      <c r="O5" s="74">
        <f>forecast!N3</f>
        <v>75.34842857142857</v>
      </c>
    </row>
    <row r="6" spans="2:15" x14ac:dyDescent="0.3">
      <c r="B6" t="str">
        <f>forecast!A4</f>
        <v>Federal Purchases (NIPA Consistent)</v>
      </c>
      <c r="C6" t="str">
        <f>forecast!B4</f>
        <v>federal_purchases</v>
      </c>
      <c r="D6" s="74">
        <f>forecast!C4</f>
        <v>1578.2</v>
      </c>
      <c r="E6" s="74">
        <f>forecast!D4</f>
        <v>1607.9</v>
      </c>
      <c r="F6" s="74">
        <f>forecast!E4</f>
        <v>1622.9</v>
      </c>
      <c r="G6" s="74">
        <f>forecast!F4</f>
        <v>1639</v>
      </c>
      <c r="H6" s="74">
        <f>forecast!G4</f>
        <v>1653.9</v>
      </c>
      <c r="I6" s="74">
        <f>forecast!H4</f>
        <v>1667.4</v>
      </c>
      <c r="J6" s="74">
        <f>forecast!I4</f>
        <v>1679.6</v>
      </c>
      <c r="K6" s="74">
        <f>forecast!J4</f>
        <v>1693.3</v>
      </c>
      <c r="L6" s="74">
        <f>forecast!K4</f>
        <v>1706.4</v>
      </c>
      <c r="M6" s="74">
        <f>forecast!L4</f>
        <v>1719.6</v>
      </c>
      <c r="N6" s="74">
        <f>forecast!M4</f>
        <v>1732.8</v>
      </c>
      <c r="O6" s="74">
        <f>forecast!N4</f>
        <v>1743.7</v>
      </c>
    </row>
    <row r="7" spans="2:15" x14ac:dyDescent="0.3">
      <c r="B7" t="str">
        <f>forecast!A5</f>
        <v>State Purchases (NIPA Consistent)</v>
      </c>
      <c r="C7" t="str">
        <f>forecast!B5</f>
        <v>state_purchases</v>
      </c>
      <c r="D7" s="74">
        <f>forecast!C5</f>
        <v>2717.7</v>
      </c>
      <c r="E7" s="74">
        <f>forecast!D5</f>
        <v>2745.4171186957183</v>
      </c>
      <c r="F7" s="74">
        <f>forecast!E5</f>
        <v>2783.8250799939051</v>
      </c>
      <c r="G7" s="74">
        <f>forecast!F5</f>
        <v>2817.8206384275486</v>
      </c>
      <c r="H7" s="74">
        <f>forecast!G5</f>
        <v>2847.2032302300777</v>
      </c>
      <c r="I7" s="74">
        <f>forecast!H5</f>
        <v>2873.7779293006247</v>
      </c>
      <c r="J7" s="74">
        <f>forecast!I5</f>
        <v>2899.4500914216064</v>
      </c>
      <c r="K7" s="74">
        <f>forecast!J5</f>
        <v>2924.6208441261624</v>
      </c>
      <c r="L7" s="74">
        <f>forecast!K5</f>
        <v>2949.6913149474326</v>
      </c>
      <c r="M7" s="74">
        <f>forecast!L5</f>
        <v>2975.4637589516992</v>
      </c>
      <c r="N7" s="74">
        <f>forecast!M5</f>
        <v>3002.1387399055307</v>
      </c>
      <c r="O7" s="74">
        <f>forecast!N5</f>
        <v>3030.8193585250647</v>
      </c>
    </row>
    <row r="8" spans="2:15" x14ac:dyDescent="0.3">
      <c r="B8" t="str">
        <f>forecast!A6</f>
        <v>Non-ARP Subsidies + ARP Provider Relief and PPP</v>
      </c>
      <c r="C8" t="str">
        <f>forecast!B6</f>
        <v>federal_subsidies</v>
      </c>
      <c r="D8" s="74">
        <f>forecast!C6</f>
        <v>47.451999999999998</v>
      </c>
      <c r="E8" s="74">
        <f>forecast!D6</f>
        <v>-3.3521731207289065</v>
      </c>
      <c r="F8" s="74">
        <f>forecast!E6</f>
        <v>72.260000000000005</v>
      </c>
      <c r="G8" s="74">
        <f>forecast!F6</f>
        <v>72.260000000000005</v>
      </c>
      <c r="H8" s="74">
        <f>forecast!G6</f>
        <v>72.260000000000005</v>
      </c>
      <c r="I8" s="74">
        <f>forecast!H6</f>
        <v>72.260000000000005</v>
      </c>
      <c r="J8" s="74">
        <f>forecast!I6</f>
        <v>74.935000000000016</v>
      </c>
      <c r="K8" s="74">
        <f>forecast!J6</f>
        <v>74.935000000000016</v>
      </c>
      <c r="L8" s="74">
        <f>forecast!K6</f>
        <v>74.935000000000016</v>
      </c>
      <c r="M8" s="74">
        <f>forecast!L6</f>
        <v>74.935000000000016</v>
      </c>
      <c r="N8" s="74">
        <f>forecast!M6</f>
        <v>77.001000000000005</v>
      </c>
      <c r="O8" s="74">
        <f>forecast!N6</f>
        <v>77.001000000000005</v>
      </c>
    </row>
    <row r="9" spans="2:15" x14ac:dyDescent="0.3">
      <c r="B9" t="str">
        <f>forecast!A7</f>
        <v>ARP Subsidies less Provider Relief and PPP</v>
      </c>
      <c r="C9" t="str">
        <f>forecast!B7</f>
        <v>federal_aid_to_small_businesses_arp</v>
      </c>
      <c r="D9" s="74">
        <f>forecast!C7</f>
        <v>110.24799999999999</v>
      </c>
      <c r="E9" s="74">
        <f>forecast!D7</f>
        <v>110.24799999999999</v>
      </c>
      <c r="F9" s="74">
        <f>forecast!E7</f>
        <v>12.726000000000001</v>
      </c>
      <c r="G9" s="74">
        <f>forecast!F7</f>
        <v>12.726000000000001</v>
      </c>
      <c r="H9" s="74">
        <f>forecast!G7</f>
        <v>12.726000000000001</v>
      </c>
      <c r="I9" s="74">
        <f>forecast!H7</f>
        <v>12.726000000000001</v>
      </c>
      <c r="J9" s="74">
        <f>forecast!I7</f>
        <v>1.365</v>
      </c>
      <c r="K9" s="74">
        <f>forecast!J7</f>
        <v>1.365</v>
      </c>
      <c r="L9" s="74">
        <f>forecast!K7</f>
        <v>1.365</v>
      </c>
      <c r="M9" s="74">
        <f>forecast!L7</f>
        <v>1.365</v>
      </c>
      <c r="N9" s="74">
        <f>forecast!M7</f>
        <v>-0.90100000000000025</v>
      </c>
      <c r="O9" s="74">
        <f>forecast!N7</f>
        <v>-0.90100000000000025</v>
      </c>
    </row>
    <row r="10" spans="2:15" x14ac:dyDescent="0.3">
      <c r="B10" t="str">
        <f>forecast!A8</f>
        <v>Federal UI</v>
      </c>
      <c r="C10" t="str">
        <f>forecast!B8</f>
        <v>federal_ui</v>
      </c>
      <c r="D10" s="74">
        <f>forecast!C8</f>
        <v>2.1999999999999993</v>
      </c>
      <c r="E10" s="74">
        <f>forecast!D8</f>
        <v>0</v>
      </c>
      <c r="F10" s="74">
        <f>forecast!E8</f>
        <v>0</v>
      </c>
      <c r="G10" s="74">
        <f>forecast!F8</f>
        <v>0</v>
      </c>
      <c r="H10" s="74">
        <f>forecast!G8</f>
        <v>0</v>
      </c>
      <c r="I10" s="74">
        <f>forecast!H8</f>
        <v>0</v>
      </c>
      <c r="J10" s="74">
        <f>forecast!I8</f>
        <v>0</v>
      </c>
      <c r="K10" s="74">
        <f>forecast!J8</f>
        <v>0</v>
      </c>
      <c r="L10" s="74">
        <f>forecast!K8</f>
        <v>0</v>
      </c>
      <c r="M10" s="74">
        <f>forecast!L8</f>
        <v>0</v>
      </c>
      <c r="N10" s="74">
        <f>forecast!M8</f>
        <v>0</v>
      </c>
      <c r="O10" s="74">
        <f>forecast!N8</f>
        <v>0</v>
      </c>
    </row>
    <row r="11" spans="2:15" x14ac:dyDescent="0.3">
      <c r="B11" t="str">
        <f>forecast!A9</f>
        <v>State UI</v>
      </c>
      <c r="C11" t="str">
        <f>forecast!B9</f>
        <v>state_ui</v>
      </c>
      <c r="D11" s="74">
        <f>forecast!C9</f>
        <v>17.8</v>
      </c>
      <c r="E11" s="74">
        <f>forecast!D9</f>
        <v>18.393333333333334</v>
      </c>
      <c r="F11" s="74">
        <f>forecast!E9</f>
        <v>18.047222222222221</v>
      </c>
      <c r="G11" s="74">
        <f>forecast!F9</f>
        <v>17.701111111111111</v>
      </c>
      <c r="H11" s="74">
        <f>forecast!G9</f>
        <v>17.404444444444444</v>
      </c>
      <c r="I11" s="74">
        <f>forecast!H9</f>
        <v>17.458833333333331</v>
      </c>
      <c r="J11" s="74">
        <f>forecast!I9</f>
        <v>17.557722222222221</v>
      </c>
      <c r="K11" s="74">
        <f>forecast!J9</f>
        <v>17.908777777777775</v>
      </c>
      <c r="L11" s="74">
        <f>forecast!K9</f>
        <v>19.639333333333333</v>
      </c>
      <c r="M11" s="74">
        <f>forecast!L9</f>
        <v>19.881611111111109</v>
      </c>
      <c r="N11" s="74">
        <f>forecast!M9</f>
        <v>20.18322222222222</v>
      </c>
      <c r="O11" s="74">
        <f>forecast!N9</f>
        <v>20.474944444444443</v>
      </c>
    </row>
    <row r="12" spans="2:15" x14ac:dyDescent="0.3">
      <c r="B12" t="str">
        <f>forecast!A10</f>
        <v>Federal Medicaid</v>
      </c>
      <c r="C12" t="str">
        <f>forecast!B10</f>
        <v>medicaid_grants</v>
      </c>
      <c r="D12" s="74">
        <f>forecast!C10</f>
        <v>576.01</v>
      </c>
      <c r="E12" s="74">
        <f>forecast!D10</f>
        <v>579.02658584306619</v>
      </c>
      <c r="F12" s="74">
        <f>forecast!E10</f>
        <v>588.77148736978165</v>
      </c>
      <c r="G12" s="74">
        <f>forecast!F10</f>
        <v>601.59385930966448</v>
      </c>
      <c r="H12" s="74">
        <f>forecast!G10</f>
        <v>614.69547918476781</v>
      </c>
      <c r="I12" s="74">
        <f>forecast!H10</f>
        <v>584.00755929837464</v>
      </c>
      <c r="J12" s="74">
        <f>forecast!I10</f>
        <v>577.46803619062018</v>
      </c>
      <c r="K12" s="74">
        <f>forecast!J10</f>
        <v>571.47647724911189</v>
      </c>
      <c r="L12" s="74">
        <f>forecast!K10</f>
        <v>565.54708413549326</v>
      </c>
      <c r="M12" s="74">
        <f>forecast!L10</f>
        <v>559.67921184398278</v>
      </c>
      <c r="N12" s="74">
        <f>forecast!M10</f>
        <v>549.75061061139797</v>
      </c>
      <c r="O12" s="74">
        <f>forecast!N10</f>
        <v>544.04663570685273</v>
      </c>
    </row>
    <row r="13" spans="2:15" x14ac:dyDescent="0.3">
      <c r="B13" t="str">
        <f>forecast!A11</f>
        <v>Total Medicaid</v>
      </c>
      <c r="C13" t="str">
        <f>forecast!B11</f>
        <v>medicaid</v>
      </c>
      <c r="D13" s="74">
        <f>forecast!C11</f>
        <v>804.5</v>
      </c>
      <c r="E13" s="74">
        <f>forecast!D11</f>
        <v>808.71319649094062</v>
      </c>
      <c r="F13" s="74">
        <f>forecast!E11</f>
        <v>826.32549875174232</v>
      </c>
      <c r="G13" s="74">
        <f>forecast!F11</f>
        <v>844.32136491662254</v>
      </c>
      <c r="H13" s="74">
        <f>forecast!G11</f>
        <v>862.70914830965739</v>
      </c>
      <c r="I13" s="74">
        <f>forecast!H11</f>
        <v>881.4973841751256</v>
      </c>
      <c r="J13" s="74">
        <f>forecast!I11</f>
        <v>872.35134802581535</v>
      </c>
      <c r="K13" s="74">
        <f>forecast!J11</f>
        <v>863.3002071975194</v>
      </c>
      <c r="L13" s="74">
        <f>forecast!K11</f>
        <v>854.34297709737098</v>
      </c>
      <c r="M13" s="74">
        <f>forecast!L11</f>
        <v>845.47868334821396</v>
      </c>
      <c r="N13" s="74">
        <f>forecast!M11</f>
        <v>836.70636168260853</v>
      </c>
      <c r="O13" s="74">
        <f>forecast!N11</f>
        <v>828.02505783793754</v>
      </c>
    </row>
    <row r="14" spans="2:15" x14ac:dyDescent="0.3">
      <c r="B14" t="str">
        <f>forecast!A12</f>
        <v>Medicare</v>
      </c>
      <c r="C14" t="str">
        <f>forecast!B12</f>
        <v>medicare</v>
      </c>
      <c r="D14" s="74">
        <f>forecast!C12</f>
        <v>865.9</v>
      </c>
      <c r="E14" s="74">
        <f>forecast!D12</f>
        <v>871.23840546678446</v>
      </c>
      <c r="F14" s="74">
        <f>forecast!E12</f>
        <v>889.68986999812137</v>
      </c>
      <c r="G14" s="74">
        <f>forecast!F12</f>
        <v>907.23431736240013</v>
      </c>
      <c r="H14" s="74">
        <f>forecast!G12</f>
        <v>925.12473655764802</v>
      </c>
      <c r="I14" s="74">
        <f>forecast!H12</f>
        <v>943.36795005625982</v>
      </c>
      <c r="J14" s="74">
        <f>forecast!I12</f>
        <v>961.97091486796944</v>
      </c>
      <c r="K14" s="74">
        <f>forecast!J12</f>
        <v>985.16758241737489</v>
      </c>
      <c r="L14" s="74">
        <f>forecast!K12</f>
        <v>1008.9236071958619</v>
      </c>
      <c r="M14" s="74">
        <f>forecast!L12</f>
        <v>1033.2524773697398</v>
      </c>
      <c r="N14" s="74">
        <f>forecast!M12</f>
        <v>1058.1680063547665</v>
      </c>
      <c r="O14" s="74">
        <f>forecast!N12</f>
        <v>1083.6843406591124</v>
      </c>
    </row>
    <row r="15" spans="2:15" x14ac:dyDescent="0.3">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J15" s="74">
        <f>forecast!I13</f>
        <v>0</v>
      </c>
      <c r="K15" s="74">
        <f>forecast!J13</f>
        <v>0</v>
      </c>
      <c r="L15" s="74">
        <f>forecast!K13</f>
        <v>0</v>
      </c>
      <c r="M15" s="74">
        <f>forecast!L13</f>
        <v>0</v>
      </c>
      <c r="N15" s="74">
        <f>forecast!M13</f>
        <v>0</v>
      </c>
      <c r="O15" s="74">
        <f>forecast!N13</f>
        <v>0</v>
      </c>
    </row>
    <row r="16" spans="2:15" x14ac:dyDescent="0.3">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J16" s="74">
        <f>forecast!I14</f>
        <v>0</v>
      </c>
      <c r="K16" s="74">
        <f>forecast!J14</f>
        <v>0</v>
      </c>
      <c r="L16" s="74">
        <f>forecast!K14</f>
        <v>0</v>
      </c>
      <c r="M16" s="74">
        <f>forecast!L14</f>
        <v>0</v>
      </c>
      <c r="N16" s="74">
        <f>forecast!M14</f>
        <v>0</v>
      </c>
      <c r="O16" s="74">
        <f>forecast!N14</f>
        <v>0</v>
      </c>
    </row>
    <row r="17" spans="2:15" x14ac:dyDescent="0.3">
      <c r="B17" t="str">
        <f>forecast!A15</f>
        <v>ARP Other Vulnerable</v>
      </c>
      <c r="C17" t="str">
        <f>forecast!B15</f>
        <v>federal_other_vulnerable_arp</v>
      </c>
      <c r="D17" s="74">
        <f>forecast!C15</f>
        <v>52.756999999999998</v>
      </c>
      <c r="E17" s="74">
        <f>forecast!D15</f>
        <v>52.756999999999998</v>
      </c>
      <c r="F17" s="74">
        <f>forecast!E15</f>
        <v>12</v>
      </c>
      <c r="G17" s="74">
        <f>forecast!F15</f>
        <v>12</v>
      </c>
      <c r="H17" s="74">
        <f>forecast!G15</f>
        <v>12</v>
      </c>
      <c r="I17" s="74">
        <f>forecast!H15</f>
        <v>12</v>
      </c>
      <c r="J17" s="74">
        <f>forecast!I15</f>
        <v>4.2219999999999995</v>
      </c>
      <c r="K17" s="74">
        <f>forecast!J15</f>
        <v>4.2219999999999995</v>
      </c>
      <c r="L17" s="74">
        <f>forecast!K15</f>
        <v>4.2219999999999995</v>
      </c>
      <c r="M17" s="74">
        <f>forecast!L15</f>
        <v>4.2219999999999995</v>
      </c>
      <c r="N17" s="74">
        <f>forecast!M15</f>
        <v>2.3719999999999999</v>
      </c>
      <c r="O17" s="74">
        <f>forecast!N15</f>
        <v>2.3719999999999999</v>
      </c>
    </row>
    <row r="18" spans="2:15" x14ac:dyDescent="0.3">
      <c r="B18" t="str">
        <f>forecast!A16</f>
        <v xml:space="preserve">ARP Other Direct Aid plus Provider Relief </v>
      </c>
      <c r="C18" t="str">
        <f>forecast!B16</f>
        <v>federal_other_direct_aid_arp</v>
      </c>
      <c r="D18" s="74">
        <f>forecast!C16</f>
        <v>63.919000000000011</v>
      </c>
      <c r="E18" s="74">
        <f>forecast!D16</f>
        <v>34.821505694760823</v>
      </c>
      <c r="F18" s="74">
        <f>forecast!E16</f>
        <v>1.4159999999999999</v>
      </c>
      <c r="G18" s="74">
        <f>forecast!F16</f>
        <v>1.4159999999999999</v>
      </c>
      <c r="H18" s="74">
        <f>forecast!G16</f>
        <v>1.4159999999999999</v>
      </c>
      <c r="I18" s="74">
        <f>forecast!H16</f>
        <v>1.4159999999999999</v>
      </c>
      <c r="J18" s="74">
        <f>forecast!I16</f>
        <v>1.4790000000000001</v>
      </c>
      <c r="K18" s="74">
        <f>forecast!J16</f>
        <v>1.4790000000000001</v>
      </c>
      <c r="L18" s="74">
        <f>forecast!K16</f>
        <v>1.4790000000000001</v>
      </c>
      <c r="M18" s="74">
        <f>forecast!L16</f>
        <v>1.4790000000000001</v>
      </c>
      <c r="N18" s="74">
        <f>forecast!M16</f>
        <v>1.63</v>
      </c>
      <c r="O18" s="74">
        <f>forecast!N16</f>
        <v>1.63</v>
      </c>
    </row>
    <row r="19" spans="2:15" x14ac:dyDescent="0.3">
      <c r="B19" t="str">
        <f>forecast!A17</f>
        <v>Other Federal Social Benefits (including all SNAP)</v>
      </c>
      <c r="C19" t="str">
        <f>forecast!B17</f>
        <v>federal_social_benefits</v>
      </c>
      <c r="D19" s="74">
        <f>forecast!C17</f>
        <v>1866.9240000000002</v>
      </c>
      <c r="E19" s="74">
        <f>forecast!D17</f>
        <v>1833.4363800000012</v>
      </c>
      <c r="F19" s="74">
        <f>forecast!E17</f>
        <v>1897.0363800000014</v>
      </c>
      <c r="G19" s="74">
        <f>forecast!F17</f>
        <v>1881.7642600000015</v>
      </c>
      <c r="H19" s="74">
        <f>forecast!G17</f>
        <v>1888.8642600000017</v>
      </c>
      <c r="I19" s="74">
        <f>forecast!H17</f>
        <v>1895.9642600000018</v>
      </c>
      <c r="J19" s="74">
        <f>forecast!I17</f>
        <v>1924.764260000002</v>
      </c>
      <c r="K19" s="74">
        <f>forecast!J17</f>
        <v>1957.1182000000022</v>
      </c>
      <c r="L19" s="74">
        <f>forecast!K17</f>
        <v>1964.2182000000023</v>
      </c>
      <c r="M19" s="74">
        <f>forecast!L17</f>
        <v>1971.3182000000024</v>
      </c>
      <c r="N19" s="74">
        <f>forecast!M17</f>
        <v>1997.9182000000026</v>
      </c>
      <c r="O19" s="74">
        <f>forecast!N17</f>
        <v>2030.9121400000026</v>
      </c>
    </row>
    <row r="20" spans="2:15" x14ac:dyDescent="0.3">
      <c r="B20" t="str">
        <f>forecast!A18</f>
        <v>State Social Benefits ex Medicaid</v>
      </c>
      <c r="C20" t="str">
        <f>forecast!B18</f>
        <v>state_social_benefits</v>
      </c>
      <c r="D20" s="74">
        <f>forecast!C18</f>
        <v>158.39999999999998</v>
      </c>
      <c r="E20" s="74">
        <f>forecast!D18</f>
        <v>160.30996245250819</v>
      </c>
      <c r="F20" s="74">
        <f>forecast!E18</f>
        <v>162.24295493386737</v>
      </c>
      <c r="G20" s="74">
        <f>forecast!F18</f>
        <v>164.1992551365673</v>
      </c>
      <c r="H20" s="74">
        <f>forecast!G18</f>
        <v>166.17914410147046</v>
      </c>
      <c r="I20" s="74">
        <f>forecast!H18</f>
        <v>168.18290625818614</v>
      </c>
      <c r="J20" s="74">
        <f>forecast!I18</f>
        <v>170.21082946593137</v>
      </c>
      <c r="K20" s="74">
        <f>forecast!J18</f>
        <v>172.26320505488471</v>
      </c>
      <c r="L20" s="74">
        <f>forecast!K18</f>
        <v>174.34032786803846</v>
      </c>
      <c r="M20" s="74">
        <f>forecast!L18</f>
        <v>176.44249630355566</v>
      </c>
      <c r="N20" s="74">
        <f>forecast!M18</f>
        <v>178.57001235763781</v>
      </c>
      <c r="O20" s="74">
        <f>forecast!N18</f>
        <v>180.72318166790939</v>
      </c>
    </row>
    <row r="21" spans="2:15" x14ac:dyDescent="0.3">
      <c r="B21" t="str">
        <f>forecast!A19</f>
        <v>Federal Non-Corporate Taxes</v>
      </c>
      <c r="C21" t="str">
        <f>forecast!B19</f>
        <v>federal_non_corporate_taxes</v>
      </c>
      <c r="D21" s="74">
        <f>forecast!C19</f>
        <v>4350.2999999999993</v>
      </c>
      <c r="E21" s="74">
        <f>forecast!D19</f>
        <v>4530.957639501511</v>
      </c>
      <c r="F21" s="74">
        <f>forecast!E19</f>
        <v>4553.3895462316423</v>
      </c>
      <c r="G21" s="74">
        <f>forecast!F19</f>
        <v>4576.4412167169803</v>
      </c>
      <c r="H21" s="74">
        <f>forecast!G19</f>
        <v>4600.122531658546</v>
      </c>
      <c r="I21" s="74">
        <f>forecast!H19</f>
        <v>4624.4435502502383</v>
      </c>
      <c r="J21" s="74">
        <f>forecast!I19</f>
        <v>4632.3381296838579</v>
      </c>
      <c r="K21" s="74">
        <f>forecast!J19</f>
        <v>4640.4054597624345</v>
      </c>
      <c r="L21" s="74">
        <f>forecast!K19</f>
        <v>4648.6465713470625</v>
      </c>
      <c r="M21" s="74">
        <f>forecast!L19</f>
        <v>4657.0625052566529</v>
      </c>
      <c r="N21" s="74">
        <f>forecast!M19</f>
        <v>4669.3254748883073</v>
      </c>
      <c r="O21" s="74">
        <f>forecast!N19</f>
        <v>4681.6762855677307</v>
      </c>
    </row>
    <row r="22" spans="2:15" x14ac:dyDescent="0.3">
      <c r="B22" t="str">
        <f>forecast!A20</f>
        <v>State Non-Corporate Taxes</v>
      </c>
      <c r="C22" t="str">
        <f>forecast!B20</f>
        <v>state_non_corporate_taxes</v>
      </c>
      <c r="D22" s="74">
        <f>forecast!C20</f>
        <v>2296.1000000000004</v>
      </c>
      <c r="E22" s="74">
        <f>forecast!D20</f>
        <v>2325.0429070919831</v>
      </c>
      <c r="F22" s="74">
        <f>forecast!E20</f>
        <v>2356.0861302329859</v>
      </c>
      <c r="G22" s="74">
        <f>forecast!F20</f>
        <v>2384.0372552072472</v>
      </c>
      <c r="H22" s="74">
        <f>forecast!G20</f>
        <v>2411.6786553751663</v>
      </c>
      <c r="I22" s="74">
        <f>forecast!H20</f>
        <v>2438.5516676866955</v>
      </c>
      <c r="J22" s="74">
        <f>forecast!I20</f>
        <v>2463.5370168392024</v>
      </c>
      <c r="K22" s="74">
        <f>forecast!J20</f>
        <v>2488.1193988660461</v>
      </c>
      <c r="L22" s="74">
        <f>forecast!K20</f>
        <v>2510.9601276757567</v>
      </c>
      <c r="M22" s="74">
        <f>forecast!L20</f>
        <v>2533.6230452194436</v>
      </c>
      <c r="N22" s="74">
        <f>forecast!M20</f>
        <v>2557.3431689839808</v>
      </c>
      <c r="O22" s="74">
        <f>forecast!N20</f>
        <v>2580.651540101906</v>
      </c>
    </row>
    <row r="23" spans="2:15" x14ac:dyDescent="0.3">
      <c r="B23" t="str">
        <f>forecast!A21</f>
        <v>Federal Corporate Taxes</v>
      </c>
      <c r="C23" t="str">
        <f>forecast!B21</f>
        <v>federal_corporate_taxes</v>
      </c>
      <c r="D23" s="74">
        <f>forecast!C21</f>
        <v>277.85999071270419</v>
      </c>
      <c r="E23" s="74">
        <f>forecast!D21</f>
        <v>274.95076367116832</v>
      </c>
      <c r="F23" s="74">
        <f>forecast!E21</f>
        <v>285.05756137496093</v>
      </c>
      <c r="G23" s="74">
        <f>forecast!F21</f>
        <v>295.53587053942931</v>
      </c>
      <c r="H23" s="74">
        <f>forecast!G21</f>
        <v>306.39934739570208</v>
      </c>
      <c r="I23" s="74">
        <f>forecast!H21</f>
        <v>317.66215015847598</v>
      </c>
      <c r="J23" s="74">
        <f>forecast!I21</f>
        <v>321.40697249719227</v>
      </c>
      <c r="K23" s="74">
        <f>forecast!J21</f>
        <v>325.19594140590931</v>
      </c>
      <c r="L23" s="74">
        <f>forecast!K21</f>
        <v>329.0295773150952</v>
      </c>
      <c r="M23" s="74">
        <f>forecast!L21</f>
        <v>332.90840679041435</v>
      </c>
      <c r="N23" s="74">
        <f>forecast!M21</f>
        <v>333.79921579384455</v>
      </c>
      <c r="O23" s="74">
        <f>forecast!N21</f>
        <v>334.69240845795861</v>
      </c>
    </row>
    <row r="24" spans="2:15" x14ac:dyDescent="0.3">
      <c r="B24" t="str">
        <f>forecast!A22</f>
        <v>State Corporate Taxes</v>
      </c>
      <c r="C24" t="str">
        <f>forecast!B22</f>
        <v>state_corporate_taxes</v>
      </c>
      <c r="D24" s="74">
        <f>forecast!C22</f>
        <v>122.20997037990983</v>
      </c>
      <c r="E24" s="74">
        <f>forecast!D22</f>
        <v>124.65901738570506</v>
      </c>
      <c r="F24" s="74">
        <f>forecast!E22</f>
        <v>113.01114784288472</v>
      </c>
      <c r="G24" s="74">
        <f>forecast!F22</f>
        <v>112.80663979394718</v>
      </c>
      <c r="H24" s="74">
        <f>forecast!G22</f>
        <v>112.1976602704443</v>
      </c>
      <c r="I24" s="74">
        <f>forecast!H22</f>
        <v>111.51596677398582</v>
      </c>
      <c r="J24" s="74">
        <f>forecast!I22</f>
        <v>110.92062112041209</v>
      </c>
      <c r="K24" s="74">
        <f>forecast!J22</f>
        <v>110.4070786864134</v>
      </c>
      <c r="L24" s="74">
        <f>forecast!K22</f>
        <v>110.27528461043141</v>
      </c>
      <c r="M24" s="74">
        <f>forecast!L22</f>
        <v>109.88899162910495</v>
      </c>
      <c r="N24" s="74">
        <f>forecast!M22</f>
        <v>110.49342652929813</v>
      </c>
      <c r="O24" s="74">
        <f>forecast!N22</f>
        <v>110.89335338055375</v>
      </c>
    </row>
    <row r="27" spans="2:15" x14ac:dyDescent="0.3">
      <c r="B27" s="934" t="s">
        <v>1028</v>
      </c>
      <c r="C27" s="934"/>
      <c r="D27" s="934"/>
      <c r="E27" s="934"/>
      <c r="F27" s="934"/>
      <c r="G27" s="934"/>
      <c r="H27" s="934"/>
      <c r="I27" s="934"/>
      <c r="J27" s="934"/>
      <c r="K27" s="934"/>
      <c r="L27" s="934"/>
      <c r="M27" s="934"/>
      <c r="N27" s="934"/>
      <c r="O27" s="934"/>
    </row>
    <row r="28" spans="2:15" x14ac:dyDescent="0.3">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
      <c r="B29" t="s">
        <v>192</v>
      </c>
      <c r="C29" t="s">
        <v>193</v>
      </c>
      <c r="D29" s="74">
        <v>440.82899417472106</v>
      </c>
      <c r="E29" s="74">
        <v>443.16378910828843</v>
      </c>
      <c r="F29" s="74">
        <v>449.456681310205</v>
      </c>
      <c r="G29" s="74">
        <v>444.1136258666665</v>
      </c>
      <c r="H29" s="74">
        <v>448.41748970468939</v>
      </c>
      <c r="I29" s="74">
        <v>447.24836323261991</v>
      </c>
      <c r="J29" s="74">
        <v>446.31815136261321</v>
      </c>
      <c r="K29" s="74">
        <v>434.91237653333314</v>
      </c>
      <c r="L29" s="74">
        <v>415.05454853287694</v>
      </c>
      <c r="M29" s="74">
        <v>419.51886552192474</v>
      </c>
      <c r="N29" s="74">
        <v>423.20412375711771</v>
      </c>
      <c r="O29" s="74">
        <v>406.37747211466649</v>
      </c>
    </row>
    <row r="30" spans="2:15" x14ac:dyDescent="0.3">
      <c r="B30" t="s">
        <v>134</v>
      </c>
      <c r="C30" t="s">
        <v>194</v>
      </c>
      <c r="D30" s="74">
        <v>75.34842857142857</v>
      </c>
      <c r="E30" s="74">
        <v>75.34842857142857</v>
      </c>
      <c r="F30" s="74">
        <v>75.34842857142857</v>
      </c>
      <c r="G30" s="74">
        <v>75.34842857142857</v>
      </c>
      <c r="H30" s="74">
        <v>75.34842857142857</v>
      </c>
      <c r="I30" s="74">
        <v>75.34842857142857</v>
      </c>
      <c r="J30" s="74">
        <v>75.34842857142857</v>
      </c>
      <c r="K30" s="74">
        <v>75.34842857142857</v>
      </c>
      <c r="L30" s="74">
        <v>75.34842857142857</v>
      </c>
      <c r="M30" s="74">
        <v>75.34842857142857</v>
      </c>
      <c r="N30" s="74">
        <v>75.34842857142857</v>
      </c>
      <c r="O30" s="74">
        <v>75.34842857142857</v>
      </c>
    </row>
    <row r="31" spans="2:15" x14ac:dyDescent="0.3">
      <c r="B31" t="s">
        <v>195</v>
      </c>
      <c r="C31" t="s">
        <v>196</v>
      </c>
      <c r="D31" s="74">
        <v>1591.4</v>
      </c>
      <c r="E31" s="74">
        <v>1607.9</v>
      </c>
      <c r="F31" s="74">
        <v>1622.9</v>
      </c>
      <c r="G31" s="74">
        <v>1639</v>
      </c>
      <c r="H31" s="74">
        <v>1653.9</v>
      </c>
      <c r="I31" s="74">
        <v>1667.4</v>
      </c>
      <c r="J31" s="74">
        <v>1679.6</v>
      </c>
      <c r="K31" s="74">
        <v>1693.3</v>
      </c>
      <c r="L31" s="74">
        <v>1706.4</v>
      </c>
      <c r="M31" s="74">
        <v>1719.6</v>
      </c>
      <c r="N31" s="74">
        <v>1732.8</v>
      </c>
      <c r="O31" s="74">
        <v>1743.7</v>
      </c>
    </row>
    <row r="32" spans="2:15" x14ac:dyDescent="0.3">
      <c r="B32" t="s">
        <v>197</v>
      </c>
      <c r="C32" t="s">
        <v>198</v>
      </c>
      <c r="D32" s="74">
        <v>2695.0756132866068</v>
      </c>
      <c r="E32" s="74">
        <v>2745.4171186957183</v>
      </c>
      <c r="F32" s="74">
        <v>2783.8250799939051</v>
      </c>
      <c r="G32" s="74">
        <v>2817.8206384275486</v>
      </c>
      <c r="H32" s="74">
        <v>2847.2032302300777</v>
      </c>
      <c r="I32" s="74">
        <v>2873.7779293006247</v>
      </c>
      <c r="J32" s="74">
        <v>2899.4500914216064</v>
      </c>
      <c r="K32" s="74">
        <v>2924.6208441261624</v>
      </c>
      <c r="L32" s="74">
        <v>2949.6913149474326</v>
      </c>
      <c r="M32" s="74">
        <v>2975.4637589516992</v>
      </c>
      <c r="N32" s="74">
        <v>3002.1387399055307</v>
      </c>
      <c r="O32" s="74">
        <v>3030.8193585250647</v>
      </c>
    </row>
    <row r="33" spans="2:15" x14ac:dyDescent="0.3">
      <c r="B33" t="s">
        <v>199</v>
      </c>
      <c r="C33" t="s">
        <v>200</v>
      </c>
      <c r="D33" s="74">
        <v>8.7509646182495544</v>
      </c>
      <c r="E33" s="74">
        <v>-12.23599999999999</v>
      </c>
      <c r="F33" s="74">
        <v>72.260000000000005</v>
      </c>
      <c r="G33" s="74">
        <v>72.260000000000005</v>
      </c>
      <c r="H33" s="74">
        <v>72.260000000000005</v>
      </c>
      <c r="I33" s="74">
        <v>72.260000000000005</v>
      </c>
      <c r="J33" s="74">
        <v>74.935000000000016</v>
      </c>
      <c r="K33" s="74">
        <v>74.935000000000016</v>
      </c>
      <c r="L33" s="74">
        <v>74.935000000000016</v>
      </c>
      <c r="M33" s="74">
        <v>74.935000000000016</v>
      </c>
      <c r="N33" s="74">
        <v>77.001000000000005</v>
      </c>
      <c r="O33" s="74">
        <v>77.001000000000005</v>
      </c>
    </row>
    <row r="34" spans="2:15" x14ac:dyDescent="0.3">
      <c r="B34" t="s">
        <v>201</v>
      </c>
      <c r="C34" t="s">
        <v>202</v>
      </c>
      <c r="D34" s="74">
        <v>110.24799999999999</v>
      </c>
      <c r="E34" s="74">
        <v>110.24799999999999</v>
      </c>
      <c r="F34" s="74">
        <v>12.726000000000001</v>
      </c>
      <c r="G34" s="74">
        <v>12.726000000000001</v>
      </c>
      <c r="H34" s="74">
        <v>12.726000000000001</v>
      </c>
      <c r="I34" s="74">
        <v>12.726000000000001</v>
      </c>
      <c r="J34" s="74">
        <v>1.365</v>
      </c>
      <c r="K34" s="74">
        <v>1.365</v>
      </c>
      <c r="L34" s="74">
        <v>1.365</v>
      </c>
      <c r="M34" s="74">
        <v>1.365</v>
      </c>
      <c r="N34" s="74">
        <v>-0.90100000000000025</v>
      </c>
      <c r="O34" s="74">
        <v>-0.90100000000000025</v>
      </c>
    </row>
    <row r="35" spans="2:15" x14ac:dyDescent="0.3">
      <c r="B35" t="s">
        <v>203</v>
      </c>
      <c r="C35" t="s">
        <v>204</v>
      </c>
      <c r="D35" s="74">
        <v>0</v>
      </c>
      <c r="E35" s="74">
        <v>0</v>
      </c>
      <c r="F35" s="74">
        <v>0</v>
      </c>
      <c r="G35" s="74">
        <v>0</v>
      </c>
      <c r="H35" s="74">
        <v>0</v>
      </c>
      <c r="I35" s="74">
        <v>0</v>
      </c>
      <c r="J35" s="74">
        <v>0</v>
      </c>
      <c r="K35" s="74">
        <v>0</v>
      </c>
      <c r="L35" s="74">
        <v>0</v>
      </c>
      <c r="M35" s="74">
        <v>0</v>
      </c>
      <c r="N35" s="74">
        <v>0</v>
      </c>
      <c r="O35" s="74">
        <v>0</v>
      </c>
    </row>
    <row r="36" spans="2:15" x14ac:dyDescent="0.3">
      <c r="B36" t="s">
        <v>205</v>
      </c>
      <c r="C36" t="s">
        <v>206</v>
      </c>
      <c r="D36" s="74">
        <v>19.11578947368421</v>
      </c>
      <c r="E36" s="74">
        <v>19.55120467836257</v>
      </c>
      <c r="F36" s="74">
        <v>19.312257309941518</v>
      </c>
      <c r="G36" s="74">
        <v>19.445005847953212</v>
      </c>
      <c r="H36" s="74">
        <v>19.74236257309941</v>
      </c>
      <c r="I36" s="74">
        <v>20.045029239766077</v>
      </c>
      <c r="J36" s="74">
        <v>20.363625730994144</v>
      </c>
      <c r="K36" s="74">
        <v>20.761871345029231</v>
      </c>
      <c r="L36" s="74">
        <v>21.091087719298237</v>
      </c>
      <c r="M36" s="74">
        <v>21.351274853801161</v>
      </c>
      <c r="N36" s="74">
        <v>21.675181286549698</v>
      </c>
      <c r="O36" s="74">
        <v>21.988467836257303</v>
      </c>
    </row>
    <row r="37" spans="2:15" x14ac:dyDescent="0.3">
      <c r="B37" t="s">
        <v>207</v>
      </c>
      <c r="C37" t="s">
        <v>208</v>
      </c>
      <c r="D37" s="74">
        <v>596.15171513951418</v>
      </c>
      <c r="E37" s="74">
        <v>607.40807055049254</v>
      </c>
      <c r="F37" s="74">
        <v>617.69198749866655</v>
      </c>
      <c r="G37" s="74">
        <v>631.14419532105217</v>
      </c>
      <c r="H37" s="74">
        <v>644.88936775842228</v>
      </c>
      <c r="I37" s="74">
        <v>613.64253489330179</v>
      </c>
      <c r="J37" s="74">
        <v>606.60043248189936</v>
      </c>
      <c r="K37" s="74">
        <v>600.12670076993004</v>
      </c>
      <c r="L37" s="74">
        <v>593.72205770352434</v>
      </c>
      <c r="M37" s="74">
        <v>587.3857659581904</v>
      </c>
      <c r="N37" s="74">
        <v>576.88806953840162</v>
      </c>
      <c r="O37" s="74">
        <v>570.7314326650195</v>
      </c>
    </row>
    <row r="38" spans="2:15" x14ac:dyDescent="0.3">
      <c r="B38" t="s">
        <v>209</v>
      </c>
      <c r="C38" t="s">
        <v>210</v>
      </c>
      <c r="D38" s="74">
        <v>815.63340582128023</v>
      </c>
      <c r="E38" s="74">
        <v>831.03394777701794</v>
      </c>
      <c r="F38" s="74">
        <v>849.13235539636253</v>
      </c>
      <c r="G38" s="74">
        <v>867.62491341020325</v>
      </c>
      <c r="H38" s="74">
        <v>886.5202056971192</v>
      </c>
      <c r="I38" s="74">
        <v>905.82700307694995</v>
      </c>
      <c r="J38" s="74">
        <v>896.15988007246301</v>
      </c>
      <c r="K38" s="74">
        <v>886.59592606919432</v>
      </c>
      <c r="L38" s="74">
        <v>877.13404003193318</v>
      </c>
      <c r="M38" s="74">
        <v>867.77313267588374</v>
      </c>
      <c r="N38" s="74">
        <v>858.51212634126239</v>
      </c>
      <c r="O38" s="74">
        <v>849.34995486923401</v>
      </c>
    </row>
    <row r="39" spans="2:15" x14ac:dyDescent="0.3">
      <c r="B39" t="s">
        <v>55</v>
      </c>
      <c r="C39" t="s">
        <v>211</v>
      </c>
      <c r="D39" s="74">
        <v>865.35792741992714</v>
      </c>
      <c r="E39" s="74">
        <v>883.68485263868547</v>
      </c>
      <c r="F39" s="74">
        <v>902.39991342231394</v>
      </c>
      <c r="G39" s="74">
        <v>920.19499945898076</v>
      </c>
      <c r="H39" s="74">
        <v>938.34099985450587</v>
      </c>
      <c r="I39" s="74">
        <v>956.84483454661813</v>
      </c>
      <c r="J39" s="74">
        <v>975.71355993237592</v>
      </c>
      <c r="K39" s="74">
        <v>999.24161335206236</v>
      </c>
      <c r="L39" s="74">
        <v>1023.3370149366733</v>
      </c>
      <c r="M39" s="74">
        <v>1048.0134455434604</v>
      </c>
      <c r="N39" s="74">
        <v>1073.2849159256134</v>
      </c>
      <c r="O39" s="74">
        <v>1099.1657746872684</v>
      </c>
    </row>
    <row r="40" spans="2:15" x14ac:dyDescent="0.3">
      <c r="B40" t="s">
        <v>212</v>
      </c>
      <c r="C40" t="s">
        <v>213</v>
      </c>
      <c r="D40" s="74">
        <v>0</v>
      </c>
      <c r="E40" s="74">
        <v>0</v>
      </c>
      <c r="F40" s="74">
        <v>0</v>
      </c>
      <c r="G40" s="74">
        <v>0</v>
      </c>
      <c r="H40" s="74">
        <v>0</v>
      </c>
      <c r="I40" s="74">
        <v>0</v>
      </c>
      <c r="J40" s="74">
        <v>0</v>
      </c>
      <c r="K40" s="74">
        <v>0</v>
      </c>
      <c r="L40" s="74">
        <v>0</v>
      </c>
      <c r="M40" s="74">
        <v>0</v>
      </c>
      <c r="N40" s="74">
        <v>0</v>
      </c>
      <c r="O40" s="74">
        <v>0</v>
      </c>
    </row>
    <row r="41" spans="2:15" x14ac:dyDescent="0.3">
      <c r="B41" t="s">
        <v>214</v>
      </c>
      <c r="C41" t="s">
        <v>215</v>
      </c>
      <c r="D41" s="74">
        <v>0</v>
      </c>
      <c r="E41" s="74">
        <v>0</v>
      </c>
      <c r="F41" s="74">
        <v>0</v>
      </c>
      <c r="G41" s="74">
        <v>0</v>
      </c>
      <c r="H41" s="74">
        <v>0</v>
      </c>
      <c r="I41" s="74">
        <v>0</v>
      </c>
      <c r="J41" s="74">
        <v>0</v>
      </c>
      <c r="K41" s="74">
        <v>0</v>
      </c>
      <c r="L41" s="74">
        <v>0</v>
      </c>
      <c r="M41" s="74">
        <v>0</v>
      </c>
      <c r="N41" s="74">
        <v>0</v>
      </c>
      <c r="O41" s="74">
        <v>0</v>
      </c>
    </row>
    <row r="42" spans="2:15" x14ac:dyDescent="0.3">
      <c r="B42" t="s">
        <v>216</v>
      </c>
      <c r="C42" t="s">
        <v>217</v>
      </c>
      <c r="D42" s="74">
        <v>52.756999999999998</v>
      </c>
      <c r="E42" s="74">
        <v>52.756999999999998</v>
      </c>
      <c r="F42" s="74">
        <v>12</v>
      </c>
      <c r="G42" s="74">
        <v>12</v>
      </c>
      <c r="H42" s="74">
        <v>12</v>
      </c>
      <c r="I42" s="74">
        <v>12</v>
      </c>
      <c r="J42" s="74">
        <v>4.2219999999999995</v>
      </c>
      <c r="K42" s="74">
        <v>4.2219999999999995</v>
      </c>
      <c r="L42" s="74">
        <v>4.2219999999999995</v>
      </c>
      <c r="M42" s="74">
        <v>4.2219999999999995</v>
      </c>
      <c r="N42" s="74">
        <v>2.3719999999999999</v>
      </c>
      <c r="O42" s="74">
        <v>2.3719999999999999</v>
      </c>
    </row>
    <row r="43" spans="2:15" x14ac:dyDescent="0.3">
      <c r="B43" t="s">
        <v>218</v>
      </c>
      <c r="C43" t="s">
        <v>219</v>
      </c>
      <c r="D43" s="74">
        <v>54.719000000000008</v>
      </c>
      <c r="E43" s="74">
        <v>19.719000000000005</v>
      </c>
      <c r="F43" s="74">
        <v>1.4159999999999999</v>
      </c>
      <c r="G43" s="74">
        <v>1.4159999999999999</v>
      </c>
      <c r="H43" s="74">
        <v>1.4159999999999999</v>
      </c>
      <c r="I43" s="74">
        <v>1.4159999999999999</v>
      </c>
      <c r="J43" s="74">
        <v>1.4790000000000001</v>
      </c>
      <c r="K43" s="74">
        <v>1.4790000000000001</v>
      </c>
      <c r="L43" s="74">
        <v>1.4790000000000001</v>
      </c>
      <c r="M43" s="74">
        <v>1.4790000000000001</v>
      </c>
      <c r="N43" s="74">
        <v>1.63</v>
      </c>
      <c r="O43" s="74">
        <v>1.63</v>
      </c>
    </row>
    <row r="44" spans="2:15" x14ac:dyDescent="0.3">
      <c r="B44" t="s">
        <v>220</v>
      </c>
      <c r="C44" t="s">
        <v>221</v>
      </c>
      <c r="D44" s="74">
        <v>1841.3363800000011</v>
      </c>
      <c r="E44" s="74">
        <v>1833.4363800000012</v>
      </c>
      <c r="F44" s="74">
        <v>1897.0363800000014</v>
      </c>
      <c r="G44" s="74">
        <v>1881.7733000000017</v>
      </c>
      <c r="H44" s="74">
        <v>1888.8733000000018</v>
      </c>
      <c r="I44" s="74">
        <v>1895.9733000000019</v>
      </c>
      <c r="J44" s="74">
        <v>1924.7733000000021</v>
      </c>
      <c r="K44" s="74">
        <v>1957.1317600000023</v>
      </c>
      <c r="L44" s="74">
        <v>1964.2317600000024</v>
      </c>
      <c r="M44" s="74">
        <v>1971.3317600000025</v>
      </c>
      <c r="N44" s="74">
        <v>1997.9317600000027</v>
      </c>
      <c r="O44" s="74">
        <v>2030.9302200000027</v>
      </c>
    </row>
    <row r="45" spans="2:15" x14ac:dyDescent="0.3">
      <c r="B45" t="s">
        <v>222</v>
      </c>
      <c r="C45" t="s">
        <v>223</v>
      </c>
      <c r="D45" s="74">
        <v>159.09549303998926</v>
      </c>
      <c r="E45" s="74">
        <v>161.0138416389139</v>
      </c>
      <c r="F45" s="74">
        <v>162.95532138553278</v>
      </c>
      <c r="G45" s="74">
        <v>164.92021119161092</v>
      </c>
      <c r="H45" s="74">
        <v>166.90879333198782</v>
      </c>
      <c r="I45" s="74">
        <v>168.92135348512892</v>
      </c>
      <c r="J45" s="74">
        <v>170.95818077416595</v>
      </c>
      <c r="K45" s="74">
        <v>173.01956780843219</v>
      </c>
      <c r="L45" s="74">
        <v>175.10581072549851</v>
      </c>
      <c r="M45" s="74">
        <v>177.2172092337164</v>
      </c>
      <c r="N45" s="74">
        <v>179.35406665527381</v>
      </c>
      <c r="O45" s="74">
        <v>181.51668996977023</v>
      </c>
    </row>
    <row r="46" spans="2:15" x14ac:dyDescent="0.3">
      <c r="B46" t="s">
        <v>224</v>
      </c>
      <c r="C46" t="s">
        <v>225</v>
      </c>
      <c r="D46" s="74">
        <v>4458.7779085933998</v>
      </c>
      <c r="E46" s="74">
        <v>4644.8949029259966</v>
      </c>
      <c r="F46" s="74">
        <v>4667.1346725158392</v>
      </c>
      <c r="G46" s="74">
        <v>4689.9999947063106</v>
      </c>
      <c r="H46" s="74">
        <v>4713.5008137459645</v>
      </c>
      <c r="I46" s="74">
        <v>4737.6472536639967</v>
      </c>
      <c r="J46" s="74">
        <v>4745.300617315711</v>
      </c>
      <c r="K46" s="74">
        <v>4753.128995996286</v>
      </c>
      <c r="L46" s="74">
        <v>4761.1334239026901</v>
      </c>
      <c r="M46" s="74">
        <v>4769.3149452734779</v>
      </c>
      <c r="N46" s="74">
        <v>4781.6452920978782</v>
      </c>
      <c r="O46" s="74">
        <v>4794.0641087852446</v>
      </c>
    </row>
    <row r="47" spans="2:15" x14ac:dyDescent="0.3">
      <c r="B47" t="s">
        <v>226</v>
      </c>
      <c r="C47" t="s">
        <v>227</v>
      </c>
      <c r="D47" s="74">
        <v>2282.2853945908828</v>
      </c>
      <c r="E47" s="74">
        <v>2316.2398568327635</v>
      </c>
      <c r="F47" s="74">
        <v>2347.1723061074072</v>
      </c>
      <c r="G47" s="74">
        <v>2375.0026007192837</v>
      </c>
      <c r="H47" s="74">
        <v>2402.5205700881256</v>
      </c>
      <c r="I47" s="74">
        <v>2429.2709191895074</v>
      </c>
      <c r="J47" s="74">
        <v>2454.1455920897911</v>
      </c>
      <c r="K47" s="74">
        <v>2478.6177566405659</v>
      </c>
      <c r="L47" s="74">
        <v>2501.358262856993</v>
      </c>
      <c r="M47" s="74">
        <v>2523.9155565208234</v>
      </c>
      <c r="N47" s="74">
        <v>2547.531147300911</v>
      </c>
      <c r="O47" s="74">
        <v>2570.7406257278276</v>
      </c>
    </row>
    <row r="48" spans="2:15" x14ac:dyDescent="0.3">
      <c r="B48" t="s">
        <v>228</v>
      </c>
      <c r="C48" t="s">
        <v>229</v>
      </c>
      <c r="D48" s="74">
        <v>277.85999071270419</v>
      </c>
      <c r="E48" s="74">
        <v>274.95076367116832</v>
      </c>
      <c r="F48" s="74">
        <v>285.05756137496093</v>
      </c>
      <c r="G48" s="74">
        <v>295.53587053942931</v>
      </c>
      <c r="H48" s="74">
        <v>306.39934739570208</v>
      </c>
      <c r="I48" s="74">
        <v>317.66215015847598</v>
      </c>
      <c r="J48" s="74">
        <v>321.40697249719227</v>
      </c>
      <c r="K48" s="74">
        <v>325.19594140590931</v>
      </c>
      <c r="L48" s="74">
        <v>329.0295773150952</v>
      </c>
      <c r="M48" s="74">
        <v>332.90840679041435</v>
      </c>
      <c r="N48" s="74">
        <v>333.79921579384455</v>
      </c>
      <c r="O48" s="74">
        <v>334.69240845795861</v>
      </c>
    </row>
    <row r="49" spans="2:15" x14ac:dyDescent="0.3">
      <c r="B49" t="s">
        <v>230</v>
      </c>
      <c r="C49" t="s">
        <v>231</v>
      </c>
      <c r="D49" s="74">
        <v>122.20997037990983</v>
      </c>
      <c r="E49" s="74">
        <v>124.65901738570506</v>
      </c>
      <c r="F49" s="74">
        <v>113.01114784288472</v>
      </c>
      <c r="G49" s="74">
        <v>112.80663979394718</v>
      </c>
      <c r="H49" s="74">
        <v>112.1976602704443</v>
      </c>
      <c r="I49" s="74">
        <v>111.51596677398582</v>
      </c>
      <c r="J49" s="74">
        <v>110.92062112041209</v>
      </c>
      <c r="K49" s="74">
        <v>110.4070786864134</v>
      </c>
      <c r="L49" s="74">
        <v>110.27528461043141</v>
      </c>
      <c r="M49" s="74">
        <v>109.88899162910495</v>
      </c>
      <c r="N49" s="74">
        <v>110.49342652929813</v>
      </c>
      <c r="O49" s="74">
        <v>110.89335338055375</v>
      </c>
    </row>
    <row r="52" spans="2:15" x14ac:dyDescent="0.3">
      <c r="B52" s="934" t="s">
        <v>232</v>
      </c>
      <c r="C52" s="934"/>
      <c r="D52" s="934"/>
      <c r="E52" s="934"/>
      <c r="F52" s="934"/>
      <c r="G52" s="934"/>
      <c r="H52" s="934"/>
      <c r="I52" s="934"/>
      <c r="J52" s="934"/>
      <c r="K52" s="934"/>
      <c r="L52" s="934"/>
      <c r="M52" s="934"/>
      <c r="N52" s="934"/>
      <c r="O52" s="934"/>
    </row>
    <row r="53" spans="2:15" x14ac:dyDescent="0.3">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
      <c r="B54" t="s">
        <v>192</v>
      </c>
      <c r="C54" t="s">
        <v>193</v>
      </c>
      <c r="D54" s="74">
        <f t="shared" ref="D54:K54" si="0">D4-D29</f>
        <v>54.640037825278853</v>
      </c>
      <c r="E54" s="74">
        <f t="shared" si="0"/>
        <v>17.423633015758583</v>
      </c>
      <c r="F54" s="74">
        <f t="shared" si="0"/>
        <v>11.522392619456411</v>
      </c>
      <c r="G54" s="74">
        <f t="shared" si="0"/>
        <v>11.63592743835278</v>
      </c>
      <c r="H54" s="74">
        <f t="shared" si="0"/>
        <v>11.750580961977164</v>
      </c>
      <c r="I54" s="74">
        <f t="shared" si="0"/>
        <v>11.866364213382099</v>
      </c>
      <c r="J54" s="74">
        <f t="shared" si="0"/>
        <v>11.98328832423465</v>
      </c>
      <c r="K54" s="74">
        <f t="shared" si="0"/>
        <v>12.101364535886887</v>
      </c>
      <c r="L54" s="74">
        <f t="shared" ref="L54:O54" si="1">L4-L29</f>
        <v>12.220604200456194</v>
      </c>
      <c r="M54" s="74">
        <f t="shared" si="1"/>
        <v>12.341018781917342</v>
      </c>
      <c r="N54" s="74">
        <f t="shared" si="1"/>
        <v>12.462619857204004</v>
      </c>
      <c r="O54" s="74">
        <f t="shared" si="1"/>
        <v>12.585419117322203</v>
      </c>
    </row>
    <row r="55" spans="2:15" x14ac:dyDescent="0.3">
      <c r="B55" t="s">
        <v>134</v>
      </c>
      <c r="C55" t="s">
        <v>194</v>
      </c>
      <c r="D55" s="74">
        <f t="shared" ref="D55:K55" si="2">D5-D30</f>
        <v>0</v>
      </c>
      <c r="E55" s="74">
        <f t="shared" si="2"/>
        <v>0</v>
      </c>
      <c r="F55" s="74">
        <f t="shared" si="2"/>
        <v>0</v>
      </c>
      <c r="G55" s="74">
        <f t="shared" si="2"/>
        <v>0</v>
      </c>
      <c r="H55" s="74">
        <f t="shared" si="2"/>
        <v>0</v>
      </c>
      <c r="I55" s="74">
        <f t="shared" si="2"/>
        <v>0</v>
      </c>
      <c r="J55" s="74">
        <f t="shared" si="2"/>
        <v>0</v>
      </c>
      <c r="K55" s="74">
        <f t="shared" si="2"/>
        <v>0</v>
      </c>
      <c r="L55" s="74">
        <f t="shared" ref="L55:O55" si="3">L5-L30</f>
        <v>0</v>
      </c>
      <c r="M55" s="74">
        <f t="shared" si="3"/>
        <v>0</v>
      </c>
      <c r="N55" s="74">
        <f t="shared" si="3"/>
        <v>0</v>
      </c>
      <c r="O55" s="74">
        <f t="shared" si="3"/>
        <v>0</v>
      </c>
    </row>
    <row r="56" spans="2:15" x14ac:dyDescent="0.3">
      <c r="B56" t="s">
        <v>195</v>
      </c>
      <c r="C56" t="s">
        <v>196</v>
      </c>
      <c r="D56" s="74">
        <f t="shared" ref="D56:K74" si="4">D6-D31</f>
        <v>-13.200000000000045</v>
      </c>
      <c r="E56" s="74">
        <f t="shared" si="4"/>
        <v>0</v>
      </c>
      <c r="F56" s="74">
        <f t="shared" si="4"/>
        <v>0</v>
      </c>
      <c r="G56" s="74">
        <f t="shared" si="4"/>
        <v>0</v>
      </c>
      <c r="H56" s="74">
        <f t="shared" si="4"/>
        <v>0</v>
      </c>
      <c r="I56" s="74">
        <f t="shared" si="4"/>
        <v>0</v>
      </c>
      <c r="J56" s="74">
        <f t="shared" si="4"/>
        <v>0</v>
      </c>
      <c r="K56" s="74">
        <f t="shared" si="4"/>
        <v>0</v>
      </c>
      <c r="L56" s="74">
        <f t="shared" ref="L56:O56" si="5">L6-L31</f>
        <v>0</v>
      </c>
      <c r="M56" s="74">
        <f t="shared" si="5"/>
        <v>0</v>
      </c>
      <c r="N56" s="74">
        <f t="shared" si="5"/>
        <v>0</v>
      </c>
      <c r="O56" s="74">
        <f t="shared" si="5"/>
        <v>0</v>
      </c>
    </row>
    <row r="57" spans="2:15" x14ac:dyDescent="0.3">
      <c r="B57" t="s">
        <v>197</v>
      </c>
      <c r="C57" t="s">
        <v>198</v>
      </c>
      <c r="D57" s="74">
        <f t="shared" si="4"/>
        <v>22.624386713393051</v>
      </c>
      <c r="E57" s="74">
        <f t="shared" si="4"/>
        <v>0</v>
      </c>
      <c r="F57" s="74">
        <f t="shared" si="4"/>
        <v>0</v>
      </c>
      <c r="G57" s="74">
        <f t="shared" si="4"/>
        <v>0</v>
      </c>
      <c r="H57" s="74">
        <f t="shared" si="4"/>
        <v>0</v>
      </c>
      <c r="I57" s="74">
        <f t="shared" si="4"/>
        <v>0</v>
      </c>
      <c r="J57" s="74">
        <f t="shared" si="4"/>
        <v>0</v>
      </c>
      <c r="K57" s="74">
        <f t="shared" si="4"/>
        <v>0</v>
      </c>
      <c r="L57" s="74">
        <f t="shared" ref="L57:O57" si="6">L7-L32</f>
        <v>0</v>
      </c>
      <c r="M57" s="74">
        <f t="shared" si="6"/>
        <v>0</v>
      </c>
      <c r="N57" s="74">
        <f t="shared" si="6"/>
        <v>0</v>
      </c>
      <c r="O57" s="74">
        <f t="shared" si="6"/>
        <v>0</v>
      </c>
    </row>
    <row r="58" spans="2:15" x14ac:dyDescent="0.3">
      <c r="B58" t="s">
        <v>199</v>
      </c>
      <c r="C58" t="s">
        <v>200</v>
      </c>
      <c r="D58" s="74">
        <f t="shared" si="4"/>
        <v>38.701035381750444</v>
      </c>
      <c r="E58" s="74">
        <f t="shared" si="4"/>
        <v>8.8838268792710835</v>
      </c>
      <c r="F58" s="74">
        <f t="shared" si="4"/>
        <v>0</v>
      </c>
      <c r="G58" s="74">
        <f t="shared" si="4"/>
        <v>0</v>
      </c>
      <c r="H58" s="74">
        <f t="shared" si="4"/>
        <v>0</v>
      </c>
      <c r="I58" s="74">
        <f t="shared" si="4"/>
        <v>0</v>
      </c>
      <c r="J58" s="74">
        <f t="shared" si="4"/>
        <v>0</v>
      </c>
      <c r="K58" s="74">
        <f t="shared" si="4"/>
        <v>0</v>
      </c>
      <c r="L58" s="74">
        <f t="shared" ref="L58:O58" si="7">L8-L33</f>
        <v>0</v>
      </c>
      <c r="M58" s="74">
        <f t="shared" si="7"/>
        <v>0</v>
      </c>
      <c r="N58" s="74">
        <f t="shared" si="7"/>
        <v>0</v>
      </c>
      <c r="O58" s="74">
        <f t="shared" si="7"/>
        <v>0</v>
      </c>
    </row>
    <row r="59" spans="2:15" x14ac:dyDescent="0.3">
      <c r="B59" t="s">
        <v>201</v>
      </c>
      <c r="C59" t="s">
        <v>202</v>
      </c>
      <c r="D59" s="74">
        <f t="shared" si="4"/>
        <v>0</v>
      </c>
      <c r="E59" s="74">
        <f t="shared" si="4"/>
        <v>0</v>
      </c>
      <c r="F59" s="74">
        <f t="shared" si="4"/>
        <v>0</v>
      </c>
      <c r="G59" s="74">
        <f t="shared" si="4"/>
        <v>0</v>
      </c>
      <c r="H59" s="74">
        <f t="shared" si="4"/>
        <v>0</v>
      </c>
      <c r="I59" s="74">
        <f t="shared" si="4"/>
        <v>0</v>
      </c>
      <c r="J59" s="74">
        <f t="shared" si="4"/>
        <v>0</v>
      </c>
      <c r="K59" s="74">
        <f t="shared" si="4"/>
        <v>0</v>
      </c>
      <c r="L59" s="74">
        <f t="shared" ref="L59:O59" si="8">L9-L34</f>
        <v>0</v>
      </c>
      <c r="M59" s="74">
        <f t="shared" si="8"/>
        <v>0</v>
      </c>
      <c r="N59" s="74">
        <f t="shared" si="8"/>
        <v>0</v>
      </c>
      <c r="O59" s="74">
        <f t="shared" si="8"/>
        <v>0</v>
      </c>
    </row>
    <row r="60" spans="2:15" x14ac:dyDescent="0.3">
      <c r="B60" t="s">
        <v>203</v>
      </c>
      <c r="C60" t="s">
        <v>204</v>
      </c>
      <c r="D60" s="74">
        <f t="shared" si="4"/>
        <v>2.1999999999999993</v>
      </c>
      <c r="E60" s="74">
        <f t="shared" si="4"/>
        <v>0</v>
      </c>
      <c r="F60" s="74">
        <f t="shared" si="4"/>
        <v>0</v>
      </c>
      <c r="G60" s="74">
        <f t="shared" si="4"/>
        <v>0</v>
      </c>
      <c r="H60" s="74">
        <f t="shared" si="4"/>
        <v>0</v>
      </c>
      <c r="I60" s="74">
        <f t="shared" si="4"/>
        <v>0</v>
      </c>
      <c r="J60" s="74">
        <f t="shared" si="4"/>
        <v>0</v>
      </c>
      <c r="K60" s="74">
        <f t="shared" si="4"/>
        <v>0</v>
      </c>
      <c r="L60" s="74">
        <f t="shared" ref="L60:O60" si="9">L10-L35</f>
        <v>0</v>
      </c>
      <c r="M60" s="74">
        <f t="shared" si="9"/>
        <v>0</v>
      </c>
      <c r="N60" s="74">
        <f t="shared" si="9"/>
        <v>0</v>
      </c>
      <c r="O60" s="74">
        <f t="shared" si="9"/>
        <v>0</v>
      </c>
    </row>
    <row r="61" spans="2:15" x14ac:dyDescent="0.3">
      <c r="B61" t="s">
        <v>205</v>
      </c>
      <c r="C61" t="s">
        <v>206</v>
      </c>
      <c r="D61" s="74">
        <f t="shared" si="4"/>
        <v>-1.3157894736842088</v>
      </c>
      <c r="E61" s="74">
        <f t="shared" si="4"/>
        <v>-1.1578713450292355</v>
      </c>
      <c r="F61" s="74">
        <f t="shared" si="4"/>
        <v>-1.2650350877192977</v>
      </c>
      <c r="G61" s="74">
        <f t="shared" si="4"/>
        <v>-1.7438947368421012</v>
      </c>
      <c r="H61" s="74">
        <f t="shared" si="4"/>
        <v>-2.337918128654966</v>
      </c>
      <c r="I61" s="74">
        <f t="shared" si="4"/>
        <v>-2.5861959064327458</v>
      </c>
      <c r="J61" s="74">
        <f t="shared" si="4"/>
        <v>-2.8059035087719231</v>
      </c>
      <c r="K61" s="74">
        <f t="shared" si="4"/>
        <v>-2.8530935672514559</v>
      </c>
      <c r="L61" s="74">
        <f t="shared" ref="L61:O61" si="10">L11-L36</f>
        <v>-1.4517543859649038</v>
      </c>
      <c r="M61" s="74">
        <f t="shared" si="10"/>
        <v>-1.4696637426900523</v>
      </c>
      <c r="N61" s="74">
        <f t="shared" si="10"/>
        <v>-1.491959064327478</v>
      </c>
      <c r="O61" s="74">
        <f t="shared" si="10"/>
        <v>-1.5135233918128606</v>
      </c>
    </row>
    <row r="62" spans="2:15" x14ac:dyDescent="0.3">
      <c r="B62" t="s">
        <v>207</v>
      </c>
      <c r="C62" t="s">
        <v>208</v>
      </c>
      <c r="D62" s="74">
        <f t="shared" si="4"/>
        <v>-20.14171513951419</v>
      </c>
      <c r="E62" s="74">
        <f t="shared" si="4"/>
        <v>-28.381484707426353</v>
      </c>
      <c r="F62" s="74">
        <f t="shared" si="4"/>
        <v>-28.920500128884896</v>
      </c>
      <c r="G62" s="74">
        <f t="shared" si="4"/>
        <v>-29.550336011387685</v>
      </c>
      <c r="H62" s="74">
        <f t="shared" si="4"/>
        <v>-30.193888573654476</v>
      </c>
      <c r="I62" s="74">
        <f t="shared" si="4"/>
        <v>-29.634975594927141</v>
      </c>
      <c r="J62" s="74">
        <f t="shared" si="4"/>
        <v>-29.132396291279179</v>
      </c>
      <c r="K62" s="74">
        <f t="shared" si="4"/>
        <v>-28.650223520818145</v>
      </c>
      <c r="L62" s="74">
        <f t="shared" ref="L62:O62" si="11">L12-L37</f>
        <v>-28.174973568031078</v>
      </c>
      <c r="M62" s="74">
        <f t="shared" si="11"/>
        <v>-27.70655411420762</v>
      </c>
      <c r="N62" s="74">
        <f t="shared" si="11"/>
        <v>-27.137458927003649</v>
      </c>
      <c r="O62" s="74">
        <f t="shared" si="11"/>
        <v>-26.684796958166771</v>
      </c>
    </row>
    <row r="63" spans="2:15" x14ac:dyDescent="0.3">
      <c r="B63" t="s">
        <v>209</v>
      </c>
      <c r="C63" t="s">
        <v>210</v>
      </c>
      <c r="D63" s="74">
        <f t="shared" si="4"/>
        <v>-11.133405821280235</v>
      </c>
      <c r="E63" s="74">
        <f t="shared" si="4"/>
        <v>-22.320751286077325</v>
      </c>
      <c r="F63" s="74">
        <f t="shared" si="4"/>
        <v>-22.806856644620211</v>
      </c>
      <c r="G63" s="74">
        <f t="shared" si="4"/>
        <v>-23.303548493580706</v>
      </c>
      <c r="H63" s="74">
        <f t="shared" si="4"/>
        <v>-23.811057387461801</v>
      </c>
      <c r="I63" s="74">
        <f t="shared" si="4"/>
        <v>-24.329618901824347</v>
      </c>
      <c r="J63" s="74">
        <f t="shared" si="4"/>
        <v>-23.808532046647656</v>
      </c>
      <c r="K63" s="74">
        <f t="shared" si="4"/>
        <v>-23.295718871674922</v>
      </c>
      <c r="L63" s="74">
        <f t="shared" ref="L63:O63" si="12">L13-L38</f>
        <v>-22.791062934562206</v>
      </c>
      <c r="M63" s="74">
        <f t="shared" si="12"/>
        <v>-22.294449327669781</v>
      </c>
      <c r="N63" s="74">
        <f>N13-N38</f>
        <v>-21.805764658653857</v>
      </c>
      <c r="O63" s="74">
        <f t="shared" si="12"/>
        <v>-21.324897031296473</v>
      </c>
    </row>
    <row r="64" spans="2:15" x14ac:dyDescent="0.3">
      <c r="B64" t="s">
        <v>55</v>
      </c>
      <c r="C64" t="s">
        <v>211</v>
      </c>
      <c r="D64" s="74">
        <f t="shared" si="4"/>
        <v>0.54207258007284054</v>
      </c>
      <c r="E64" s="74">
        <f t="shared" si="4"/>
        <v>-12.446447171901013</v>
      </c>
      <c r="F64" s="74">
        <f t="shared" si="4"/>
        <v>-12.710043424192577</v>
      </c>
      <c r="G64" s="74">
        <f t="shared" si="4"/>
        <v>-12.960682096580626</v>
      </c>
      <c r="H64" s="74">
        <f t="shared" si="4"/>
        <v>-13.216263296857846</v>
      </c>
      <c r="I64" s="74">
        <f t="shared" si="4"/>
        <v>-13.476884490358316</v>
      </c>
      <c r="J64" s="74">
        <f t="shared" si="4"/>
        <v>-13.742645064406474</v>
      </c>
      <c r="K64" s="74">
        <f t="shared" si="4"/>
        <v>-14.074030934687471</v>
      </c>
      <c r="L64" s="74">
        <f t="shared" ref="L64:O64" si="13">L14-L39</f>
        <v>-14.413407740811408</v>
      </c>
      <c r="M64" s="74">
        <f t="shared" si="13"/>
        <v>-14.760968173720585</v>
      </c>
      <c r="N64" s="74">
        <f t="shared" si="13"/>
        <v>-15.116909570846929</v>
      </c>
      <c r="O64" s="74">
        <f t="shared" si="13"/>
        <v>-15.481434028155945</v>
      </c>
    </row>
    <row r="65" spans="2:15" x14ac:dyDescent="0.3">
      <c r="B65" t="s">
        <v>212</v>
      </c>
      <c r="C65" t="s">
        <v>213</v>
      </c>
      <c r="D65" s="74">
        <f t="shared" si="4"/>
        <v>0</v>
      </c>
      <c r="E65" s="74">
        <f t="shared" si="4"/>
        <v>0</v>
      </c>
      <c r="F65" s="74">
        <f t="shared" si="4"/>
        <v>0</v>
      </c>
      <c r="G65" s="74">
        <f t="shared" si="4"/>
        <v>0</v>
      </c>
      <c r="H65" s="74">
        <f t="shared" si="4"/>
        <v>0</v>
      </c>
      <c r="I65" s="74">
        <f t="shared" si="4"/>
        <v>0</v>
      </c>
      <c r="J65" s="74">
        <f t="shared" si="4"/>
        <v>0</v>
      </c>
      <c r="K65" s="74">
        <f t="shared" si="4"/>
        <v>0</v>
      </c>
      <c r="L65" s="74">
        <f t="shared" ref="L65:O65" si="14">L15-L40</f>
        <v>0</v>
      </c>
      <c r="M65" s="74">
        <f t="shared" si="14"/>
        <v>0</v>
      </c>
      <c r="N65" s="74">
        <f t="shared" si="14"/>
        <v>0</v>
      </c>
      <c r="O65" s="74">
        <f t="shared" si="14"/>
        <v>0</v>
      </c>
    </row>
    <row r="66" spans="2:15" x14ac:dyDescent="0.3">
      <c r="B66" t="s">
        <v>214</v>
      </c>
      <c r="C66" t="s">
        <v>215</v>
      </c>
      <c r="D66" s="74">
        <f t="shared" si="4"/>
        <v>0</v>
      </c>
      <c r="E66" s="74">
        <f t="shared" si="4"/>
        <v>0</v>
      </c>
      <c r="F66" s="74">
        <f t="shared" si="4"/>
        <v>0</v>
      </c>
      <c r="G66" s="74">
        <f t="shared" si="4"/>
        <v>0</v>
      </c>
      <c r="H66" s="74">
        <f t="shared" si="4"/>
        <v>0</v>
      </c>
      <c r="I66" s="74">
        <f t="shared" si="4"/>
        <v>0</v>
      </c>
      <c r="J66" s="74">
        <f t="shared" si="4"/>
        <v>0</v>
      </c>
      <c r="K66" s="74">
        <f t="shared" si="4"/>
        <v>0</v>
      </c>
      <c r="L66" s="74">
        <f t="shared" ref="L66:O66" si="15">L16-L41</f>
        <v>0</v>
      </c>
      <c r="M66" s="74">
        <f t="shared" si="15"/>
        <v>0</v>
      </c>
      <c r="N66" s="74">
        <f t="shared" si="15"/>
        <v>0</v>
      </c>
      <c r="O66" s="74">
        <f t="shared" si="15"/>
        <v>0</v>
      </c>
    </row>
    <row r="67" spans="2:15" x14ac:dyDescent="0.3">
      <c r="B67" t="s">
        <v>216</v>
      </c>
      <c r="C67" t="s">
        <v>217</v>
      </c>
      <c r="D67" s="74">
        <f t="shared" si="4"/>
        <v>0</v>
      </c>
      <c r="E67" s="74">
        <f t="shared" si="4"/>
        <v>0</v>
      </c>
      <c r="F67" s="74">
        <f t="shared" si="4"/>
        <v>0</v>
      </c>
      <c r="G67" s="74">
        <f t="shared" si="4"/>
        <v>0</v>
      </c>
      <c r="H67" s="74">
        <f t="shared" si="4"/>
        <v>0</v>
      </c>
      <c r="I67" s="74">
        <f t="shared" si="4"/>
        <v>0</v>
      </c>
      <c r="J67" s="74">
        <f t="shared" si="4"/>
        <v>0</v>
      </c>
      <c r="K67" s="74">
        <f t="shared" si="4"/>
        <v>0</v>
      </c>
      <c r="L67" s="74">
        <f t="shared" ref="L67:O67" si="16">L17-L42</f>
        <v>0</v>
      </c>
      <c r="M67" s="74">
        <f t="shared" si="16"/>
        <v>0</v>
      </c>
      <c r="N67" s="74">
        <f t="shared" si="16"/>
        <v>0</v>
      </c>
      <c r="O67" s="74">
        <f t="shared" si="16"/>
        <v>0</v>
      </c>
    </row>
    <row r="68" spans="2:15" x14ac:dyDescent="0.3">
      <c r="B68" t="s">
        <v>896</v>
      </c>
      <c r="C68" t="s">
        <v>219</v>
      </c>
      <c r="D68" s="74">
        <f t="shared" si="4"/>
        <v>9.2000000000000028</v>
      </c>
      <c r="E68" s="74">
        <f t="shared" si="4"/>
        <v>15.102505694760818</v>
      </c>
      <c r="F68" s="74">
        <f t="shared" si="4"/>
        <v>0</v>
      </c>
      <c r="G68" s="74">
        <f t="shared" si="4"/>
        <v>0</v>
      </c>
      <c r="H68" s="74">
        <f t="shared" si="4"/>
        <v>0</v>
      </c>
      <c r="I68" s="74">
        <f t="shared" si="4"/>
        <v>0</v>
      </c>
      <c r="J68" s="74">
        <f t="shared" si="4"/>
        <v>0</v>
      </c>
      <c r="K68" s="74">
        <f t="shared" si="4"/>
        <v>0</v>
      </c>
      <c r="L68" s="74">
        <f t="shared" ref="L68:O68" si="17">L18-L43</f>
        <v>0</v>
      </c>
      <c r="M68" s="74">
        <f t="shared" si="17"/>
        <v>0</v>
      </c>
      <c r="N68" s="74">
        <f t="shared" si="17"/>
        <v>0</v>
      </c>
      <c r="O68" s="74">
        <f t="shared" si="17"/>
        <v>0</v>
      </c>
    </row>
    <row r="69" spans="2:15" x14ac:dyDescent="0.3">
      <c r="B69" t="s">
        <v>220</v>
      </c>
      <c r="C69" t="s">
        <v>221</v>
      </c>
      <c r="D69" s="74">
        <f t="shared" si="4"/>
        <v>25.587619999999106</v>
      </c>
      <c r="E69" s="74">
        <f t="shared" si="4"/>
        <v>0</v>
      </c>
      <c r="F69" s="74">
        <f t="shared" si="4"/>
        <v>0</v>
      </c>
      <c r="G69" s="74">
        <f t="shared" si="4"/>
        <v>-9.0400000001409353E-3</v>
      </c>
      <c r="H69" s="74">
        <f t="shared" si="4"/>
        <v>-9.0400000001409353E-3</v>
      </c>
      <c r="I69" s="74">
        <f t="shared" si="4"/>
        <v>-9.0400000001409353E-3</v>
      </c>
      <c r="J69" s="74">
        <f t="shared" si="4"/>
        <v>-9.0400000001409353E-3</v>
      </c>
      <c r="K69" s="74">
        <f t="shared" si="4"/>
        <v>-1.3560000000097716E-2</v>
      </c>
      <c r="L69" s="74">
        <f t="shared" ref="L69:O69" si="18">L19-L44</f>
        <v>-1.3560000000097716E-2</v>
      </c>
      <c r="M69" s="74">
        <f t="shared" si="18"/>
        <v>-1.3560000000097716E-2</v>
      </c>
      <c r="N69" s="74">
        <f t="shared" si="18"/>
        <v>-1.3560000000097716E-2</v>
      </c>
      <c r="O69" s="74">
        <f t="shared" si="18"/>
        <v>-1.8080000000054497E-2</v>
      </c>
    </row>
    <row r="70" spans="2:15" x14ac:dyDescent="0.3">
      <c r="B70" t="s">
        <v>222</v>
      </c>
      <c r="C70" t="s">
        <v>223</v>
      </c>
      <c r="D70" s="74">
        <f t="shared" si="4"/>
        <v>-0.69549303998928735</v>
      </c>
      <c r="E70" s="74">
        <f t="shared" si="4"/>
        <v>-0.70387918640571456</v>
      </c>
      <c r="F70" s="74">
        <f t="shared" si="4"/>
        <v>-0.71236645166541734</v>
      </c>
      <c r="G70" s="74">
        <f t="shared" si="4"/>
        <v>-0.72095605504361515</v>
      </c>
      <c r="H70" s="74">
        <f t="shared" si="4"/>
        <v>-0.72964923051736719</v>
      </c>
      <c r="I70" s="74">
        <f t="shared" si="4"/>
        <v>-0.73844722694278175</v>
      </c>
      <c r="J70" s="74">
        <f t="shared" si="4"/>
        <v>-0.74735130823458462</v>
      </c>
      <c r="K70" s="74">
        <f t="shared" si="4"/>
        <v>-0.75636275354747795</v>
      </c>
      <c r="L70" s="74">
        <f t="shared" ref="L70:O70" si="19">L20-L45</f>
        <v>-0.76548285746005718</v>
      </c>
      <c r="M70" s="74">
        <f t="shared" si="19"/>
        <v>-0.77471293016074583</v>
      </c>
      <c r="N70" s="74">
        <f t="shared" si="19"/>
        <v>-0.78405429763600409</v>
      </c>
      <c r="O70" s="74">
        <f t="shared" si="19"/>
        <v>-0.79350830186083954</v>
      </c>
    </row>
    <row r="71" spans="2:15" x14ac:dyDescent="0.3">
      <c r="B71" t="s">
        <v>224</v>
      </c>
      <c r="C71" t="s">
        <v>225</v>
      </c>
      <c r="D71" s="74">
        <f t="shared" si="4"/>
        <v>-108.47790859340057</v>
      </c>
      <c r="E71" s="74">
        <f t="shared" si="4"/>
        <v>-113.93726342448554</v>
      </c>
      <c r="F71" s="74">
        <f t="shared" si="4"/>
        <v>-113.74512628419689</v>
      </c>
      <c r="G71" s="74">
        <f t="shared" si="4"/>
        <v>-113.55877798933034</v>
      </c>
      <c r="H71" s="74">
        <f t="shared" si="4"/>
        <v>-113.37828208741848</v>
      </c>
      <c r="I71" s="74">
        <f t="shared" si="4"/>
        <v>-113.20370341375838</v>
      </c>
      <c r="J71" s="74">
        <f t="shared" si="4"/>
        <v>-112.96248763185304</v>
      </c>
      <c r="K71" s="74">
        <f t="shared" si="4"/>
        <v>-112.72353623385152</v>
      </c>
      <c r="L71" s="74">
        <f t="shared" ref="L71:O71" si="20">L21-L46</f>
        <v>-112.48685255562759</v>
      </c>
      <c r="M71" s="74">
        <f t="shared" si="20"/>
        <v>-112.25244001682495</v>
      </c>
      <c r="N71" s="74">
        <f t="shared" si="20"/>
        <v>-112.31981720957083</v>
      </c>
      <c r="O71" s="74">
        <f t="shared" si="20"/>
        <v>-112.38782321751387</v>
      </c>
    </row>
    <row r="72" spans="2:15" x14ac:dyDescent="0.3">
      <c r="B72" t="s">
        <v>226</v>
      </c>
      <c r="C72" t="s">
        <v>227</v>
      </c>
      <c r="D72" s="74">
        <f t="shared" si="4"/>
        <v>13.814605409117576</v>
      </c>
      <c r="E72" s="74">
        <f t="shared" si="4"/>
        <v>8.8030502592196171</v>
      </c>
      <c r="F72" s="74">
        <f t="shared" si="4"/>
        <v>8.9138241255786852</v>
      </c>
      <c r="G72" s="74">
        <f t="shared" si="4"/>
        <v>9.0346544879635076</v>
      </c>
      <c r="H72" s="74">
        <f t="shared" si="4"/>
        <v>9.1580852870406488</v>
      </c>
      <c r="I72" s="74">
        <f t="shared" si="4"/>
        <v>9.2807484971881422</v>
      </c>
      <c r="J72" s="74">
        <f t="shared" si="4"/>
        <v>9.3914247494112715</v>
      </c>
      <c r="K72" s="74">
        <f t="shared" si="4"/>
        <v>9.5016422254802819</v>
      </c>
      <c r="L72" s="74">
        <f t="shared" ref="L72:O72" si="21">L22-L47</f>
        <v>9.6018648187637154</v>
      </c>
      <c r="M72" s="74">
        <f t="shared" si="21"/>
        <v>9.7074886986201818</v>
      </c>
      <c r="N72" s="74">
        <f t="shared" si="21"/>
        <v>9.8120216830698155</v>
      </c>
      <c r="O72" s="74">
        <f t="shared" si="21"/>
        <v>9.910914374078402</v>
      </c>
    </row>
    <row r="73" spans="2:15" x14ac:dyDescent="0.3">
      <c r="B73" t="s">
        <v>228</v>
      </c>
      <c r="C73" t="s">
        <v>229</v>
      </c>
      <c r="D73" s="74">
        <f t="shared" si="4"/>
        <v>0</v>
      </c>
      <c r="E73" s="74">
        <f t="shared" si="4"/>
        <v>0</v>
      </c>
      <c r="F73" s="74">
        <f t="shared" si="4"/>
        <v>0</v>
      </c>
      <c r="G73" s="74">
        <f t="shared" si="4"/>
        <v>0</v>
      </c>
      <c r="H73" s="74">
        <f t="shared" si="4"/>
        <v>0</v>
      </c>
      <c r="I73" s="74">
        <f t="shared" si="4"/>
        <v>0</v>
      </c>
      <c r="J73" s="74">
        <f t="shared" si="4"/>
        <v>0</v>
      </c>
      <c r="K73" s="74">
        <f t="shared" si="4"/>
        <v>0</v>
      </c>
      <c r="L73" s="74">
        <f t="shared" ref="L73:O73" si="22">L23-L48</f>
        <v>0</v>
      </c>
      <c r="M73" s="74">
        <f t="shared" si="22"/>
        <v>0</v>
      </c>
      <c r="N73" s="74">
        <f t="shared" si="22"/>
        <v>0</v>
      </c>
      <c r="O73" s="74">
        <f t="shared" si="22"/>
        <v>0</v>
      </c>
    </row>
    <row r="74" spans="2:15" x14ac:dyDescent="0.3">
      <c r="B74" t="s">
        <v>230</v>
      </c>
      <c r="C74" t="s">
        <v>231</v>
      </c>
      <c r="D74" s="74">
        <f t="shared" si="4"/>
        <v>0</v>
      </c>
      <c r="E74" s="74">
        <f t="shared" si="4"/>
        <v>0</v>
      </c>
      <c r="F74" s="74">
        <f t="shared" si="4"/>
        <v>0</v>
      </c>
      <c r="G74" s="74">
        <f t="shared" si="4"/>
        <v>0</v>
      </c>
      <c r="H74" s="74">
        <f t="shared" si="4"/>
        <v>0</v>
      </c>
      <c r="I74" s="74">
        <f t="shared" si="4"/>
        <v>0</v>
      </c>
      <c r="J74" s="74">
        <f t="shared" si="4"/>
        <v>0</v>
      </c>
      <c r="K74" s="74">
        <f t="shared" si="4"/>
        <v>0</v>
      </c>
      <c r="L74" s="74">
        <f t="shared" ref="L74:O74" si="23">L24-L49</f>
        <v>0</v>
      </c>
      <c r="M74" s="74">
        <f t="shared" si="23"/>
        <v>0</v>
      </c>
      <c r="N74" s="74">
        <f t="shared" si="23"/>
        <v>0</v>
      </c>
      <c r="O74" s="74">
        <f t="shared" si="23"/>
        <v>0</v>
      </c>
    </row>
    <row r="77" spans="2:15" x14ac:dyDescent="0.3">
      <c r="B77" s="934" t="s">
        <v>233</v>
      </c>
      <c r="C77" s="934"/>
      <c r="D77" s="934"/>
      <c r="E77" s="934"/>
      <c r="F77" s="934"/>
      <c r="G77" s="934"/>
      <c r="H77" s="934"/>
      <c r="I77" s="934"/>
      <c r="J77" s="934"/>
      <c r="K77" s="934"/>
      <c r="L77" s="934"/>
      <c r="M77" s="934"/>
      <c r="N77" s="934"/>
      <c r="O77" s="934"/>
    </row>
    <row r="78" spans="2:15" x14ac:dyDescent="0.3">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
      <c r="B79" t="s">
        <v>192</v>
      </c>
      <c r="C79" t="s">
        <v>193</v>
      </c>
      <c r="D79" s="75">
        <f t="shared" ref="D79:K79" si="24">(D4/D29-1)</f>
        <v>0.12394837578134088</v>
      </c>
      <c r="E79" s="75">
        <f t="shared" si="24"/>
        <v>3.9316463673211066E-2</v>
      </c>
      <c r="F79" s="75">
        <f t="shared" si="24"/>
        <v>2.5636269519606847E-2</v>
      </c>
      <c r="G79" s="75">
        <f t="shared" si="24"/>
        <v>2.6200338743594731E-2</v>
      </c>
      <c r="H79" s="75">
        <f t="shared" si="24"/>
        <v>2.620455542382083E-2</v>
      </c>
      <c r="I79" s="75">
        <f t="shared" si="24"/>
        <v>2.6531934354358411E-2</v>
      </c>
      <c r="J79" s="75">
        <f t="shared" si="24"/>
        <v>2.6849206754530508E-2</v>
      </c>
      <c r="K79" s="75">
        <f t="shared" si="24"/>
        <v>2.7824833664993109E-2</v>
      </c>
      <c r="L79" s="75">
        <f t="shared" ref="L79:O79" si="25">(L4/L29-1)</f>
        <v>2.9443368934645386E-2</v>
      </c>
      <c r="M79" s="75">
        <f t="shared" si="25"/>
        <v>2.9417077028380589E-2</v>
      </c>
      <c r="N79" s="75">
        <f t="shared" si="25"/>
        <v>2.9448247683797391E-2</v>
      </c>
      <c r="O79" s="75">
        <f t="shared" si="25"/>
        <v>3.096977559270564E-2</v>
      </c>
    </row>
    <row r="80" spans="2:15" x14ac:dyDescent="0.3">
      <c r="B80" t="s">
        <v>134</v>
      </c>
      <c r="C80" t="s">
        <v>194</v>
      </c>
      <c r="D80" s="75">
        <f t="shared" ref="D80:K99" si="26">(D5/D30-1)</f>
        <v>0</v>
      </c>
      <c r="E80" s="75">
        <f t="shared" si="26"/>
        <v>0</v>
      </c>
      <c r="F80" s="75">
        <f t="shared" si="26"/>
        <v>0</v>
      </c>
      <c r="G80" s="75">
        <f t="shared" si="26"/>
        <v>0</v>
      </c>
      <c r="H80" s="75">
        <f t="shared" si="26"/>
        <v>0</v>
      </c>
      <c r="I80" s="75">
        <f t="shared" si="26"/>
        <v>0</v>
      </c>
      <c r="J80" s="75">
        <f t="shared" si="26"/>
        <v>0</v>
      </c>
      <c r="K80" s="75">
        <f t="shared" si="26"/>
        <v>0</v>
      </c>
      <c r="L80" s="75">
        <f t="shared" ref="L80:O80" si="27">(L5/L30-1)</f>
        <v>0</v>
      </c>
      <c r="M80" s="75">
        <f t="shared" si="27"/>
        <v>0</v>
      </c>
      <c r="N80" s="75">
        <f t="shared" si="27"/>
        <v>0</v>
      </c>
      <c r="O80" s="75">
        <f t="shared" si="27"/>
        <v>0</v>
      </c>
    </row>
    <row r="81" spans="2:15" x14ac:dyDescent="0.3">
      <c r="B81" t="s">
        <v>195</v>
      </c>
      <c r="C81" t="s">
        <v>196</v>
      </c>
      <c r="D81" s="75">
        <f t="shared" si="26"/>
        <v>-8.2945833856981066E-3</v>
      </c>
      <c r="E81" s="75">
        <f t="shared" si="26"/>
        <v>0</v>
      </c>
      <c r="F81" s="75">
        <f t="shared" si="26"/>
        <v>0</v>
      </c>
      <c r="G81" s="75">
        <f t="shared" si="26"/>
        <v>0</v>
      </c>
      <c r="H81" s="75">
        <f t="shared" si="26"/>
        <v>0</v>
      </c>
      <c r="I81" s="75">
        <f t="shared" si="26"/>
        <v>0</v>
      </c>
      <c r="J81" s="75">
        <f t="shared" si="26"/>
        <v>0</v>
      </c>
      <c r="K81" s="75">
        <f t="shared" si="26"/>
        <v>0</v>
      </c>
      <c r="L81" s="75">
        <f t="shared" ref="L81:O81" si="28">(L6/L31-1)</f>
        <v>0</v>
      </c>
      <c r="M81" s="75">
        <f t="shared" si="28"/>
        <v>0</v>
      </c>
      <c r="N81" s="75">
        <f t="shared" si="28"/>
        <v>0</v>
      </c>
      <c r="O81" s="75">
        <f t="shared" si="28"/>
        <v>0</v>
      </c>
    </row>
    <row r="82" spans="2:15" x14ac:dyDescent="0.3">
      <c r="B82" t="s">
        <v>197</v>
      </c>
      <c r="C82" t="s">
        <v>198</v>
      </c>
      <c r="D82" s="75">
        <f t="shared" si="26"/>
        <v>8.3947131582713386E-3</v>
      </c>
      <c r="E82" s="75">
        <f t="shared" si="26"/>
        <v>0</v>
      </c>
      <c r="F82" s="75">
        <f t="shared" si="26"/>
        <v>0</v>
      </c>
      <c r="G82" s="75">
        <f t="shared" si="26"/>
        <v>0</v>
      </c>
      <c r="H82" s="75">
        <f t="shared" si="26"/>
        <v>0</v>
      </c>
      <c r="I82" s="75">
        <f t="shared" si="26"/>
        <v>0</v>
      </c>
      <c r="J82" s="75">
        <f t="shared" si="26"/>
        <v>0</v>
      </c>
      <c r="K82" s="75">
        <f t="shared" si="26"/>
        <v>0</v>
      </c>
      <c r="L82" s="75">
        <f t="shared" ref="L82:O82" si="29">(L7/L32-1)</f>
        <v>0</v>
      </c>
      <c r="M82" s="75">
        <f t="shared" si="29"/>
        <v>0</v>
      </c>
      <c r="N82" s="75">
        <f t="shared" si="29"/>
        <v>0</v>
      </c>
      <c r="O82" s="75">
        <f t="shared" si="29"/>
        <v>0</v>
      </c>
    </row>
    <row r="83" spans="2:15" x14ac:dyDescent="0.3">
      <c r="B83" t="s">
        <v>199</v>
      </c>
      <c r="C83" t="s">
        <v>200</v>
      </c>
      <c r="D83" s="75">
        <f t="shared" si="26"/>
        <v>4.4224879279070572</v>
      </c>
      <c r="E83" s="75">
        <f t="shared" si="26"/>
        <v>-0.72604011762594722</v>
      </c>
      <c r="F83" s="75">
        <f t="shared" si="26"/>
        <v>0</v>
      </c>
      <c r="G83" s="75">
        <f t="shared" si="26"/>
        <v>0</v>
      </c>
      <c r="H83" s="75">
        <f t="shared" si="26"/>
        <v>0</v>
      </c>
      <c r="I83" s="75">
        <f t="shared" si="26"/>
        <v>0</v>
      </c>
      <c r="J83" s="75">
        <f t="shared" si="26"/>
        <v>0</v>
      </c>
      <c r="K83" s="75">
        <f t="shared" si="26"/>
        <v>0</v>
      </c>
      <c r="L83" s="75">
        <f t="shared" ref="L83:O83" si="30">(L8/L33-1)</f>
        <v>0</v>
      </c>
      <c r="M83" s="75">
        <f t="shared" si="30"/>
        <v>0</v>
      </c>
      <c r="N83" s="75">
        <f t="shared" si="30"/>
        <v>0</v>
      </c>
      <c r="O83" s="75">
        <f t="shared" si="30"/>
        <v>0</v>
      </c>
    </row>
    <row r="84" spans="2:15" x14ac:dyDescent="0.3">
      <c r="B84" t="s">
        <v>201</v>
      </c>
      <c r="C84" t="s">
        <v>202</v>
      </c>
      <c r="D84" s="75">
        <f t="shared" si="26"/>
        <v>0</v>
      </c>
      <c r="E84" s="75">
        <f t="shared" si="26"/>
        <v>0</v>
      </c>
      <c r="F84" s="75">
        <f t="shared" si="26"/>
        <v>0</v>
      </c>
      <c r="G84" s="75">
        <f t="shared" si="26"/>
        <v>0</v>
      </c>
      <c r="H84" s="75">
        <f t="shared" si="26"/>
        <v>0</v>
      </c>
      <c r="I84" s="75">
        <f t="shared" si="26"/>
        <v>0</v>
      </c>
      <c r="J84" s="75">
        <f t="shared" si="26"/>
        <v>0</v>
      </c>
      <c r="K84" s="75">
        <f t="shared" si="26"/>
        <v>0</v>
      </c>
      <c r="L84" s="75">
        <f t="shared" ref="L84:O84" si="31">(L9/L34-1)</f>
        <v>0</v>
      </c>
      <c r="M84" s="75">
        <f t="shared" si="31"/>
        <v>0</v>
      </c>
      <c r="N84" s="75">
        <f t="shared" si="31"/>
        <v>0</v>
      </c>
      <c r="O84" s="75">
        <f t="shared" si="31"/>
        <v>0</v>
      </c>
    </row>
    <row r="85" spans="2:15" x14ac:dyDescent="0.3">
      <c r="B85" t="s">
        <v>203</v>
      </c>
      <c r="C85" t="s">
        <v>204</v>
      </c>
      <c r="D85" s="75" t="e">
        <f t="shared" si="26"/>
        <v>#DIV/0!</v>
      </c>
      <c r="E85" s="75" t="e">
        <f t="shared" si="26"/>
        <v>#DIV/0!</v>
      </c>
      <c r="F85" s="75" t="e">
        <f t="shared" si="26"/>
        <v>#DIV/0!</v>
      </c>
      <c r="G85" s="75" t="e">
        <f t="shared" si="26"/>
        <v>#DIV/0!</v>
      </c>
      <c r="H85" s="75" t="e">
        <f t="shared" si="26"/>
        <v>#DIV/0!</v>
      </c>
      <c r="I85" s="75" t="e">
        <f t="shared" si="26"/>
        <v>#DIV/0!</v>
      </c>
      <c r="J85" s="75" t="e">
        <f t="shared" si="26"/>
        <v>#DIV/0!</v>
      </c>
      <c r="K85" s="75" t="e">
        <f t="shared" si="26"/>
        <v>#DIV/0!</v>
      </c>
      <c r="L85" s="75" t="e">
        <f t="shared" ref="L85:O85" si="32">(L10/L35-1)</f>
        <v>#DIV/0!</v>
      </c>
      <c r="M85" s="75" t="e">
        <f t="shared" si="32"/>
        <v>#DIV/0!</v>
      </c>
      <c r="N85" s="75" t="e">
        <f t="shared" si="32"/>
        <v>#DIV/0!</v>
      </c>
      <c r="O85" s="75" t="e">
        <f t="shared" si="32"/>
        <v>#DIV/0!</v>
      </c>
    </row>
    <row r="86" spans="2:15" x14ac:dyDescent="0.3">
      <c r="B86" t="s">
        <v>205</v>
      </c>
      <c r="C86" t="s">
        <v>206</v>
      </c>
      <c r="D86" s="75">
        <f t="shared" si="26"/>
        <v>-6.8832599118942683E-2</v>
      </c>
      <c r="E86" s="75">
        <f t="shared" si="26"/>
        <v>-5.9222506442820788E-2</v>
      </c>
      <c r="F86" s="75">
        <f t="shared" si="26"/>
        <v>-6.5504258120467673E-2</v>
      </c>
      <c r="G86" s="75">
        <f t="shared" si="26"/>
        <v>-8.9683425681544082E-2</v>
      </c>
      <c r="H86" s="75">
        <f t="shared" si="26"/>
        <v>-0.11842139561556686</v>
      </c>
      <c r="I86" s="75">
        <f t="shared" si="26"/>
        <v>-0.12901931324211557</v>
      </c>
      <c r="J86" s="75">
        <f t="shared" si="26"/>
        <v>-0.13778997639409762</v>
      </c>
      <c r="K86" s="75">
        <f t="shared" si="26"/>
        <v>-0.13741986547539886</v>
      </c>
      <c r="L86" s="75">
        <f t="shared" ref="L86:O86" si="33">(L11/L36-1)</f>
        <v>-6.883259911894235E-2</v>
      </c>
      <c r="M86" s="75">
        <f t="shared" si="33"/>
        <v>-6.8832599118942461E-2</v>
      </c>
      <c r="N86" s="75">
        <f t="shared" si="33"/>
        <v>-6.8832599118942461E-2</v>
      </c>
      <c r="O86" s="75">
        <f t="shared" si="33"/>
        <v>-6.8832599118942572E-2</v>
      </c>
    </row>
    <row r="87" spans="2:15" x14ac:dyDescent="0.3">
      <c r="B87" t="s">
        <v>207</v>
      </c>
      <c r="C87" t="s">
        <v>208</v>
      </c>
      <c r="D87" s="75">
        <f t="shared" si="26"/>
        <v>-3.378622358706207E-2</v>
      </c>
      <c r="E87" s="75">
        <f t="shared" si="26"/>
        <v>-4.672556405400452E-2</v>
      </c>
      <c r="F87" s="75">
        <f t="shared" si="26"/>
        <v>-4.6820261091612969E-2</v>
      </c>
      <c r="G87" s="75">
        <f t="shared" si="26"/>
        <v>-4.682026109161308E-2</v>
      </c>
      <c r="H87" s="75">
        <f t="shared" si="26"/>
        <v>-4.6820261091612858E-2</v>
      </c>
      <c r="I87" s="75">
        <f t="shared" si="26"/>
        <v>-4.8293548621234361E-2</v>
      </c>
      <c r="J87" s="75">
        <f t="shared" si="26"/>
        <v>-4.8025676757407321E-2</v>
      </c>
      <c r="K87" s="75">
        <f t="shared" si="26"/>
        <v>-4.7740291315253036E-2</v>
      </c>
      <c r="L87" s="75">
        <f t="shared" ref="L87:O87" si="34">(L12/L37-1)</f>
        <v>-4.7454820319477342E-2</v>
      </c>
      <c r="M87" s="75">
        <f t="shared" si="34"/>
        <v>-4.7169263744432866E-2</v>
      </c>
      <c r="N87" s="75">
        <f t="shared" si="34"/>
        <v>-4.7041116570009422E-2</v>
      </c>
      <c r="O87" s="75">
        <f t="shared" si="34"/>
        <v>-4.6755435973733994E-2</v>
      </c>
    </row>
    <row r="88" spans="2:15" x14ac:dyDescent="0.3">
      <c r="B88" t="s">
        <v>209</v>
      </c>
      <c r="C88" t="s">
        <v>210</v>
      </c>
      <c r="D88" s="75">
        <f t="shared" si="26"/>
        <v>-1.3650012054214122E-2</v>
      </c>
      <c r="E88" s="75">
        <f t="shared" si="26"/>
        <v>-2.6859012614086852E-2</v>
      </c>
      <c r="F88" s="75">
        <f t="shared" si="26"/>
        <v>-2.6859012614086852E-2</v>
      </c>
      <c r="G88" s="75">
        <f t="shared" si="26"/>
        <v>-2.6859012614086852E-2</v>
      </c>
      <c r="H88" s="75">
        <f t="shared" si="26"/>
        <v>-2.6859012614086852E-2</v>
      </c>
      <c r="I88" s="75">
        <f t="shared" si="26"/>
        <v>-2.6859012614086963E-2</v>
      </c>
      <c r="J88" s="75">
        <f t="shared" si="26"/>
        <v>-2.656728177200085E-2</v>
      </c>
      <c r="K88" s="75">
        <f t="shared" si="26"/>
        <v>-2.6275463474052518E-2</v>
      </c>
      <c r="L88" s="75">
        <f t="shared" ref="L88:O88" si="35">(L13/L38-1)</f>
        <v>-2.5983557694024162E-2</v>
      </c>
      <c r="M88" s="75">
        <f t="shared" si="35"/>
        <v>-2.5691564405689982E-2</v>
      </c>
      <c r="N88" s="75">
        <f t="shared" si="35"/>
        <v>-2.5399483582816629E-2</v>
      </c>
      <c r="O88" s="75">
        <f t="shared" si="35"/>
        <v>-2.510731519916265E-2</v>
      </c>
    </row>
    <row r="89" spans="2:15" x14ac:dyDescent="0.3">
      <c r="B89" t="s">
        <v>55</v>
      </c>
      <c r="C89" t="s">
        <v>211</v>
      </c>
      <c r="D89" s="75">
        <f t="shared" si="26"/>
        <v>6.2641429967480455E-4</v>
      </c>
      <c r="E89" s="75">
        <f t="shared" si="26"/>
        <v>-1.4084712592657755E-2</v>
      </c>
      <c r="F89" s="75">
        <f t="shared" si="26"/>
        <v>-1.4084712592657755E-2</v>
      </c>
      <c r="G89" s="75">
        <f t="shared" si="26"/>
        <v>-1.4084712592657755E-2</v>
      </c>
      <c r="H89" s="75">
        <f t="shared" si="26"/>
        <v>-1.4084712592657755E-2</v>
      </c>
      <c r="I89" s="75">
        <f t="shared" si="26"/>
        <v>-1.4084712592657755E-2</v>
      </c>
      <c r="J89" s="75">
        <f t="shared" si="26"/>
        <v>-1.4084712592657755E-2</v>
      </c>
      <c r="K89" s="75">
        <f t="shared" si="26"/>
        <v>-1.4084712592657755E-2</v>
      </c>
      <c r="L89" s="75">
        <f t="shared" ref="L89:O89" si="36">(L14/L39-1)</f>
        <v>-1.4084712592657755E-2</v>
      </c>
      <c r="M89" s="75">
        <f t="shared" si="36"/>
        <v>-1.4084712592657755E-2</v>
      </c>
      <c r="N89" s="75">
        <f t="shared" si="36"/>
        <v>-1.4084712592657533E-2</v>
      </c>
      <c r="O89" s="75">
        <f t="shared" si="36"/>
        <v>-1.4084712592657533E-2</v>
      </c>
    </row>
    <row r="90" spans="2:15" x14ac:dyDescent="0.3">
      <c r="B90" t="s">
        <v>212</v>
      </c>
      <c r="C90" t="s">
        <v>213</v>
      </c>
      <c r="D90" s="75" t="e">
        <f t="shared" si="26"/>
        <v>#DIV/0!</v>
      </c>
      <c r="E90" s="75" t="e">
        <f t="shared" si="26"/>
        <v>#DIV/0!</v>
      </c>
      <c r="F90" s="75" t="e">
        <f t="shared" si="26"/>
        <v>#DIV/0!</v>
      </c>
      <c r="G90" s="75" t="e">
        <f t="shared" si="26"/>
        <v>#DIV/0!</v>
      </c>
      <c r="H90" s="75" t="e">
        <f t="shared" si="26"/>
        <v>#DIV/0!</v>
      </c>
      <c r="I90" s="75" t="e">
        <f t="shared" si="26"/>
        <v>#DIV/0!</v>
      </c>
      <c r="J90" s="75" t="e">
        <f t="shared" si="26"/>
        <v>#DIV/0!</v>
      </c>
      <c r="K90" s="75" t="e">
        <f t="shared" si="26"/>
        <v>#DIV/0!</v>
      </c>
      <c r="L90" s="75" t="e">
        <f t="shared" ref="L90:O90" si="37">(L15/L40-1)</f>
        <v>#DIV/0!</v>
      </c>
      <c r="M90" s="75" t="e">
        <f t="shared" si="37"/>
        <v>#DIV/0!</v>
      </c>
      <c r="N90" s="75" t="e">
        <f t="shared" si="37"/>
        <v>#DIV/0!</v>
      </c>
      <c r="O90" s="75" t="e">
        <f t="shared" si="37"/>
        <v>#DIV/0!</v>
      </c>
    </row>
    <row r="91" spans="2:15" x14ac:dyDescent="0.3">
      <c r="B91" t="s">
        <v>214</v>
      </c>
      <c r="C91" t="s">
        <v>215</v>
      </c>
      <c r="D91" s="75" t="e">
        <f t="shared" si="26"/>
        <v>#DIV/0!</v>
      </c>
      <c r="E91" s="75" t="e">
        <f t="shared" si="26"/>
        <v>#DIV/0!</v>
      </c>
      <c r="F91" s="75" t="e">
        <f t="shared" si="26"/>
        <v>#DIV/0!</v>
      </c>
      <c r="G91" s="75" t="e">
        <f t="shared" si="26"/>
        <v>#DIV/0!</v>
      </c>
      <c r="H91" s="75" t="e">
        <f t="shared" si="26"/>
        <v>#DIV/0!</v>
      </c>
      <c r="I91" s="75" t="e">
        <f t="shared" si="26"/>
        <v>#DIV/0!</v>
      </c>
      <c r="J91" s="75" t="e">
        <f t="shared" si="26"/>
        <v>#DIV/0!</v>
      </c>
      <c r="K91" s="75" t="e">
        <f t="shared" si="26"/>
        <v>#DIV/0!</v>
      </c>
      <c r="L91" s="75" t="e">
        <f t="shared" ref="L91:O91" si="38">(L16/L41-1)</f>
        <v>#DIV/0!</v>
      </c>
      <c r="M91" s="75" t="e">
        <f t="shared" si="38"/>
        <v>#DIV/0!</v>
      </c>
      <c r="N91" s="75" t="e">
        <f t="shared" si="38"/>
        <v>#DIV/0!</v>
      </c>
      <c r="O91" s="75" t="e">
        <f t="shared" si="38"/>
        <v>#DIV/0!</v>
      </c>
    </row>
    <row r="92" spans="2:15" x14ac:dyDescent="0.3">
      <c r="B92" t="s">
        <v>216</v>
      </c>
      <c r="C92" t="s">
        <v>217</v>
      </c>
      <c r="D92" s="75">
        <f t="shared" si="26"/>
        <v>0</v>
      </c>
      <c r="E92" s="75">
        <f t="shared" si="26"/>
        <v>0</v>
      </c>
      <c r="F92" s="75">
        <f t="shared" si="26"/>
        <v>0</v>
      </c>
      <c r="G92" s="75">
        <f t="shared" si="26"/>
        <v>0</v>
      </c>
      <c r="H92" s="75">
        <f t="shared" si="26"/>
        <v>0</v>
      </c>
      <c r="I92" s="75">
        <f t="shared" si="26"/>
        <v>0</v>
      </c>
      <c r="J92" s="75">
        <f t="shared" si="26"/>
        <v>0</v>
      </c>
      <c r="K92" s="75">
        <f t="shared" si="26"/>
        <v>0</v>
      </c>
      <c r="L92" s="75">
        <f t="shared" ref="L92:O92" si="39">(L17/L42-1)</f>
        <v>0</v>
      </c>
      <c r="M92" s="75">
        <f t="shared" si="39"/>
        <v>0</v>
      </c>
      <c r="N92" s="75">
        <f t="shared" si="39"/>
        <v>0</v>
      </c>
      <c r="O92" s="75">
        <f t="shared" si="39"/>
        <v>0</v>
      </c>
    </row>
    <row r="93" spans="2:15" x14ac:dyDescent="0.3">
      <c r="B93" t="s">
        <v>218</v>
      </c>
      <c r="C93" t="s">
        <v>219</v>
      </c>
      <c r="D93" s="75">
        <f t="shared" si="26"/>
        <v>0.16813172755350059</v>
      </c>
      <c r="E93" s="75">
        <f t="shared" si="26"/>
        <v>0.76588598279632913</v>
      </c>
      <c r="F93" s="75">
        <f t="shared" si="26"/>
        <v>0</v>
      </c>
      <c r="G93" s="75">
        <f t="shared" si="26"/>
        <v>0</v>
      </c>
      <c r="H93" s="75">
        <f t="shared" si="26"/>
        <v>0</v>
      </c>
      <c r="I93" s="75">
        <f t="shared" si="26"/>
        <v>0</v>
      </c>
      <c r="J93" s="75">
        <f t="shared" si="26"/>
        <v>0</v>
      </c>
      <c r="K93" s="75">
        <f t="shared" si="26"/>
        <v>0</v>
      </c>
      <c r="L93" s="75">
        <f t="shared" ref="L93:O93" si="40">(L18/L43-1)</f>
        <v>0</v>
      </c>
      <c r="M93" s="75">
        <f t="shared" si="40"/>
        <v>0</v>
      </c>
      <c r="N93" s="75">
        <f t="shared" si="40"/>
        <v>0</v>
      </c>
      <c r="O93" s="75">
        <f t="shared" si="40"/>
        <v>0</v>
      </c>
    </row>
    <row r="94" spans="2:15" x14ac:dyDescent="0.3">
      <c r="B94" t="s">
        <v>220</v>
      </c>
      <c r="C94" t="s">
        <v>221</v>
      </c>
      <c r="D94" s="75">
        <f t="shared" si="26"/>
        <v>1.3896222481629916E-2</v>
      </c>
      <c r="E94" s="75">
        <f t="shared" si="26"/>
        <v>0</v>
      </c>
      <c r="F94" s="75">
        <f t="shared" si="26"/>
        <v>0</v>
      </c>
      <c r="G94" s="75">
        <f t="shared" si="26"/>
        <v>-4.8039793104637241E-6</v>
      </c>
      <c r="H94" s="75">
        <f t="shared" si="26"/>
        <v>-4.7859218509360701E-6</v>
      </c>
      <c r="I94" s="75">
        <f t="shared" si="26"/>
        <v>-4.7679996337812725E-6</v>
      </c>
      <c r="J94" s="75">
        <f t="shared" si="26"/>
        <v>-4.6966570037554334E-6</v>
      </c>
      <c r="K94" s="75">
        <f t="shared" si="26"/>
        <v>-6.9285064384638773E-6</v>
      </c>
      <c r="L94" s="75">
        <f t="shared" ref="L94:O94" si="41">(L19/L44-1)</f>
        <v>-6.9034623491059932E-6</v>
      </c>
      <c r="M94" s="75">
        <f t="shared" si="41"/>
        <v>-6.8785986586661352E-6</v>
      </c>
      <c r="N94" s="75">
        <f t="shared" si="41"/>
        <v>-6.7870185916918402E-6</v>
      </c>
      <c r="O94" s="75">
        <f t="shared" si="41"/>
        <v>-8.9023245712915866E-6</v>
      </c>
    </row>
    <row r="95" spans="2:15" x14ac:dyDescent="0.3">
      <c r="B95" t="s">
        <v>222</v>
      </c>
      <c r="C95" t="s">
        <v>223</v>
      </c>
      <c r="D95" s="75">
        <f t="shared" si="26"/>
        <v>-4.3715445780382334E-3</v>
      </c>
      <c r="E95" s="75">
        <f t="shared" si="26"/>
        <v>-4.3715445780383444E-3</v>
      </c>
      <c r="F95" s="75">
        <f t="shared" si="26"/>
        <v>-4.3715445780383444E-3</v>
      </c>
      <c r="G95" s="75">
        <f t="shared" si="26"/>
        <v>-4.3715445780382334E-3</v>
      </c>
      <c r="H95" s="75">
        <f t="shared" si="26"/>
        <v>-4.3715445780383444E-3</v>
      </c>
      <c r="I95" s="75">
        <f t="shared" si="26"/>
        <v>-4.3715445780381224E-3</v>
      </c>
      <c r="J95" s="75">
        <f t="shared" si="26"/>
        <v>-4.3715445780382334E-3</v>
      </c>
      <c r="K95" s="75">
        <f t="shared" si="26"/>
        <v>-4.3715445780382334E-3</v>
      </c>
      <c r="L95" s="75">
        <f t="shared" ref="L95:O95" si="42">(L20/L45-1)</f>
        <v>-4.3715445780383444E-3</v>
      </c>
      <c r="M95" s="75">
        <f t="shared" si="42"/>
        <v>-4.3715445780383444E-3</v>
      </c>
      <c r="N95" s="75">
        <f t="shared" si="42"/>
        <v>-4.3715445780384554E-3</v>
      </c>
      <c r="O95" s="75">
        <f t="shared" si="42"/>
        <v>-4.3715445780384554E-3</v>
      </c>
    </row>
    <row r="96" spans="2:15" x14ac:dyDescent="0.3">
      <c r="B96" t="s">
        <v>224</v>
      </c>
      <c r="C96" t="s">
        <v>225</v>
      </c>
      <c r="D96" s="75">
        <f t="shared" si="26"/>
        <v>-2.4329067474818888E-2</v>
      </c>
      <c r="E96" s="75">
        <f t="shared" si="26"/>
        <v>-2.4529567580250711E-2</v>
      </c>
      <c r="F96" s="75">
        <f t="shared" si="26"/>
        <v>-2.4371511487343067E-2</v>
      </c>
      <c r="G96" s="75">
        <f t="shared" si="26"/>
        <v>-2.4212959086888364E-2</v>
      </c>
      <c r="H96" s="75">
        <f t="shared" si="26"/>
        <v>-2.405394346316303E-2</v>
      </c>
      <c r="I96" s="75">
        <f t="shared" si="26"/>
        <v>-2.3894498123769981E-2</v>
      </c>
      <c r="J96" s="75">
        <f t="shared" si="26"/>
        <v>-2.38051277973097E-2</v>
      </c>
      <c r="K96" s="75">
        <f t="shared" si="26"/>
        <v>-2.3715648434705305E-2</v>
      </c>
      <c r="L96" s="75">
        <f t="shared" ref="L96:O96" si="43">(L21/L46-1)</f>
        <v>-2.3626066010017932E-2</v>
      </c>
      <c r="M96" s="75">
        <f t="shared" si="43"/>
        <v>-2.3536386526134212E-2</v>
      </c>
      <c r="N96" s="75">
        <f t="shared" si="43"/>
        <v>-2.3489784446200979E-2</v>
      </c>
      <c r="O96" s="75">
        <f t="shared" si="43"/>
        <v>-2.3443120631524317E-2</v>
      </c>
    </row>
    <row r="97" spans="2:15" x14ac:dyDescent="0.3">
      <c r="B97" t="s">
        <v>226</v>
      </c>
      <c r="C97" t="s">
        <v>227</v>
      </c>
      <c r="D97" s="75">
        <f t="shared" si="26"/>
        <v>6.0529701683491588E-3</v>
      </c>
      <c r="E97" s="75">
        <f t="shared" si="26"/>
        <v>3.8005780071745932E-3</v>
      </c>
      <c r="F97" s="75">
        <f t="shared" si="26"/>
        <v>3.7976863063631239E-3</v>
      </c>
      <c r="G97" s="75">
        <f t="shared" si="26"/>
        <v>3.8040608819658317E-3</v>
      </c>
      <c r="H97" s="75">
        <f t="shared" si="26"/>
        <v>3.8118655053616113E-3</v>
      </c>
      <c r="I97" s="75">
        <f t="shared" si="26"/>
        <v>3.8203843070268029E-3</v>
      </c>
      <c r="J97" s="75">
        <f t="shared" si="26"/>
        <v>3.8267594146337292E-3</v>
      </c>
      <c r="K97" s="75">
        <f t="shared" si="26"/>
        <v>3.8334439427072375E-3</v>
      </c>
      <c r="L97" s="75">
        <f t="shared" ref="L97:O97" si="44">(L22/L47-1)</f>
        <v>3.8386603635884864E-3</v>
      </c>
      <c r="M97" s="75">
        <f t="shared" si="44"/>
        <v>3.8462018562941402E-3</v>
      </c>
      <c r="N97" s="75">
        <f t="shared" si="44"/>
        <v>3.8515806542602782E-3</v>
      </c>
      <c r="O97" s="75">
        <f t="shared" si="44"/>
        <v>3.8552758978835922E-3</v>
      </c>
    </row>
    <row r="98" spans="2:15" x14ac:dyDescent="0.3">
      <c r="B98" t="s">
        <v>228</v>
      </c>
      <c r="C98" t="s">
        <v>229</v>
      </c>
      <c r="D98" s="75">
        <f t="shared" si="26"/>
        <v>0</v>
      </c>
      <c r="E98" s="75">
        <f t="shared" si="26"/>
        <v>0</v>
      </c>
      <c r="F98" s="75">
        <f t="shared" si="26"/>
        <v>0</v>
      </c>
      <c r="G98" s="75">
        <f t="shared" si="26"/>
        <v>0</v>
      </c>
      <c r="H98" s="75">
        <f t="shared" si="26"/>
        <v>0</v>
      </c>
      <c r="I98" s="75">
        <f t="shared" si="26"/>
        <v>0</v>
      </c>
      <c r="J98" s="75">
        <f t="shared" si="26"/>
        <v>0</v>
      </c>
      <c r="K98" s="75">
        <f t="shared" si="26"/>
        <v>0</v>
      </c>
      <c r="L98" s="75">
        <f t="shared" ref="L98:O98" si="45">(L23/L48-1)</f>
        <v>0</v>
      </c>
      <c r="M98" s="75">
        <f t="shared" si="45"/>
        <v>0</v>
      </c>
      <c r="N98" s="75">
        <f t="shared" si="45"/>
        <v>0</v>
      </c>
      <c r="O98" s="75">
        <f t="shared" si="45"/>
        <v>0</v>
      </c>
    </row>
    <row r="99" spans="2:15" x14ac:dyDescent="0.3">
      <c r="B99" t="s">
        <v>230</v>
      </c>
      <c r="C99" t="s">
        <v>231</v>
      </c>
      <c r="D99" s="75">
        <f t="shared" si="26"/>
        <v>0</v>
      </c>
      <c r="E99" s="75">
        <f t="shared" si="26"/>
        <v>0</v>
      </c>
      <c r="F99" s="75">
        <f t="shared" si="26"/>
        <v>0</v>
      </c>
      <c r="G99" s="75">
        <f t="shared" si="26"/>
        <v>0</v>
      </c>
      <c r="H99" s="75">
        <f t="shared" si="26"/>
        <v>0</v>
      </c>
      <c r="I99" s="75">
        <f t="shared" si="26"/>
        <v>0</v>
      </c>
      <c r="J99" s="75">
        <f t="shared" si="26"/>
        <v>0</v>
      </c>
      <c r="K99" s="75">
        <f t="shared" si="26"/>
        <v>0</v>
      </c>
      <c r="L99" s="75">
        <f t="shared" ref="L99:O99" si="46">(L24/L49-1)</f>
        <v>0</v>
      </c>
      <c r="M99" s="75">
        <f t="shared" si="46"/>
        <v>0</v>
      </c>
      <c r="N99" s="75">
        <f t="shared" si="46"/>
        <v>0</v>
      </c>
      <c r="O99" s="75">
        <f t="shared" si="46"/>
        <v>0</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7" zoomScaleNormal="100" workbookViewId="0">
      <selection activeCell="D11" sqref="D11"/>
    </sheetView>
  </sheetViews>
  <sheetFormatPr defaultColWidth="11.5546875" defaultRowHeight="14.4" x14ac:dyDescent="0.3"/>
  <cols>
    <col min="1" max="1" width="41.109375" customWidth="1"/>
    <col min="2" max="2" width="23.44140625" customWidth="1"/>
    <col min="3" max="10" width="10.44140625" customWidth="1"/>
  </cols>
  <sheetData>
    <row r="1" spans="1:15" x14ac:dyDescent="0.3">
      <c r="A1" s="76" t="s">
        <v>178</v>
      </c>
      <c r="B1" s="76" t="s">
        <v>179</v>
      </c>
      <c r="C1" s="77" t="s">
        <v>183</v>
      </c>
      <c r="D1" s="77" t="s">
        <v>184</v>
      </c>
      <c r="E1" s="77" t="s">
        <v>185</v>
      </c>
      <c r="F1" s="77" t="s">
        <v>186</v>
      </c>
      <c r="G1" s="77" t="s">
        <v>187</v>
      </c>
      <c r="H1" s="77" t="s">
        <v>188</v>
      </c>
      <c r="I1" s="77" t="s">
        <v>189</v>
      </c>
      <c r="J1" s="77" t="s">
        <v>190</v>
      </c>
      <c r="K1" s="77" t="s">
        <v>191</v>
      </c>
      <c r="L1" s="77" t="s">
        <v>175</v>
      </c>
      <c r="M1" s="77" t="s">
        <v>176</v>
      </c>
      <c r="N1" s="77" t="s">
        <v>177</v>
      </c>
      <c r="O1" s="76"/>
    </row>
    <row r="2" spans="1:15" x14ac:dyDescent="0.3">
      <c r="A2" t="s">
        <v>192</v>
      </c>
      <c r="B2" t="s">
        <v>193</v>
      </c>
      <c r="C2" s="74">
        <f>Grants!R75</f>
        <v>495.46903199999991</v>
      </c>
      <c r="D2" s="74">
        <f>Grants!S75</f>
        <v>460.58742212404701</v>
      </c>
      <c r="E2" s="74">
        <f>Grants!T75</f>
        <v>460.97907392966141</v>
      </c>
      <c r="F2" s="74">
        <f>Grants!U75</f>
        <v>455.74955330501928</v>
      </c>
      <c r="G2" s="74">
        <f>Grants!V75</f>
        <v>460.16807066666655</v>
      </c>
      <c r="H2" s="74">
        <f>Grants!W75</f>
        <v>459.11472744600201</v>
      </c>
      <c r="I2" s="74">
        <f>Grants!X75</f>
        <v>458.30143968684786</v>
      </c>
      <c r="J2" s="74">
        <f>Grants!Y75</f>
        <v>447.01374106922003</v>
      </c>
      <c r="K2" s="74">
        <f>Grants!Z75</f>
        <v>427.27515273333313</v>
      </c>
      <c r="L2" s="74">
        <f>Grants!AA75</f>
        <v>431.85988430384208</v>
      </c>
      <c r="M2" s="74">
        <f>Grants!AB75</f>
        <v>435.66674361432172</v>
      </c>
      <c r="N2" s="74">
        <f>Grants!AC75</f>
        <v>418.96289123198869</v>
      </c>
      <c r="O2" s="74"/>
    </row>
    <row r="3" spans="1:15" x14ac:dyDescent="0.3">
      <c r="A3" t="s">
        <v>134</v>
      </c>
      <c r="B3" t="s">
        <v>194</v>
      </c>
      <c r="C3" s="74">
        <f>Grants!R106</f>
        <v>75.34842857142857</v>
      </c>
      <c r="D3" s="74">
        <f>Grants!S106</f>
        <v>75.34842857142857</v>
      </c>
      <c r="E3" s="74">
        <f>Grants!T106</f>
        <v>75.34842857142857</v>
      </c>
      <c r="F3" s="74">
        <f>Grants!U106</f>
        <v>75.34842857142857</v>
      </c>
      <c r="G3" s="74">
        <f>Grants!V106</f>
        <v>75.34842857142857</v>
      </c>
      <c r="H3" s="74">
        <f>Grants!W106</f>
        <v>75.34842857142857</v>
      </c>
      <c r="I3" s="74">
        <f>Grants!X106</f>
        <v>75.34842857142857</v>
      </c>
      <c r="J3" s="74">
        <f>Grants!Y106</f>
        <v>75.34842857142857</v>
      </c>
      <c r="K3" s="74">
        <f>Grants!Z106</f>
        <v>75.34842857142857</v>
      </c>
      <c r="L3" s="74">
        <f>Grants!AA106</f>
        <v>75.34842857142857</v>
      </c>
      <c r="M3" s="74">
        <f>Grants!AB106</f>
        <v>75.34842857142857</v>
      </c>
      <c r="N3" s="74">
        <f>Grants!AC106</f>
        <v>75.34842857142857</v>
      </c>
      <c r="O3" s="74"/>
    </row>
    <row r="4" spans="1:15" x14ac:dyDescent="0.3">
      <c r="A4" t="s">
        <v>195</v>
      </c>
      <c r="B4" t="s">
        <v>196</v>
      </c>
      <c r="C4" s="74">
        <f>'Federal and State Purchases'!R11</f>
        <v>1578.2</v>
      </c>
      <c r="D4" s="74">
        <f>'Federal and State Purchases'!S11</f>
        <v>1607.9</v>
      </c>
      <c r="E4" s="74">
        <f>'Federal and State Purchases'!T11</f>
        <v>1622.9</v>
      </c>
      <c r="F4" s="74">
        <f>'Federal and State Purchases'!U11</f>
        <v>1639</v>
      </c>
      <c r="G4" s="74">
        <f>'Federal and State Purchases'!V11</f>
        <v>1653.9</v>
      </c>
      <c r="H4" s="74">
        <f>'Federal and State Purchases'!W11</f>
        <v>1667.4</v>
      </c>
      <c r="I4" s="74">
        <f>'Federal and State Purchases'!X11</f>
        <v>1679.6</v>
      </c>
      <c r="J4" s="74">
        <f>'Federal and State Purchases'!Y11</f>
        <v>1693.3</v>
      </c>
      <c r="K4" s="74">
        <f>'Federal and State Purchases'!Z11</f>
        <v>1706.4</v>
      </c>
      <c r="L4" s="74">
        <f>'Federal and State Purchases'!AA11</f>
        <v>1719.6</v>
      </c>
      <c r="M4" s="74">
        <f>'Federal and State Purchases'!AB11</f>
        <v>1732.8</v>
      </c>
      <c r="N4" s="74">
        <f>'Federal and State Purchases'!AC11</f>
        <v>1743.7</v>
      </c>
      <c r="O4" s="74"/>
    </row>
    <row r="5" spans="1:15" x14ac:dyDescent="0.3">
      <c r="A5" t="s">
        <v>197</v>
      </c>
      <c r="B5" t="s">
        <v>198</v>
      </c>
      <c r="C5" s="74">
        <f>'Federal and State Purchases'!R33</f>
        <v>2717.7</v>
      </c>
      <c r="D5" s="74">
        <f>'Federal and State Purchases'!S33</f>
        <v>2745.4171186957183</v>
      </c>
      <c r="E5" s="74">
        <f>'Federal and State Purchases'!T33</f>
        <v>2783.8250799939051</v>
      </c>
      <c r="F5" s="74">
        <f>'Federal and State Purchases'!U33</f>
        <v>2817.8206384275486</v>
      </c>
      <c r="G5" s="74">
        <f>'Federal and State Purchases'!V33</f>
        <v>2847.2032302300777</v>
      </c>
      <c r="H5" s="74">
        <f>'Federal and State Purchases'!W33</f>
        <v>2873.7779293006247</v>
      </c>
      <c r="I5" s="74">
        <f>'Federal and State Purchases'!X33</f>
        <v>2899.4500914216064</v>
      </c>
      <c r="J5" s="74">
        <f>'Federal and State Purchases'!Y33</f>
        <v>2924.6208441261624</v>
      </c>
      <c r="K5" s="74">
        <f>'Federal and State Purchases'!Z33</f>
        <v>2949.6913149474326</v>
      </c>
      <c r="L5" s="74">
        <f>'Federal and State Purchases'!AA33</f>
        <v>2975.4637589516992</v>
      </c>
      <c r="M5" s="74">
        <f>'Federal and State Purchases'!AB33</f>
        <v>3002.1387399055307</v>
      </c>
      <c r="N5" s="74">
        <f>'Federal and State Purchases'!AC33</f>
        <v>3030.8193585250647</v>
      </c>
      <c r="O5" s="74"/>
    </row>
    <row r="6" spans="1:15" x14ac:dyDescent="0.3">
      <c r="A6" t="s">
        <v>199</v>
      </c>
      <c r="B6" t="s">
        <v>200</v>
      </c>
      <c r="C6" s="74">
        <f>Subsidies!R44</f>
        <v>47.451999999999998</v>
      </c>
      <c r="D6" s="74">
        <f>Subsidies!S44</f>
        <v>-3.3521731207289065</v>
      </c>
      <c r="E6" s="74">
        <f>Subsidies!T44</f>
        <v>72.260000000000005</v>
      </c>
      <c r="F6" s="74">
        <f>Subsidies!U44</f>
        <v>72.260000000000005</v>
      </c>
      <c r="G6" s="74">
        <f>Subsidies!V44</f>
        <v>72.260000000000005</v>
      </c>
      <c r="H6" s="74">
        <f>Subsidies!W44</f>
        <v>72.260000000000005</v>
      </c>
      <c r="I6" s="74">
        <f>Subsidies!X44</f>
        <v>74.935000000000016</v>
      </c>
      <c r="J6" s="74">
        <f>Subsidies!Y44</f>
        <v>74.935000000000016</v>
      </c>
      <c r="K6" s="74">
        <f>Subsidies!Z44</f>
        <v>74.935000000000016</v>
      </c>
      <c r="L6" s="74">
        <f>Subsidies!AA44</f>
        <v>74.935000000000016</v>
      </c>
      <c r="M6" s="74">
        <f>Subsidies!AB44</f>
        <v>77.001000000000005</v>
      </c>
      <c r="N6" s="74">
        <f>Subsidies!AC44</f>
        <v>77.001000000000005</v>
      </c>
      <c r="O6" s="74"/>
    </row>
    <row r="7" spans="1:15" x14ac:dyDescent="0.3">
      <c r="A7" t="s">
        <v>201</v>
      </c>
      <c r="B7" t="s">
        <v>202</v>
      </c>
      <c r="C7" s="74">
        <f>Subsidies!R43</f>
        <v>110.24799999999999</v>
      </c>
      <c r="D7" s="74">
        <f>Subsidies!S43</f>
        <v>110.24799999999999</v>
      </c>
      <c r="E7" s="74">
        <f>Subsidies!T43</f>
        <v>12.726000000000001</v>
      </c>
      <c r="F7" s="74">
        <f>Subsidies!U43</f>
        <v>12.726000000000001</v>
      </c>
      <c r="G7" s="74">
        <f>Subsidies!V43</f>
        <v>12.726000000000001</v>
      </c>
      <c r="H7" s="74">
        <f>Subsidies!W43</f>
        <v>12.726000000000001</v>
      </c>
      <c r="I7" s="74">
        <f>Subsidies!X43</f>
        <v>1.365</v>
      </c>
      <c r="J7" s="74">
        <f>Subsidies!Y43</f>
        <v>1.365</v>
      </c>
      <c r="K7" s="74">
        <f>Subsidies!Z43</f>
        <v>1.365</v>
      </c>
      <c r="L7" s="74">
        <f>Subsidies!AA43</f>
        <v>1.365</v>
      </c>
      <c r="M7" s="74">
        <f>Subsidies!AB43</f>
        <v>-0.90100000000000025</v>
      </c>
      <c r="N7" s="74">
        <f>Subsidies!AC43</f>
        <v>-0.90100000000000025</v>
      </c>
      <c r="O7" s="74"/>
    </row>
    <row r="8" spans="1:15" x14ac:dyDescent="0.3">
      <c r="A8" t="s">
        <v>203</v>
      </c>
      <c r="B8" t="s">
        <v>204</v>
      </c>
      <c r="C8" s="74">
        <f>'Unemployment Insurance'!R19</f>
        <v>2.1999999999999993</v>
      </c>
      <c r="D8" s="74">
        <f>'Unemployment Insurance'!S19</f>
        <v>0</v>
      </c>
      <c r="E8" s="74">
        <f>'Unemployment Insurance'!T19</f>
        <v>0</v>
      </c>
      <c r="F8" s="74">
        <f>'Unemployment Insurance'!U19</f>
        <v>0</v>
      </c>
      <c r="G8" s="74">
        <f>'Unemployment Insurance'!V19</f>
        <v>0</v>
      </c>
      <c r="H8" s="74">
        <f>'Unemployment Insurance'!W19</f>
        <v>0</v>
      </c>
      <c r="I8" s="74">
        <f>'Unemployment Insurance'!X19</f>
        <v>0</v>
      </c>
      <c r="J8" s="74">
        <f>'Unemployment Insurance'!Y19</f>
        <v>0</v>
      </c>
      <c r="K8" s="74">
        <f>'Unemployment Insurance'!Z19</f>
        <v>0</v>
      </c>
      <c r="L8" s="74">
        <f>'Unemployment Insurance'!AA19</f>
        <v>0</v>
      </c>
      <c r="M8" s="74">
        <f>'Unemployment Insurance'!AB19</f>
        <v>0</v>
      </c>
      <c r="N8" s="74">
        <f>'Unemployment Insurance'!AC19</f>
        <v>0</v>
      </c>
      <c r="O8" s="74"/>
    </row>
    <row r="9" spans="1:15" x14ac:dyDescent="0.3">
      <c r="A9" t="s">
        <v>205</v>
      </c>
      <c r="B9" t="s">
        <v>206</v>
      </c>
      <c r="C9" s="74">
        <f>'Unemployment Insurance'!R20</f>
        <v>17.8</v>
      </c>
      <c r="D9" s="74">
        <f>'Unemployment Insurance'!S20</f>
        <v>18.393333333333334</v>
      </c>
      <c r="E9" s="74">
        <f>'Unemployment Insurance'!T20</f>
        <v>18.047222222222221</v>
      </c>
      <c r="F9" s="74">
        <f>'Unemployment Insurance'!U20</f>
        <v>17.701111111111111</v>
      </c>
      <c r="G9" s="74">
        <f>'Unemployment Insurance'!V20</f>
        <v>17.404444444444444</v>
      </c>
      <c r="H9" s="74">
        <f>'Unemployment Insurance'!W20</f>
        <v>17.458833333333331</v>
      </c>
      <c r="I9" s="74">
        <f>'Unemployment Insurance'!X20</f>
        <v>17.557722222222221</v>
      </c>
      <c r="J9" s="74">
        <f>'Unemployment Insurance'!Y20</f>
        <v>17.908777777777775</v>
      </c>
      <c r="K9" s="74">
        <f>'Unemployment Insurance'!Z20</f>
        <v>19.639333333333333</v>
      </c>
      <c r="L9" s="74">
        <f>'Unemployment Insurance'!AA20</f>
        <v>19.881611111111109</v>
      </c>
      <c r="M9" s="74">
        <f>'Unemployment Insurance'!AB20</f>
        <v>20.18322222222222</v>
      </c>
      <c r="N9" s="74">
        <f>'Unemployment Insurance'!AC20</f>
        <v>20.474944444444443</v>
      </c>
      <c r="O9" s="74"/>
    </row>
    <row r="10" spans="1:15" x14ac:dyDescent="0.3">
      <c r="A10" s="36" t="s">
        <v>207</v>
      </c>
      <c r="B10" s="36" t="s">
        <v>208</v>
      </c>
      <c r="C10" s="74">
        <f>Medicaid!R28</f>
        <v>576.01</v>
      </c>
      <c r="D10" s="74">
        <f>Medicaid!S28</f>
        <v>579.02658584306619</v>
      </c>
      <c r="E10" s="74">
        <f>Medicaid!T28</f>
        <v>588.77148736978165</v>
      </c>
      <c r="F10" s="74">
        <f>Medicaid!U28</f>
        <v>601.59385930966448</v>
      </c>
      <c r="G10" s="74">
        <f>Medicaid!V28</f>
        <v>614.69547918476781</v>
      </c>
      <c r="H10" s="74">
        <f>Medicaid!W28</f>
        <v>584.00755929837464</v>
      </c>
      <c r="I10" s="74">
        <f>Medicaid!X28</f>
        <v>577.46803619062018</v>
      </c>
      <c r="J10" s="74">
        <f>Medicaid!Y28</f>
        <v>571.47647724911189</v>
      </c>
      <c r="K10" s="74">
        <f>Medicaid!Z28</f>
        <v>565.54708413549326</v>
      </c>
      <c r="L10" s="74">
        <f>Medicaid!AA28</f>
        <v>559.67921184398278</v>
      </c>
      <c r="M10" s="74">
        <f>Medicaid!AB28</f>
        <v>549.75061061139797</v>
      </c>
      <c r="N10" s="74">
        <f>Medicaid!AC28</f>
        <v>544.04663570685273</v>
      </c>
      <c r="O10" s="74"/>
    </row>
    <row r="11" spans="1:15" x14ac:dyDescent="0.3">
      <c r="A11" s="36" t="s">
        <v>209</v>
      </c>
      <c r="B11" s="36" t="s">
        <v>210</v>
      </c>
      <c r="C11" s="74">
        <f>Medicaid!R27</f>
        <v>804.5</v>
      </c>
      <c r="D11" s="74">
        <f>Medicaid!S27</f>
        <v>808.71319649094062</v>
      </c>
      <c r="E11" s="74">
        <f>Medicaid!T27</f>
        <v>826.32549875174232</v>
      </c>
      <c r="F11" s="74">
        <f>Medicaid!U27</f>
        <v>844.32136491662254</v>
      </c>
      <c r="G11" s="74">
        <f>Medicaid!V27</f>
        <v>862.70914830965739</v>
      </c>
      <c r="H11" s="74">
        <f>Medicaid!W27</f>
        <v>881.4973841751256</v>
      </c>
      <c r="I11" s="74">
        <f>Medicaid!X27</f>
        <v>872.35134802581535</v>
      </c>
      <c r="J11" s="74">
        <f>Medicaid!Y27</f>
        <v>863.3002071975194</v>
      </c>
      <c r="K11" s="74">
        <f>Medicaid!Z27</f>
        <v>854.34297709737098</v>
      </c>
      <c r="L11" s="74">
        <f>Medicaid!AA27</f>
        <v>845.47868334821396</v>
      </c>
      <c r="M11" s="74">
        <f>Medicaid!AB27</f>
        <v>836.70636168260853</v>
      </c>
      <c r="N11" s="74">
        <f>Medicaid!AC27</f>
        <v>828.02505783793754</v>
      </c>
      <c r="O11" s="74"/>
    </row>
    <row r="12" spans="1:15" x14ac:dyDescent="0.3">
      <c r="A12" t="s">
        <v>55</v>
      </c>
      <c r="B12" t="s">
        <v>211</v>
      </c>
      <c r="C12" s="74">
        <f>Medicare!R10</f>
        <v>865.9</v>
      </c>
      <c r="D12" s="74">
        <f>Medicare!S10</f>
        <v>871.23840546678446</v>
      </c>
      <c r="E12" s="74">
        <f>Medicare!T10</f>
        <v>889.68986999812137</v>
      </c>
      <c r="F12" s="74">
        <f>Medicare!U10</f>
        <v>907.23431736240013</v>
      </c>
      <c r="G12" s="74">
        <f>Medicare!V10</f>
        <v>925.12473655764802</v>
      </c>
      <c r="H12" s="74">
        <f>Medicare!W10</f>
        <v>943.36795005625982</v>
      </c>
      <c r="I12" s="74">
        <f>Medicare!X10</f>
        <v>961.97091486796944</v>
      </c>
      <c r="J12" s="74">
        <f>Medicare!Y10</f>
        <v>985.16758241737489</v>
      </c>
      <c r="K12" s="74">
        <f>Medicare!Z10</f>
        <v>1008.9236071958619</v>
      </c>
      <c r="L12" s="74">
        <f>Medicare!AA10</f>
        <v>1033.2524773697398</v>
      </c>
      <c r="M12" s="74">
        <f>Medicare!AB10</f>
        <v>1058.1680063547665</v>
      </c>
      <c r="N12" s="74">
        <f>Medicare!AC10</f>
        <v>1083.6843406591124</v>
      </c>
      <c r="O12" s="74"/>
    </row>
    <row r="13" spans="1:15" x14ac:dyDescent="0.3">
      <c r="A13" t="s">
        <v>212</v>
      </c>
      <c r="B13" t="s">
        <v>213</v>
      </c>
      <c r="C13" s="74">
        <f>'Rebate Checks'!R11</f>
        <v>0</v>
      </c>
      <c r="D13" s="74">
        <f>'Rebate Checks'!S11</f>
        <v>0</v>
      </c>
      <c r="E13" s="74">
        <f>'Rebate Checks'!T11</f>
        <v>0</v>
      </c>
      <c r="F13" s="74">
        <f>'Rebate Checks'!U11</f>
        <v>0</v>
      </c>
      <c r="G13" s="74">
        <f>'Rebate Checks'!V11</f>
        <v>0</v>
      </c>
      <c r="H13" s="74">
        <f>'Rebate Checks'!W11</f>
        <v>0</v>
      </c>
      <c r="I13" s="74">
        <f>'Rebate Checks'!X11</f>
        <v>0</v>
      </c>
      <c r="J13" s="74">
        <f>'Rebate Checks'!Y11</f>
        <v>0</v>
      </c>
      <c r="K13" s="74">
        <f>'Rebate Checks'!Z11</f>
        <v>0</v>
      </c>
      <c r="L13" s="74">
        <f>'Rebate Checks'!AA11</f>
        <v>0</v>
      </c>
      <c r="M13" s="74">
        <f>'Rebate Checks'!AB11</f>
        <v>0</v>
      </c>
      <c r="N13" s="74">
        <f>'Rebate Checks'!AC11</f>
        <v>0</v>
      </c>
      <c r="O13" s="74"/>
    </row>
    <row r="14" spans="1:15" x14ac:dyDescent="0.3">
      <c r="A14" t="s">
        <v>214</v>
      </c>
      <c r="B14" t="s">
        <v>215</v>
      </c>
      <c r="C14" s="74">
        <f>'Rebate Checks'!R10</f>
        <v>0</v>
      </c>
      <c r="D14" s="74">
        <f>'Rebate Checks'!S10</f>
        <v>0</v>
      </c>
      <c r="E14" s="74">
        <f>'Rebate Checks'!T10</f>
        <v>0</v>
      </c>
      <c r="F14" s="74">
        <f>'Rebate Checks'!U10</f>
        <v>0</v>
      </c>
      <c r="G14" s="74">
        <f>'Rebate Checks'!V10</f>
        <v>0</v>
      </c>
      <c r="H14" s="74">
        <f>'Rebate Checks'!W10</f>
        <v>0</v>
      </c>
      <c r="I14" s="74">
        <f>'Rebate Checks'!X10</f>
        <v>0</v>
      </c>
      <c r="J14" s="74">
        <f>'Rebate Checks'!Y10</f>
        <v>0</v>
      </c>
      <c r="K14" s="74">
        <f>'Rebate Checks'!Z10</f>
        <v>0</v>
      </c>
      <c r="L14" s="74">
        <f>'Rebate Checks'!AA10</f>
        <v>0</v>
      </c>
      <c r="M14" s="74">
        <f>'Rebate Checks'!AB10</f>
        <v>0</v>
      </c>
      <c r="N14" s="74">
        <f>'Rebate Checks'!AC10</f>
        <v>0</v>
      </c>
      <c r="O14" s="74"/>
    </row>
    <row r="15" spans="1:15" x14ac:dyDescent="0.3">
      <c r="A15" t="s">
        <v>216</v>
      </c>
      <c r="B15" t="s">
        <v>217</v>
      </c>
      <c r="C15" s="74">
        <f>'Social Benefits'!R17</f>
        <v>52.756999999999998</v>
      </c>
      <c r="D15" s="74">
        <f>'Social Benefits'!S17</f>
        <v>52.756999999999998</v>
      </c>
      <c r="E15" s="74">
        <f>'Social Benefits'!T17</f>
        <v>12</v>
      </c>
      <c r="F15" s="74">
        <f>'Social Benefits'!U17</f>
        <v>12</v>
      </c>
      <c r="G15" s="74">
        <f>'Social Benefits'!V17</f>
        <v>12</v>
      </c>
      <c r="H15" s="74">
        <f>'Social Benefits'!W17</f>
        <v>12</v>
      </c>
      <c r="I15" s="74">
        <f>'Social Benefits'!X17</f>
        <v>4.2219999999999995</v>
      </c>
      <c r="J15" s="74">
        <f>'Social Benefits'!Y17</f>
        <v>4.2219999999999995</v>
      </c>
      <c r="K15" s="74">
        <f>'Social Benefits'!Z17</f>
        <v>4.2219999999999995</v>
      </c>
      <c r="L15" s="74">
        <f>'Social Benefits'!AA17</f>
        <v>4.2219999999999995</v>
      </c>
      <c r="M15" s="74">
        <f>'Social Benefits'!AB17</f>
        <v>2.3719999999999999</v>
      </c>
      <c r="N15" s="74">
        <f>'Social Benefits'!AC17</f>
        <v>2.3719999999999999</v>
      </c>
      <c r="O15" s="74"/>
    </row>
    <row r="16" spans="1:15" x14ac:dyDescent="0.3">
      <c r="A16" t="s">
        <v>867</v>
      </c>
      <c r="B16" t="s">
        <v>219</v>
      </c>
      <c r="C16" s="74">
        <f>'Social Benefits'!R24</f>
        <v>63.919000000000011</v>
      </c>
      <c r="D16" s="74">
        <f>'Social Benefits'!S24</f>
        <v>34.821505694760823</v>
      </c>
      <c r="E16" s="74">
        <f>'Social Benefits'!T24</f>
        <v>1.4159999999999999</v>
      </c>
      <c r="F16" s="74">
        <f>'Social Benefits'!U24</f>
        <v>1.4159999999999999</v>
      </c>
      <c r="G16" s="74">
        <f>'Social Benefits'!V24</f>
        <v>1.4159999999999999</v>
      </c>
      <c r="H16" s="74">
        <f>'Social Benefits'!W24</f>
        <v>1.4159999999999999</v>
      </c>
      <c r="I16" s="74">
        <f>'Social Benefits'!X24</f>
        <v>1.4790000000000001</v>
      </c>
      <c r="J16" s="74">
        <f>'Social Benefits'!Y24</f>
        <v>1.4790000000000001</v>
      </c>
      <c r="K16" s="74">
        <f>'Social Benefits'!Z24</f>
        <v>1.4790000000000001</v>
      </c>
      <c r="L16" s="74">
        <f>'Social Benefits'!AA24</f>
        <v>1.4790000000000001</v>
      </c>
      <c r="M16" s="74">
        <f>'Social Benefits'!AB24</f>
        <v>1.63</v>
      </c>
      <c r="N16" s="74">
        <f>'Social Benefits'!AC24</f>
        <v>1.63</v>
      </c>
      <c r="O16" s="74"/>
    </row>
    <row r="17" spans="1:15" x14ac:dyDescent="0.3">
      <c r="A17" t="s">
        <v>220</v>
      </c>
      <c r="B17" t="s">
        <v>221</v>
      </c>
      <c r="C17" s="74">
        <f>'Social Benefits'!R27</f>
        <v>1866.9240000000002</v>
      </c>
      <c r="D17" s="74">
        <f>'Social Benefits'!S27</f>
        <v>1833.4363800000012</v>
      </c>
      <c r="E17" s="74">
        <f>'Social Benefits'!T27</f>
        <v>1897.0363800000014</v>
      </c>
      <c r="F17" s="74">
        <f>'Social Benefits'!U27</f>
        <v>1881.7642600000015</v>
      </c>
      <c r="G17" s="74">
        <f>'Social Benefits'!V27</f>
        <v>1888.8642600000017</v>
      </c>
      <c r="H17" s="74">
        <f>'Social Benefits'!W27</f>
        <v>1895.9642600000018</v>
      </c>
      <c r="I17" s="74">
        <f>'Social Benefits'!X27</f>
        <v>1924.764260000002</v>
      </c>
      <c r="J17" s="74">
        <f>'Social Benefits'!Y27</f>
        <v>1957.1182000000022</v>
      </c>
      <c r="K17" s="74">
        <f>'Social Benefits'!Z27</f>
        <v>1964.2182000000023</v>
      </c>
      <c r="L17" s="74">
        <f>'Social Benefits'!AA27</f>
        <v>1971.3182000000024</v>
      </c>
      <c r="M17" s="74">
        <f>'Social Benefits'!AB27</f>
        <v>1997.9182000000026</v>
      </c>
      <c r="N17" s="74">
        <f>'Social Benefits'!AC27</f>
        <v>2030.9121400000026</v>
      </c>
      <c r="O17" s="74"/>
    </row>
    <row r="18" spans="1:15" x14ac:dyDescent="0.3">
      <c r="A18" t="s">
        <v>222</v>
      </c>
      <c r="B18" t="s">
        <v>223</v>
      </c>
      <c r="C18" s="74">
        <f>'Social Benefits'!R31</f>
        <v>158.39999999999998</v>
      </c>
      <c r="D18" s="74">
        <f>'Social Benefits'!S31</f>
        <v>160.30996245250819</v>
      </c>
      <c r="E18" s="74">
        <f>'Social Benefits'!T31</f>
        <v>162.24295493386737</v>
      </c>
      <c r="F18" s="74">
        <f>'Social Benefits'!U31</f>
        <v>164.1992551365673</v>
      </c>
      <c r="G18" s="74">
        <f>'Social Benefits'!V31</f>
        <v>166.17914410147046</v>
      </c>
      <c r="H18" s="74">
        <f>'Social Benefits'!W31</f>
        <v>168.18290625818614</v>
      </c>
      <c r="I18" s="74">
        <f>'Social Benefits'!X31</f>
        <v>170.21082946593137</v>
      </c>
      <c r="J18" s="74">
        <f>'Social Benefits'!Y31</f>
        <v>172.26320505488471</v>
      </c>
      <c r="K18" s="74">
        <f>'Social Benefits'!Z31</f>
        <v>174.34032786803846</v>
      </c>
      <c r="L18" s="74">
        <f>'Social Benefits'!AA31</f>
        <v>176.44249630355566</v>
      </c>
      <c r="M18" s="74">
        <f>'Social Benefits'!AB31</f>
        <v>178.57001235763781</v>
      </c>
      <c r="N18" s="74">
        <f>'Social Benefits'!AC31</f>
        <v>180.72318166790939</v>
      </c>
      <c r="O18" s="74"/>
    </row>
    <row r="19" spans="1:15" x14ac:dyDescent="0.3">
      <c r="A19" t="s">
        <v>224</v>
      </c>
      <c r="B19" t="s">
        <v>225</v>
      </c>
      <c r="C19" s="74">
        <f>Taxes!R9</f>
        <v>4350.2999999999993</v>
      </c>
      <c r="D19" s="74">
        <f>Taxes!S9</f>
        <v>4530.957639501511</v>
      </c>
      <c r="E19" s="74">
        <f>Taxes!T9</f>
        <v>4553.3895462316423</v>
      </c>
      <c r="F19" s="74">
        <f>Taxes!U9</f>
        <v>4576.4412167169803</v>
      </c>
      <c r="G19" s="74">
        <f>Taxes!V9</f>
        <v>4600.122531658546</v>
      </c>
      <c r="H19" s="74">
        <f>Taxes!W9</f>
        <v>4624.4435502502383</v>
      </c>
      <c r="I19" s="74">
        <f>Taxes!X9</f>
        <v>4632.3381296838579</v>
      </c>
      <c r="J19" s="74">
        <f>Taxes!Y9</f>
        <v>4640.4054597624345</v>
      </c>
      <c r="K19" s="74">
        <f>Taxes!Z9</f>
        <v>4648.6465713470625</v>
      </c>
      <c r="L19" s="74">
        <f>Taxes!AA9</f>
        <v>4657.0625052566529</v>
      </c>
      <c r="M19" s="74">
        <f>Taxes!AB9</f>
        <v>4669.3254748883073</v>
      </c>
      <c r="N19" s="74">
        <f>Taxes!AC9</f>
        <v>4681.6762855677307</v>
      </c>
      <c r="O19" s="74"/>
    </row>
    <row r="20" spans="1:15" x14ac:dyDescent="0.3">
      <c r="A20" t="s">
        <v>226</v>
      </c>
      <c r="B20" t="s">
        <v>227</v>
      </c>
      <c r="C20" s="74">
        <f>Taxes!R16</f>
        <v>2296.1000000000004</v>
      </c>
      <c r="D20" s="74">
        <f>Taxes!S16</f>
        <v>2325.0429070919831</v>
      </c>
      <c r="E20" s="74">
        <f>Taxes!T16</f>
        <v>2356.0861302329859</v>
      </c>
      <c r="F20" s="74">
        <f>Taxes!U16</f>
        <v>2384.0372552072472</v>
      </c>
      <c r="G20" s="74">
        <f>Taxes!V16</f>
        <v>2411.6786553751663</v>
      </c>
      <c r="H20" s="74">
        <f>Taxes!W16</f>
        <v>2438.5516676866955</v>
      </c>
      <c r="I20" s="74">
        <f>Taxes!X16</f>
        <v>2463.5370168392024</v>
      </c>
      <c r="J20" s="74">
        <f>Taxes!Y16</f>
        <v>2488.1193988660461</v>
      </c>
      <c r="K20" s="74">
        <f>Taxes!Z16</f>
        <v>2510.9601276757567</v>
      </c>
      <c r="L20" s="74">
        <f>Taxes!AA16</f>
        <v>2533.6230452194436</v>
      </c>
      <c r="M20" s="74">
        <f>Taxes!AB16</f>
        <v>2557.3431689839808</v>
      </c>
      <c r="N20" s="74">
        <f>Taxes!AC16</f>
        <v>2580.651540101906</v>
      </c>
      <c r="O20" s="74"/>
    </row>
    <row r="21" spans="1:15" x14ac:dyDescent="0.3">
      <c r="A21" t="s">
        <v>228</v>
      </c>
      <c r="B21" t="s">
        <v>229</v>
      </c>
      <c r="C21" s="74">
        <f>Taxes!R13</f>
        <v>277.85999071270419</v>
      </c>
      <c r="D21" s="74">
        <f>Taxes!S13</f>
        <v>274.95076367116832</v>
      </c>
      <c r="E21" s="74">
        <f>Taxes!T13</f>
        <v>285.05756137496093</v>
      </c>
      <c r="F21" s="74">
        <f>Taxes!U13</f>
        <v>295.53587053942931</v>
      </c>
      <c r="G21" s="74">
        <f>Taxes!V13</f>
        <v>306.39934739570208</v>
      </c>
      <c r="H21" s="74">
        <f>Taxes!W13</f>
        <v>317.66215015847598</v>
      </c>
      <c r="I21" s="74">
        <f>Taxes!X13</f>
        <v>321.40697249719227</v>
      </c>
      <c r="J21" s="74">
        <f>Taxes!Y13</f>
        <v>325.19594140590931</v>
      </c>
      <c r="K21" s="74">
        <f>Taxes!Z13</f>
        <v>329.0295773150952</v>
      </c>
      <c r="L21" s="74">
        <f>Taxes!AA13</f>
        <v>332.90840679041435</v>
      </c>
      <c r="M21" s="74">
        <f>Taxes!AB13</f>
        <v>333.79921579384455</v>
      </c>
      <c r="N21" s="74">
        <f>Taxes!AC13</f>
        <v>334.69240845795861</v>
      </c>
      <c r="O21" s="74"/>
    </row>
    <row r="22" spans="1:15" x14ac:dyDescent="0.3">
      <c r="A22" t="s">
        <v>230</v>
      </c>
      <c r="B22" t="s">
        <v>231</v>
      </c>
      <c r="C22" s="74">
        <f>Taxes!R21</f>
        <v>122.20997037990983</v>
      </c>
      <c r="D22" s="74">
        <f>Taxes!S21</f>
        <v>124.65901738570506</v>
      </c>
      <c r="E22" s="74">
        <f>Taxes!T21</f>
        <v>113.01114784288472</v>
      </c>
      <c r="F22" s="74">
        <f>Taxes!U21</f>
        <v>112.80663979394718</v>
      </c>
      <c r="G22" s="74">
        <f>Taxes!V21</f>
        <v>112.1976602704443</v>
      </c>
      <c r="H22" s="74">
        <f>Taxes!W21</f>
        <v>111.51596677398582</v>
      </c>
      <c r="I22" s="74">
        <f>Taxes!X21</f>
        <v>110.92062112041209</v>
      </c>
      <c r="J22" s="74">
        <f>Taxes!Y21</f>
        <v>110.4070786864134</v>
      </c>
      <c r="K22" s="74">
        <f>Taxes!Z21</f>
        <v>110.27528461043141</v>
      </c>
      <c r="L22" s="74">
        <f>Taxes!AA21</f>
        <v>109.88899162910495</v>
      </c>
      <c r="M22" s="74">
        <f>Taxes!AB21</f>
        <v>110.49342652929813</v>
      </c>
      <c r="N22" s="74">
        <f>Taxes!AC21</f>
        <v>110.89335338055375</v>
      </c>
      <c r="O22" s="74"/>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tabSelected="1" topLeftCell="A4" workbookViewId="0">
      <pane xSplit="7" ySplit="4" topLeftCell="H38" activePane="bottomRight" state="frozen"/>
      <selection activeCell="A4" sqref="A4"/>
      <selection pane="topRight" activeCell="H4" sqref="H4"/>
      <selection pane="bottomLeft" activeCell="A8" sqref="A8"/>
      <selection pane="bottomRight" activeCell="I46" sqref="I46"/>
    </sheetView>
  </sheetViews>
  <sheetFormatPr defaultColWidth="11.5546875" defaultRowHeight="14.4" x14ac:dyDescent="0.3"/>
  <cols>
    <col min="1" max="1" width="6.5546875" customWidth="1"/>
    <col min="2" max="2" width="65" customWidth="1"/>
    <col min="3" max="8" width="11.5546875" customWidth="1"/>
    <col min="9" max="9" width="18.21875" customWidth="1"/>
  </cols>
  <sheetData>
    <row r="2" spans="1:13" x14ac:dyDescent="0.3">
      <c r="A2" s="935" t="s">
        <v>993</v>
      </c>
      <c r="B2" s="935"/>
      <c r="C2" s="935"/>
      <c r="D2" s="935"/>
      <c r="E2" s="935"/>
      <c r="F2" s="935"/>
      <c r="G2" s="935"/>
      <c r="H2" s="935"/>
      <c r="I2" s="935"/>
      <c r="J2" s="935"/>
      <c r="K2" s="935"/>
      <c r="L2" s="935"/>
      <c r="M2" s="935"/>
    </row>
    <row r="3" spans="1:13" x14ac:dyDescent="0.3">
      <c r="A3" s="935" t="s">
        <v>963</v>
      </c>
      <c r="B3" s="935"/>
      <c r="C3" s="935"/>
      <c r="D3" s="935"/>
      <c r="E3" s="935"/>
      <c r="F3" s="935"/>
      <c r="G3" s="935"/>
      <c r="H3" s="935"/>
      <c r="I3" s="935"/>
      <c r="J3" s="935"/>
      <c r="K3" s="935"/>
      <c r="L3" s="935"/>
      <c r="M3" s="935"/>
    </row>
    <row r="4" spans="1:13" ht="15" customHeight="1" x14ac:dyDescent="0.3">
      <c r="A4" s="936"/>
      <c r="B4" s="936"/>
      <c r="C4" s="936"/>
      <c r="D4" s="111"/>
      <c r="E4" s="111"/>
      <c r="F4" s="111"/>
      <c r="G4" s="111"/>
      <c r="H4" s="111"/>
    </row>
    <row r="5" spans="1:13" x14ac:dyDescent="0.3">
      <c r="A5" s="90"/>
      <c r="B5" s="101"/>
      <c r="C5" s="937"/>
      <c r="D5" s="937"/>
      <c r="E5" s="937"/>
      <c r="F5" s="937"/>
      <c r="G5" s="937"/>
      <c r="H5" s="36"/>
      <c r="I5" s="36"/>
    </row>
    <row r="6" spans="1:13" x14ac:dyDescent="0.3">
      <c r="A6" s="123" t="s">
        <v>889</v>
      </c>
      <c r="B6" s="109"/>
      <c r="C6" s="938"/>
      <c r="D6" s="939"/>
      <c r="E6" s="113">
        <v>2022</v>
      </c>
      <c r="F6" s="112"/>
      <c r="G6" s="112"/>
      <c r="H6" s="98"/>
      <c r="I6" s="91"/>
    </row>
    <row r="7" spans="1:13" ht="15" customHeight="1" x14ac:dyDescent="0.3">
      <c r="A7" s="110"/>
      <c r="B7" s="114"/>
      <c r="C7" s="128" t="s">
        <v>234</v>
      </c>
      <c r="D7" s="129" t="s">
        <v>235</v>
      </c>
      <c r="E7" s="129" t="s">
        <v>236</v>
      </c>
      <c r="F7" s="129" t="s">
        <v>237</v>
      </c>
      <c r="G7" s="129" t="s">
        <v>1015</v>
      </c>
      <c r="H7" s="99" t="s">
        <v>1033</v>
      </c>
      <c r="I7" s="92" t="s">
        <v>1032</v>
      </c>
    </row>
    <row r="8" spans="1:13" x14ac:dyDescent="0.3">
      <c r="A8" s="115">
        <v>1</v>
      </c>
      <c r="B8" s="126" t="s">
        <v>239</v>
      </c>
      <c r="C8" s="130">
        <v>21125.1</v>
      </c>
      <c r="D8" s="78">
        <v>21261.8</v>
      </c>
      <c r="E8" s="78">
        <v>21384.7</v>
      </c>
      <c r="F8" s="78">
        <v>21481.200000000001</v>
      </c>
      <c r="G8" s="78">
        <v>21609.200000000001</v>
      </c>
      <c r="H8" s="100">
        <v>21742.7</v>
      </c>
      <c r="I8" s="93"/>
    </row>
    <row r="9" spans="1:13" x14ac:dyDescent="0.3">
      <c r="A9" s="76">
        <v>2</v>
      </c>
      <c r="B9" s="127" t="s">
        <v>240</v>
      </c>
      <c r="C9" s="131">
        <v>13308.4</v>
      </c>
      <c r="D9" s="79">
        <v>13438.4</v>
      </c>
      <c r="E9" s="79">
        <v>13527.9</v>
      </c>
      <c r="F9" s="79">
        <v>13591.7</v>
      </c>
      <c r="G9" s="79">
        <v>13664.3</v>
      </c>
      <c r="H9" s="102">
        <v>13725.5</v>
      </c>
      <c r="I9" s="93"/>
    </row>
    <row r="10" spans="1:13" x14ac:dyDescent="0.3">
      <c r="A10" s="116">
        <v>3</v>
      </c>
      <c r="B10" s="133" t="s">
        <v>241</v>
      </c>
      <c r="C10" s="132">
        <v>10980.8</v>
      </c>
      <c r="D10" s="134">
        <v>11097.3</v>
      </c>
      <c r="E10" s="134">
        <v>11176.1</v>
      </c>
      <c r="F10" s="134">
        <v>11231.4</v>
      </c>
      <c r="G10" s="134">
        <v>11294.2</v>
      </c>
      <c r="H10" s="103">
        <v>11346.4</v>
      </c>
      <c r="I10" s="93"/>
    </row>
    <row r="11" spans="1:13" x14ac:dyDescent="0.3">
      <c r="A11" s="36">
        <v>4</v>
      </c>
      <c r="B11" s="139" t="s">
        <v>242</v>
      </c>
      <c r="C11" s="135">
        <v>9402</v>
      </c>
      <c r="D11" s="136">
        <v>9511.1</v>
      </c>
      <c r="E11" s="136">
        <v>9584.1</v>
      </c>
      <c r="F11" s="136">
        <v>9637.4</v>
      </c>
      <c r="G11" s="136">
        <v>9694.5</v>
      </c>
      <c r="H11" s="104">
        <v>9744.6</v>
      </c>
      <c r="I11" s="93"/>
    </row>
    <row r="12" spans="1:13" x14ac:dyDescent="0.3">
      <c r="A12" s="116">
        <v>5</v>
      </c>
      <c r="B12" s="133" t="s">
        <v>243</v>
      </c>
      <c r="C12" s="132">
        <v>1578.7</v>
      </c>
      <c r="D12" s="134">
        <v>1586.2</v>
      </c>
      <c r="E12" s="134">
        <v>1592</v>
      </c>
      <c r="F12" s="134">
        <v>1594</v>
      </c>
      <c r="G12" s="134">
        <v>1599.7</v>
      </c>
      <c r="H12" s="103">
        <v>1601.8</v>
      </c>
      <c r="I12" s="93"/>
    </row>
    <row r="13" spans="1:13" x14ac:dyDescent="0.3">
      <c r="A13" s="36">
        <v>6</v>
      </c>
      <c r="B13" s="139" t="s">
        <v>244</v>
      </c>
      <c r="C13" s="135">
        <v>2327.6</v>
      </c>
      <c r="D13" s="136">
        <v>2341.1</v>
      </c>
      <c r="E13" s="136">
        <v>2351.8000000000002</v>
      </c>
      <c r="F13" s="136">
        <v>2360.1999999999998</v>
      </c>
      <c r="G13" s="136">
        <v>2370.1999999999998</v>
      </c>
      <c r="H13" s="104">
        <v>2379.1999999999998</v>
      </c>
      <c r="I13" s="93"/>
    </row>
    <row r="14" spans="1:13" x14ac:dyDescent="0.3">
      <c r="A14" s="115">
        <v>7</v>
      </c>
      <c r="B14" s="140" t="s">
        <v>245</v>
      </c>
      <c r="C14" s="137">
        <v>1855.3</v>
      </c>
      <c r="D14" s="81">
        <v>1880</v>
      </c>
      <c r="E14" s="81">
        <v>1899.4</v>
      </c>
      <c r="F14" s="81">
        <v>1906.5</v>
      </c>
      <c r="G14" s="81">
        <v>1929.6</v>
      </c>
      <c r="H14" s="105">
        <v>1956.3</v>
      </c>
      <c r="I14" s="93"/>
    </row>
    <row r="15" spans="1:13" x14ac:dyDescent="0.3">
      <c r="A15" s="36">
        <v>8</v>
      </c>
      <c r="B15" s="139" t="s">
        <v>246</v>
      </c>
      <c r="C15" s="135">
        <v>96.3</v>
      </c>
      <c r="D15" s="136">
        <v>108.7</v>
      </c>
      <c r="E15" s="136">
        <v>122.4</v>
      </c>
      <c r="F15" s="136">
        <v>128.6</v>
      </c>
      <c r="G15" s="136">
        <v>136.1</v>
      </c>
      <c r="H15" s="104">
        <v>143.6</v>
      </c>
      <c r="I15" s="93"/>
    </row>
    <row r="16" spans="1:13" x14ac:dyDescent="0.3">
      <c r="A16" s="116"/>
      <c r="B16" s="141" t="s">
        <v>249</v>
      </c>
      <c r="C16" s="132" t="s">
        <v>1034</v>
      </c>
      <c r="D16" s="134"/>
      <c r="E16" s="134"/>
      <c r="F16" s="134"/>
      <c r="G16" s="134"/>
      <c r="H16" s="103"/>
      <c r="I16" s="93"/>
    </row>
    <row r="17" spans="1:9" ht="16.2" customHeight="1" x14ac:dyDescent="0.3">
      <c r="A17" s="116">
        <v>9</v>
      </c>
      <c r="B17" s="133" t="s">
        <v>983</v>
      </c>
      <c r="C17" s="132">
        <v>0.3</v>
      </c>
      <c r="D17" s="134">
        <v>0.2</v>
      </c>
      <c r="E17" s="134">
        <v>1.3</v>
      </c>
      <c r="F17" s="134">
        <v>0</v>
      </c>
      <c r="G17" s="134">
        <v>0</v>
      </c>
      <c r="H17" s="103">
        <v>0</v>
      </c>
      <c r="I17" s="93"/>
    </row>
    <row r="18" spans="1:9" ht="16.2" customHeight="1" x14ac:dyDescent="0.3">
      <c r="A18" s="118">
        <v>10</v>
      </c>
      <c r="B18" s="121" t="s">
        <v>984</v>
      </c>
      <c r="C18" s="85">
        <v>0</v>
      </c>
      <c r="D18" s="86">
        <v>0</v>
      </c>
      <c r="E18" s="86">
        <v>0</v>
      </c>
      <c r="F18" s="86">
        <v>0</v>
      </c>
      <c r="G18" s="86">
        <v>0</v>
      </c>
      <c r="H18" s="106">
        <v>0</v>
      </c>
      <c r="I18" s="94"/>
    </row>
    <row r="19" spans="1:9" x14ac:dyDescent="0.3">
      <c r="A19" s="116">
        <v>11</v>
      </c>
      <c r="B19" s="133" t="s">
        <v>250</v>
      </c>
      <c r="C19" s="132">
        <v>1758.9</v>
      </c>
      <c r="D19" s="134">
        <v>1771.3</v>
      </c>
      <c r="E19" s="134">
        <v>1777</v>
      </c>
      <c r="F19" s="134">
        <v>1778</v>
      </c>
      <c r="G19" s="134">
        <v>1793.6</v>
      </c>
      <c r="H19" s="103">
        <v>1812.7</v>
      </c>
      <c r="I19" s="93"/>
    </row>
    <row r="20" spans="1:9" x14ac:dyDescent="0.3">
      <c r="B20" s="142" t="s">
        <v>251</v>
      </c>
      <c r="C20" s="135" t="s">
        <v>1034</v>
      </c>
      <c r="D20" s="136"/>
      <c r="E20" s="136"/>
      <c r="F20" s="136"/>
      <c r="G20" s="136"/>
      <c r="H20" s="104"/>
      <c r="I20" s="93"/>
    </row>
    <row r="21" spans="1:9" ht="16.2" customHeight="1" x14ac:dyDescent="0.3">
      <c r="A21" s="118">
        <v>12</v>
      </c>
      <c r="B21" s="121" t="s">
        <v>984</v>
      </c>
      <c r="C21" s="85">
        <v>0</v>
      </c>
      <c r="D21" s="86">
        <v>0</v>
      </c>
      <c r="E21" s="86">
        <v>0</v>
      </c>
      <c r="F21" s="86">
        <v>0</v>
      </c>
      <c r="G21" s="86">
        <v>0</v>
      </c>
      <c r="H21" s="106">
        <v>0</v>
      </c>
      <c r="I21" s="94"/>
    </row>
    <row r="22" spans="1:9" x14ac:dyDescent="0.3">
      <c r="A22" s="115">
        <v>13</v>
      </c>
      <c r="B22" s="140" t="s">
        <v>252</v>
      </c>
      <c r="C22" s="137">
        <v>747.3</v>
      </c>
      <c r="D22" s="81">
        <v>748.1</v>
      </c>
      <c r="E22" s="81">
        <v>749.7</v>
      </c>
      <c r="F22" s="81">
        <v>769.1</v>
      </c>
      <c r="G22" s="81">
        <v>788.8</v>
      </c>
      <c r="H22" s="105">
        <v>808.8</v>
      </c>
      <c r="I22" s="93"/>
    </row>
    <row r="23" spans="1:9" x14ac:dyDescent="0.3">
      <c r="A23" s="76">
        <v>14</v>
      </c>
      <c r="B23" s="127" t="s">
        <v>253</v>
      </c>
      <c r="C23" s="131">
        <v>3002.5</v>
      </c>
      <c r="D23" s="79">
        <v>3006.4</v>
      </c>
      <c r="E23" s="79">
        <v>3014.6</v>
      </c>
      <c r="F23" s="79">
        <v>3027.8</v>
      </c>
      <c r="G23" s="79">
        <v>3050.8</v>
      </c>
      <c r="H23" s="102">
        <v>3069.8</v>
      </c>
      <c r="I23" s="93"/>
    </row>
    <row r="24" spans="1:9" x14ac:dyDescent="0.3">
      <c r="A24" s="116">
        <v>15</v>
      </c>
      <c r="B24" s="133" t="s">
        <v>254</v>
      </c>
      <c r="C24" s="132">
        <v>1672.5</v>
      </c>
      <c r="D24" s="134">
        <v>1679.1</v>
      </c>
      <c r="E24" s="134">
        <v>1685.3</v>
      </c>
      <c r="F24" s="134">
        <v>1695.6</v>
      </c>
      <c r="G24" s="134">
        <v>1705.9</v>
      </c>
      <c r="H24" s="103">
        <v>1715.9</v>
      </c>
      <c r="I24" s="93"/>
    </row>
    <row r="25" spans="1:9" x14ac:dyDescent="0.3">
      <c r="A25" s="36">
        <v>16</v>
      </c>
      <c r="B25" s="139" t="s">
        <v>255</v>
      </c>
      <c r="C25" s="135">
        <v>1330</v>
      </c>
      <c r="D25" s="136">
        <v>1327.3</v>
      </c>
      <c r="E25" s="136">
        <v>1329.3</v>
      </c>
      <c r="F25" s="136">
        <v>1332.1</v>
      </c>
      <c r="G25" s="136">
        <v>1344.9</v>
      </c>
      <c r="H25" s="104">
        <v>1353.9</v>
      </c>
      <c r="I25" s="93"/>
    </row>
    <row r="26" spans="1:9" x14ac:dyDescent="0.3">
      <c r="A26" s="115">
        <v>17</v>
      </c>
      <c r="B26" s="140" t="s">
        <v>256</v>
      </c>
      <c r="C26" s="137">
        <v>3896.6</v>
      </c>
      <c r="D26" s="81">
        <v>3889.5</v>
      </c>
      <c r="E26" s="81">
        <v>3904.3</v>
      </c>
      <c r="F26" s="81">
        <v>3905</v>
      </c>
      <c r="G26" s="81">
        <v>3903.5</v>
      </c>
      <c r="H26" s="105">
        <v>3917.9</v>
      </c>
      <c r="I26" s="93"/>
    </row>
    <row r="27" spans="1:9" x14ac:dyDescent="0.3">
      <c r="A27" s="36">
        <v>18</v>
      </c>
      <c r="B27" s="139" t="s">
        <v>257</v>
      </c>
      <c r="C27" s="135">
        <v>3829.5</v>
      </c>
      <c r="D27" s="136">
        <v>3821.8</v>
      </c>
      <c r="E27" s="136">
        <v>3835.9</v>
      </c>
      <c r="F27" s="136">
        <v>3836</v>
      </c>
      <c r="G27" s="136">
        <v>3833.8</v>
      </c>
      <c r="H27" s="104">
        <v>3835.2</v>
      </c>
      <c r="I27" s="93"/>
    </row>
    <row r="28" spans="1:9" x14ac:dyDescent="0.3">
      <c r="A28" s="116">
        <v>19</v>
      </c>
      <c r="B28" s="133" t="s">
        <v>258</v>
      </c>
      <c r="C28" s="132">
        <v>1196.0999999999999</v>
      </c>
      <c r="D28" s="134">
        <v>1198</v>
      </c>
      <c r="E28" s="134">
        <v>1202.7</v>
      </c>
      <c r="F28" s="134">
        <v>1205.0999999999999</v>
      </c>
      <c r="G28" s="134">
        <v>1207.5</v>
      </c>
      <c r="H28" s="103">
        <v>1207.5</v>
      </c>
      <c r="I28" s="93"/>
    </row>
    <row r="29" spans="1:9" x14ac:dyDescent="0.3">
      <c r="A29" s="118">
        <v>20</v>
      </c>
      <c r="B29" s="119" t="s">
        <v>259</v>
      </c>
      <c r="C29" s="85">
        <v>859.1</v>
      </c>
      <c r="D29" s="86">
        <v>861.9</v>
      </c>
      <c r="E29" s="86">
        <v>865.3</v>
      </c>
      <c r="F29" s="86">
        <v>861.2</v>
      </c>
      <c r="G29" s="86">
        <v>865.7</v>
      </c>
      <c r="H29" s="106">
        <v>870.7</v>
      </c>
      <c r="I29" s="95">
        <f>forecast!D12</f>
        <v>871.23840546678446</v>
      </c>
    </row>
    <row r="30" spans="1:9" x14ac:dyDescent="0.3">
      <c r="A30" s="116"/>
      <c r="B30" s="141" t="s">
        <v>260</v>
      </c>
      <c r="C30" s="132" t="s">
        <v>1034</v>
      </c>
      <c r="D30" s="134" t="s">
        <v>1034</v>
      </c>
      <c r="E30" s="134" t="s">
        <v>1034</v>
      </c>
      <c r="F30" s="134" t="s">
        <v>1034</v>
      </c>
      <c r="G30" s="134" t="s">
        <v>1034</v>
      </c>
      <c r="H30" s="103" t="s">
        <v>1034</v>
      </c>
      <c r="I30" s="93"/>
    </row>
    <row r="31" spans="1:9" ht="16.2" customHeight="1" x14ac:dyDescent="0.3">
      <c r="A31" s="116">
        <v>21</v>
      </c>
      <c r="B31" s="133" t="s">
        <v>985</v>
      </c>
      <c r="C31" s="132">
        <v>14.8</v>
      </c>
      <c r="D31" s="134">
        <v>14.8</v>
      </c>
      <c r="E31" s="134">
        <v>14.8</v>
      </c>
      <c r="F31" s="134">
        <v>6.8</v>
      </c>
      <c r="G31" s="134">
        <v>6.9</v>
      </c>
      <c r="H31" s="103">
        <v>6.9</v>
      </c>
      <c r="I31" s="93"/>
    </row>
    <row r="32" spans="1:9" x14ac:dyDescent="0.3">
      <c r="A32" s="118">
        <v>22</v>
      </c>
      <c r="B32" s="119" t="s">
        <v>261</v>
      </c>
      <c r="C32" s="85">
        <v>786.6</v>
      </c>
      <c r="D32" s="86">
        <v>789.4</v>
      </c>
      <c r="E32" s="86">
        <v>796.9</v>
      </c>
      <c r="F32" s="86">
        <v>801.7</v>
      </c>
      <c r="G32" s="86">
        <v>805.4</v>
      </c>
      <c r="H32" s="106">
        <v>806.4</v>
      </c>
      <c r="I32" s="95">
        <f>forecast!D11</f>
        <v>808.71319649094062</v>
      </c>
    </row>
    <row r="33" spans="1:9" x14ac:dyDescent="0.3">
      <c r="A33" s="118">
        <v>23</v>
      </c>
      <c r="B33" s="119" t="s">
        <v>262</v>
      </c>
      <c r="C33" s="85">
        <v>27.3</v>
      </c>
      <c r="D33" s="86">
        <v>25</v>
      </c>
      <c r="E33" s="86">
        <v>23.1</v>
      </c>
      <c r="F33" s="86">
        <v>20.9</v>
      </c>
      <c r="G33" s="86">
        <v>19.5</v>
      </c>
      <c r="H33" s="106">
        <v>19.600000000000001</v>
      </c>
      <c r="I33" s="95">
        <f>forecast!D9+forecast!D8</f>
        <v>18.393333333333334</v>
      </c>
    </row>
    <row r="34" spans="1:9" ht="16.2" customHeight="1" x14ac:dyDescent="0.3">
      <c r="B34" s="143" t="s">
        <v>986</v>
      </c>
      <c r="C34" s="135" t="s">
        <v>1034</v>
      </c>
      <c r="D34" s="136"/>
      <c r="E34" s="136"/>
      <c r="F34" s="136"/>
      <c r="G34" s="136"/>
      <c r="H34" s="104"/>
      <c r="I34" s="93"/>
    </row>
    <row r="35" spans="1:9" x14ac:dyDescent="0.3">
      <c r="A35" s="36">
        <v>24</v>
      </c>
      <c r="B35" s="144" t="s">
        <v>263</v>
      </c>
      <c r="C35" s="135">
        <v>0.8</v>
      </c>
      <c r="D35" s="136">
        <v>0.6</v>
      </c>
      <c r="E35" s="136">
        <v>0.6</v>
      </c>
      <c r="F35" s="136">
        <v>0.5</v>
      </c>
      <c r="G35" s="136">
        <v>0.5</v>
      </c>
      <c r="H35" s="104">
        <v>0.5</v>
      </c>
      <c r="I35" s="93"/>
    </row>
    <row r="36" spans="1:9" x14ac:dyDescent="0.3">
      <c r="A36" s="116">
        <v>25</v>
      </c>
      <c r="B36" s="145" t="s">
        <v>264</v>
      </c>
      <c r="C36" s="132">
        <v>1.1000000000000001</v>
      </c>
      <c r="D36" s="134">
        <v>0.9</v>
      </c>
      <c r="E36" s="134">
        <v>0.9</v>
      </c>
      <c r="F36" s="134">
        <v>0.8</v>
      </c>
      <c r="G36" s="134">
        <v>0.7</v>
      </c>
      <c r="H36" s="103">
        <v>0.6</v>
      </c>
      <c r="I36" s="93"/>
    </row>
    <row r="37" spans="1:9" x14ac:dyDescent="0.3">
      <c r="A37" s="36">
        <v>26</v>
      </c>
      <c r="B37" s="80" t="s">
        <v>265</v>
      </c>
      <c r="C37" s="135">
        <v>1.1000000000000001</v>
      </c>
      <c r="D37" s="136">
        <v>0.8</v>
      </c>
      <c r="E37" s="136">
        <v>0.7</v>
      </c>
      <c r="F37" s="136">
        <v>0.6</v>
      </c>
      <c r="G37" s="136">
        <v>0.4</v>
      </c>
      <c r="H37" s="104">
        <v>0.4</v>
      </c>
      <c r="I37" s="93"/>
    </row>
    <row r="38" spans="1:9" x14ac:dyDescent="0.3">
      <c r="A38" s="116">
        <v>27</v>
      </c>
      <c r="B38" s="145" t="s">
        <v>266</v>
      </c>
      <c r="C38" s="132">
        <v>0</v>
      </c>
      <c r="D38" s="134">
        <v>0</v>
      </c>
      <c r="E38" s="134">
        <v>0</v>
      </c>
      <c r="F38" s="134">
        <v>0</v>
      </c>
      <c r="G38" s="134">
        <v>0</v>
      </c>
      <c r="H38" s="103">
        <v>0</v>
      </c>
      <c r="I38" s="93"/>
    </row>
    <row r="39" spans="1:9" x14ac:dyDescent="0.3">
      <c r="A39" s="36">
        <v>28</v>
      </c>
      <c r="B39" s="139" t="s">
        <v>267</v>
      </c>
      <c r="C39" s="135">
        <v>174.6</v>
      </c>
      <c r="D39" s="136">
        <v>177.5</v>
      </c>
      <c r="E39" s="136">
        <v>180.5</v>
      </c>
      <c r="F39" s="136">
        <v>181.1</v>
      </c>
      <c r="G39" s="136">
        <v>181.7</v>
      </c>
      <c r="H39" s="104">
        <v>182.5</v>
      </c>
      <c r="I39" s="93"/>
    </row>
    <row r="40" spans="1:9" x14ac:dyDescent="0.3">
      <c r="A40" s="116">
        <v>29</v>
      </c>
      <c r="B40" s="133" t="s">
        <v>268</v>
      </c>
      <c r="C40" s="132">
        <v>785.9</v>
      </c>
      <c r="D40" s="134">
        <v>770</v>
      </c>
      <c r="E40" s="134">
        <v>767.4</v>
      </c>
      <c r="F40" s="134">
        <v>765.9</v>
      </c>
      <c r="G40" s="134">
        <v>753.9</v>
      </c>
      <c r="H40" s="103">
        <v>748.5</v>
      </c>
      <c r="I40" s="93"/>
    </row>
    <row r="41" spans="1:9" x14ac:dyDescent="0.3">
      <c r="B41" s="143" t="s">
        <v>269</v>
      </c>
      <c r="C41" s="135" t="s">
        <v>1034</v>
      </c>
      <c r="D41" s="136"/>
      <c r="E41" s="136"/>
      <c r="F41" s="136"/>
      <c r="G41" s="136"/>
      <c r="H41" s="104"/>
      <c r="I41" s="93"/>
    </row>
    <row r="42" spans="1:9" ht="16.2" customHeight="1" x14ac:dyDescent="0.3">
      <c r="A42" s="118">
        <v>30</v>
      </c>
      <c r="B42" s="120" t="s">
        <v>987</v>
      </c>
      <c r="C42" s="85">
        <v>105.6</v>
      </c>
      <c r="D42" s="86">
        <v>105.6</v>
      </c>
      <c r="E42" s="86">
        <v>105.6</v>
      </c>
      <c r="F42" s="86">
        <v>105.6</v>
      </c>
      <c r="G42" s="86">
        <v>105.6</v>
      </c>
      <c r="H42" s="106">
        <v>105.6</v>
      </c>
      <c r="I42" s="95">
        <f>'Social Benefits'!S21</f>
        <v>105.6</v>
      </c>
    </row>
    <row r="43" spans="1:9" ht="16.2" customHeight="1" x14ac:dyDescent="0.3">
      <c r="A43" s="118">
        <v>31</v>
      </c>
      <c r="B43" s="120" t="s">
        <v>988</v>
      </c>
      <c r="C43" s="85">
        <v>0</v>
      </c>
      <c r="D43" s="86">
        <v>0</v>
      </c>
      <c r="E43" s="86">
        <v>0</v>
      </c>
      <c r="F43" s="86">
        <v>0</v>
      </c>
      <c r="G43" s="86">
        <v>0</v>
      </c>
      <c r="H43" s="106">
        <v>0</v>
      </c>
      <c r="I43" s="94"/>
    </row>
    <row r="44" spans="1:9" ht="16.2" customHeight="1" x14ac:dyDescent="0.3">
      <c r="A44" s="36">
        <v>32</v>
      </c>
      <c r="B44" s="144" t="s">
        <v>989</v>
      </c>
      <c r="C44" s="135">
        <v>0</v>
      </c>
      <c r="D44" s="136">
        <v>0</v>
      </c>
      <c r="E44" s="136">
        <v>0</v>
      </c>
      <c r="F44" s="136">
        <v>0</v>
      </c>
      <c r="G44" s="136">
        <v>0</v>
      </c>
      <c r="H44" s="104">
        <v>0</v>
      </c>
      <c r="I44" s="93"/>
    </row>
    <row r="45" spans="1:9" ht="16.2" customHeight="1" x14ac:dyDescent="0.3">
      <c r="A45" s="118">
        <v>33</v>
      </c>
      <c r="B45" s="121" t="s">
        <v>990</v>
      </c>
      <c r="C45" s="85">
        <v>0</v>
      </c>
      <c r="D45" s="86">
        <v>0</v>
      </c>
      <c r="E45" s="86">
        <v>0</v>
      </c>
      <c r="F45" s="86">
        <v>0</v>
      </c>
      <c r="G45" s="86">
        <v>0</v>
      </c>
      <c r="H45" s="106">
        <v>0</v>
      </c>
      <c r="I45" s="94"/>
    </row>
    <row r="46" spans="1:9" ht="16.2" customHeight="1" x14ac:dyDescent="0.3">
      <c r="A46" s="118">
        <v>34</v>
      </c>
      <c r="B46" s="89" t="s">
        <v>991</v>
      </c>
      <c r="C46" s="87">
        <v>65.3</v>
      </c>
      <c r="D46" s="88">
        <v>47.3</v>
      </c>
      <c r="E46" s="88">
        <v>48.5</v>
      </c>
      <c r="F46" s="88">
        <v>51.6</v>
      </c>
      <c r="G46" s="88">
        <v>42</v>
      </c>
      <c r="H46" s="107">
        <v>39.1</v>
      </c>
      <c r="I46" s="96">
        <f>'Provider Relief'!S11</f>
        <v>15.102505694760818</v>
      </c>
    </row>
    <row r="47" spans="1:9" x14ac:dyDescent="0.3">
      <c r="A47" s="116">
        <v>35</v>
      </c>
      <c r="B47" s="133" t="s">
        <v>270</v>
      </c>
      <c r="C47" s="132">
        <v>67.099999999999994</v>
      </c>
      <c r="D47" s="134">
        <v>67.7</v>
      </c>
      <c r="E47" s="134">
        <v>68.400000000000006</v>
      </c>
      <c r="F47" s="134">
        <v>69.099999999999994</v>
      </c>
      <c r="G47" s="134">
        <v>69.8</v>
      </c>
      <c r="H47" s="103">
        <v>82.7</v>
      </c>
      <c r="I47" s="93"/>
    </row>
    <row r="48" spans="1:9" x14ac:dyDescent="0.3">
      <c r="A48" s="76">
        <v>36</v>
      </c>
      <c r="B48" s="127" t="s">
        <v>271</v>
      </c>
      <c r="C48" s="131">
        <v>1684.9</v>
      </c>
      <c r="D48" s="79">
        <v>1700.6</v>
      </c>
      <c r="E48" s="79">
        <v>1711.1</v>
      </c>
      <c r="F48" s="79">
        <v>1718.9</v>
      </c>
      <c r="G48" s="79">
        <v>1727.9</v>
      </c>
      <c r="H48" s="102">
        <v>1735.7</v>
      </c>
      <c r="I48" s="93"/>
    </row>
    <row r="49" spans="1:9" x14ac:dyDescent="0.3">
      <c r="A49" s="115">
        <v>37</v>
      </c>
      <c r="B49" s="140" t="s">
        <v>272</v>
      </c>
      <c r="C49" s="137">
        <v>3034.7</v>
      </c>
      <c r="D49" s="81">
        <v>3062.8</v>
      </c>
      <c r="E49" s="81">
        <v>3085.2</v>
      </c>
      <c r="F49" s="81">
        <v>3106.3</v>
      </c>
      <c r="G49" s="81">
        <v>3125.3</v>
      </c>
      <c r="H49" s="105">
        <v>3138.3</v>
      </c>
      <c r="I49" s="93"/>
    </row>
    <row r="50" spans="1:9" x14ac:dyDescent="0.3">
      <c r="A50" s="76">
        <v>38</v>
      </c>
      <c r="B50" s="127" t="s">
        <v>273</v>
      </c>
      <c r="C50" s="131">
        <v>18090.400000000001</v>
      </c>
      <c r="D50" s="79">
        <v>18199</v>
      </c>
      <c r="E50" s="79">
        <v>18299.5</v>
      </c>
      <c r="F50" s="79">
        <v>18374.900000000001</v>
      </c>
      <c r="G50" s="79">
        <v>18483.900000000001</v>
      </c>
      <c r="H50" s="102">
        <v>18604.3</v>
      </c>
      <c r="I50" s="93"/>
    </row>
    <row r="51" spans="1:9" x14ac:dyDescent="0.3">
      <c r="A51" s="115">
        <v>39</v>
      </c>
      <c r="B51" s="140" t="s">
        <v>274</v>
      </c>
      <c r="C51" s="137">
        <v>17042.7</v>
      </c>
      <c r="D51" s="81">
        <v>17139</v>
      </c>
      <c r="E51" s="81">
        <v>17338.3</v>
      </c>
      <c r="F51" s="81">
        <v>17424.8</v>
      </c>
      <c r="G51" s="81">
        <v>17473.400000000001</v>
      </c>
      <c r="H51" s="105">
        <v>17659.8</v>
      </c>
      <c r="I51" s="93"/>
    </row>
    <row r="52" spans="1:9" x14ac:dyDescent="0.3">
      <c r="A52" s="36">
        <v>40</v>
      </c>
      <c r="B52" s="139" t="s">
        <v>275</v>
      </c>
      <c r="C52" s="135">
        <v>16543.3</v>
      </c>
      <c r="D52" s="136">
        <v>16635.8</v>
      </c>
      <c r="E52" s="136">
        <v>16831.2</v>
      </c>
      <c r="F52" s="136">
        <v>16911.2</v>
      </c>
      <c r="G52" s="136">
        <v>16954.5</v>
      </c>
      <c r="H52" s="104">
        <v>17135.599999999999</v>
      </c>
      <c r="I52" s="93"/>
    </row>
    <row r="53" spans="1:9" x14ac:dyDescent="0.3">
      <c r="A53" s="116">
        <v>41</v>
      </c>
      <c r="B53" s="133" t="s">
        <v>276</v>
      </c>
      <c r="C53" s="132">
        <v>274.8</v>
      </c>
      <c r="D53" s="134">
        <v>278.5</v>
      </c>
      <c r="E53" s="134">
        <v>282.10000000000002</v>
      </c>
      <c r="F53" s="134">
        <v>287.10000000000002</v>
      </c>
      <c r="G53" s="134">
        <v>292</v>
      </c>
      <c r="H53" s="103">
        <v>296.89999999999998</v>
      </c>
      <c r="I53" s="93"/>
    </row>
    <row r="54" spans="1:9" x14ac:dyDescent="0.3">
      <c r="B54" s="83" t="s">
        <v>277</v>
      </c>
      <c r="C54" s="135" t="s">
        <v>1034</v>
      </c>
      <c r="D54" s="136"/>
      <c r="E54" s="136"/>
      <c r="F54" s="136"/>
      <c r="G54" s="136"/>
      <c r="H54" s="104"/>
      <c r="I54" s="93"/>
    </row>
    <row r="55" spans="1:9" ht="16.2" customHeight="1" x14ac:dyDescent="0.3">
      <c r="A55" s="36">
        <v>42</v>
      </c>
      <c r="B55" s="144" t="s">
        <v>992</v>
      </c>
      <c r="C55" s="135">
        <v>-37.799999999999997</v>
      </c>
      <c r="D55" s="136">
        <v>-37.799999999999997</v>
      </c>
      <c r="E55" s="136">
        <v>-37.799999999999997</v>
      </c>
      <c r="F55" s="136">
        <v>-37.799999999999997</v>
      </c>
      <c r="G55" s="136">
        <v>-37.799999999999997</v>
      </c>
      <c r="H55" s="104">
        <v>-37.799999999999997</v>
      </c>
      <c r="I55" s="93"/>
    </row>
    <row r="56" spans="1:9" x14ac:dyDescent="0.3">
      <c r="A56" s="116">
        <v>43</v>
      </c>
      <c r="B56" s="133" t="s">
        <v>278</v>
      </c>
      <c r="C56" s="132">
        <v>224.6</v>
      </c>
      <c r="D56" s="134">
        <v>224.8</v>
      </c>
      <c r="E56" s="134">
        <v>225</v>
      </c>
      <c r="F56" s="134">
        <v>226.5</v>
      </c>
      <c r="G56" s="134">
        <v>226.9</v>
      </c>
      <c r="H56" s="103">
        <v>227.3</v>
      </c>
      <c r="I56" s="93"/>
    </row>
    <row r="57" spans="1:9" x14ac:dyDescent="0.3">
      <c r="A57" s="36">
        <v>44</v>
      </c>
      <c r="B57" s="139" t="s">
        <v>279</v>
      </c>
      <c r="C57" s="135">
        <v>118</v>
      </c>
      <c r="D57" s="136">
        <v>118.2</v>
      </c>
      <c r="E57" s="136">
        <v>118.4</v>
      </c>
      <c r="F57" s="136">
        <v>118.8</v>
      </c>
      <c r="G57" s="136">
        <v>119.2</v>
      </c>
      <c r="H57" s="104">
        <v>119.6</v>
      </c>
      <c r="I57" s="93"/>
    </row>
    <row r="58" spans="1:9" x14ac:dyDescent="0.3">
      <c r="A58" s="116">
        <v>45</v>
      </c>
      <c r="B58" s="133" t="s">
        <v>280</v>
      </c>
      <c r="C58" s="132">
        <v>106.6</v>
      </c>
      <c r="D58" s="134">
        <v>106.6</v>
      </c>
      <c r="E58" s="134">
        <v>106.6</v>
      </c>
      <c r="F58" s="134">
        <v>107.7</v>
      </c>
      <c r="G58" s="134">
        <v>107.7</v>
      </c>
      <c r="H58" s="103">
        <v>107.7</v>
      </c>
      <c r="I58" s="93"/>
    </row>
    <row r="59" spans="1:9" ht="15" customHeight="1" x14ac:dyDescent="0.3">
      <c r="A59" s="117">
        <v>46</v>
      </c>
      <c r="B59" s="84" t="s">
        <v>281</v>
      </c>
      <c r="C59" s="138">
        <v>1047.7</v>
      </c>
      <c r="D59" s="82">
        <v>1060</v>
      </c>
      <c r="E59" s="82">
        <v>961.2</v>
      </c>
      <c r="F59" s="82">
        <v>950.1</v>
      </c>
      <c r="G59" s="82">
        <v>1010.5</v>
      </c>
      <c r="H59" s="108">
        <v>944.5</v>
      </c>
      <c r="I59" s="97"/>
    </row>
    <row r="61" spans="1:9" x14ac:dyDescent="0.3">
      <c r="A61" s="36" t="s">
        <v>282</v>
      </c>
      <c r="B61" s="124" t="s">
        <v>283</v>
      </c>
    </row>
    <row r="62" spans="1:9" x14ac:dyDescent="0.3">
      <c r="A62" s="36" t="s">
        <v>284</v>
      </c>
      <c r="B62" s="36" t="s">
        <v>285</v>
      </c>
    </row>
    <row r="63" spans="1:9" x14ac:dyDescent="0.3">
      <c r="A63" s="36" t="s">
        <v>286</v>
      </c>
      <c r="B63" s="36" t="s">
        <v>287</v>
      </c>
    </row>
    <row r="64" spans="1:9" x14ac:dyDescent="0.3">
      <c r="A64" s="36" t="s">
        <v>288</v>
      </c>
      <c r="B64" s="36" t="s">
        <v>289</v>
      </c>
    </row>
    <row r="66" spans="1:7" x14ac:dyDescent="0.3">
      <c r="A66" s="943" t="s">
        <v>964</v>
      </c>
      <c r="B66" s="943"/>
      <c r="C66" s="943"/>
      <c r="D66" s="943"/>
      <c r="E66" s="943"/>
      <c r="F66" s="943"/>
      <c r="G66" s="943"/>
    </row>
    <row r="67" spans="1:7" x14ac:dyDescent="0.3">
      <c r="A67" s="941" t="s">
        <v>965</v>
      </c>
      <c r="B67" s="941"/>
      <c r="C67" s="941"/>
      <c r="D67" s="941"/>
      <c r="E67" s="941"/>
      <c r="F67" s="941"/>
      <c r="G67" s="941"/>
    </row>
    <row r="68" spans="1:7" x14ac:dyDescent="0.3">
      <c r="A68" s="940" t="s">
        <v>966</v>
      </c>
      <c r="B68" s="940"/>
      <c r="C68" s="940"/>
      <c r="D68" s="940"/>
      <c r="E68" s="940"/>
      <c r="F68" s="940"/>
      <c r="G68" s="940"/>
    </row>
    <row r="69" spans="1:7" x14ac:dyDescent="0.3">
      <c r="A69" s="942" t="s">
        <v>967</v>
      </c>
      <c r="B69" s="942"/>
      <c r="C69" s="942"/>
      <c r="D69" s="942"/>
      <c r="E69" s="942"/>
      <c r="F69" s="942"/>
      <c r="G69" s="942"/>
    </row>
    <row r="70" spans="1:7" x14ac:dyDescent="0.3">
      <c r="A70" s="944" t="s">
        <v>968</v>
      </c>
      <c r="B70" s="944"/>
      <c r="C70" s="944"/>
      <c r="D70" s="944"/>
      <c r="E70" s="944"/>
      <c r="F70" s="944"/>
      <c r="G70" s="944"/>
    </row>
    <row r="71" spans="1:7" x14ac:dyDescent="0.3">
      <c r="A71" s="941" t="s">
        <v>969</v>
      </c>
      <c r="B71" s="941"/>
      <c r="C71" s="941"/>
      <c r="D71" s="941"/>
      <c r="E71" s="941"/>
      <c r="F71" s="941"/>
      <c r="G71" s="941"/>
    </row>
    <row r="72" spans="1:7" x14ac:dyDescent="0.3">
      <c r="A72" s="940" t="s">
        <v>970</v>
      </c>
      <c r="B72" s="940"/>
      <c r="C72" s="940"/>
      <c r="D72" s="940"/>
      <c r="E72" s="940"/>
      <c r="F72" s="940"/>
      <c r="G72" s="940"/>
    </row>
    <row r="73" spans="1:7" x14ac:dyDescent="0.3">
      <c r="A73" s="940" t="s">
        <v>971</v>
      </c>
      <c r="B73" s="940"/>
      <c r="C73" s="940"/>
      <c r="D73" s="940"/>
      <c r="E73" s="940"/>
      <c r="F73" s="940"/>
      <c r="G73" s="940"/>
    </row>
    <row r="74" spans="1:7" x14ac:dyDescent="0.3">
      <c r="A74" s="941" t="s">
        <v>972</v>
      </c>
      <c r="B74" s="941"/>
      <c r="C74" s="941"/>
      <c r="D74" s="941"/>
      <c r="E74" s="941"/>
      <c r="F74" s="941"/>
      <c r="G74" s="941"/>
    </row>
    <row r="76" spans="1:7" x14ac:dyDescent="0.3">
      <c r="A76" s="942" t="s">
        <v>973</v>
      </c>
      <c r="B76" s="942"/>
      <c r="C76" s="942"/>
      <c r="D76" s="942"/>
      <c r="E76" s="942"/>
      <c r="F76" s="942"/>
      <c r="G76" s="942"/>
    </row>
    <row r="78" spans="1:7" x14ac:dyDescent="0.3">
      <c r="A78" s="36" t="s">
        <v>290</v>
      </c>
    </row>
    <row r="80" spans="1:7" x14ac:dyDescent="0.3">
      <c r="A80" s="36" t="s">
        <v>291</v>
      </c>
    </row>
    <row r="82" spans="1:1" x14ac:dyDescent="0.3">
      <c r="A82" s="125"/>
    </row>
    <row r="88" spans="1:1" x14ac:dyDescent="0.3">
      <c r="A88" s="122"/>
    </row>
    <row r="89" spans="1:1" x14ac:dyDescent="0.3">
      <c r="A89" s="122"/>
    </row>
    <row r="90" spans="1:1" x14ac:dyDescent="0.3">
      <c r="A90" s="122"/>
    </row>
  </sheetData>
  <mergeCells count="15">
    <mergeCell ref="A72:G72"/>
    <mergeCell ref="A73:G73"/>
    <mergeCell ref="A74:G74"/>
    <mergeCell ref="A76:G76"/>
    <mergeCell ref="A66:G66"/>
    <mergeCell ref="A67:G67"/>
    <mergeCell ref="A68:G68"/>
    <mergeCell ref="A69:G69"/>
    <mergeCell ref="A70:G70"/>
    <mergeCell ref="A71:G71"/>
    <mergeCell ref="A2:M2"/>
    <mergeCell ref="A3:M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2022-07-29T15:08:35Z</dcterms:modified>
  <cp:category/>
  <cp:contentStatus/>
</cp:coreProperties>
</file>